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Guillermo\Mi unidad\Guille\Alpha Seneca\1- RV, opciones y asset allocation\3- Planillas\"/>
    </mc:Choice>
  </mc:AlternateContent>
  <xr:revisionPtr revIDLastSave="0" documentId="13_ncr:1_{509D7291-03AB-47B0-8255-F9A81F9B8672}" xr6:coauthVersionLast="47" xr6:coauthVersionMax="47" xr10:uidLastSave="{00000000-0000-0000-0000-000000000000}"/>
  <bookViews>
    <workbookView xWindow="-108" yWindow="-108" windowWidth="23256" windowHeight="12576" xr2:uid="{00000000-000D-0000-FFFF-FFFF00000000}"/>
  </bookViews>
  <sheets>
    <sheet name="Portafolio Discrecional" sheetId="3" r:id="rId1"/>
    <sheet name="Ideas de Trading" sheetId="5" r:id="rId2"/>
    <sheet name="Acciones nuevos máx 2023" sheetId="4" r:id="rId3"/>
  </sheets>
  <calcPr calcId="191029"/>
  <extLst>
    <ext uri="GoogleSheetsCustomDataVersion2">
      <go:sheetsCustomData xmlns:go="http://customooxmlschemas.google.com/" r:id="rId10" roundtripDataChecksum="+YUiEW0lJQAASYVhTqSN8WxiBd35oXG6sMYZ9mmrPjc="/>
    </ext>
  </extLst>
</workbook>
</file>

<file path=xl/calcChain.xml><?xml version="1.0" encoding="utf-8"?>
<calcChain xmlns="http://schemas.openxmlformats.org/spreadsheetml/2006/main">
  <c r="C25" i="5" l="1"/>
  <c r="C23" i="5"/>
  <c r="C21" i="5"/>
  <c r="C19" i="5"/>
  <c r="C14" i="5"/>
  <c r="C12" i="5"/>
  <c r="C10" i="5"/>
  <c r="C8" i="5"/>
  <c r="C6" i="5"/>
  <c r="C4" i="5"/>
  <c r="C39" i="3"/>
  <c r="C35" i="3"/>
  <c r="C33" i="3"/>
  <c r="C31" i="3"/>
  <c r="C29" i="3"/>
  <c r="C27" i="3"/>
  <c r="C25" i="3"/>
  <c r="C23" i="3"/>
  <c r="C21" i="3"/>
  <c r="C17" i="3"/>
  <c r="C15" i="3"/>
  <c r="C13" i="3"/>
  <c r="C11" i="3"/>
  <c r="C9" i="3"/>
  <c r="C7" i="3"/>
  <c r="C5" i="3"/>
  <c r="C3" i="3"/>
  <c r="N101" i="5" l="1"/>
  <c r="J101" i="5"/>
  <c r="L101" i="5" s="1"/>
  <c r="M101" i="5" s="1"/>
  <c r="D101" i="5"/>
  <c r="C101" i="5"/>
  <c r="N100" i="5"/>
  <c r="L100" i="5"/>
  <c r="M100" i="5" s="1"/>
  <c r="J100" i="5"/>
  <c r="D100" i="5"/>
  <c r="C100" i="5"/>
  <c r="N99" i="5"/>
  <c r="J99" i="5"/>
  <c r="L99" i="5" s="1"/>
  <c r="M99" i="5" s="1"/>
  <c r="D99" i="5"/>
  <c r="C99" i="5"/>
  <c r="N98" i="5"/>
  <c r="L98" i="5"/>
  <c r="M98" i="5" s="1"/>
  <c r="J98" i="5"/>
  <c r="D98" i="5"/>
  <c r="C98" i="5"/>
  <c r="N97" i="5"/>
  <c r="L97" i="5"/>
  <c r="M97" i="5" s="1"/>
  <c r="J97" i="5"/>
  <c r="D97" i="5"/>
  <c r="C97" i="5"/>
  <c r="N96" i="5"/>
  <c r="L96" i="5"/>
  <c r="M96" i="5" s="1"/>
  <c r="J96" i="5"/>
  <c r="D96" i="5"/>
  <c r="C96" i="5"/>
  <c r="N95" i="5"/>
  <c r="J95" i="5"/>
  <c r="L95" i="5" s="1"/>
  <c r="M95" i="5" s="1"/>
  <c r="D95" i="5"/>
  <c r="C95" i="5"/>
  <c r="N94" i="5"/>
  <c r="L94" i="5"/>
  <c r="M94" i="5" s="1"/>
  <c r="J94" i="5"/>
  <c r="D94" i="5"/>
  <c r="C94" i="5"/>
  <c r="N93" i="5"/>
  <c r="J93" i="5"/>
  <c r="L93" i="5" s="1"/>
  <c r="M93" i="5" s="1"/>
  <c r="D93" i="5"/>
  <c r="C93" i="5"/>
  <c r="N92" i="5"/>
  <c r="L92" i="5"/>
  <c r="M92" i="5" s="1"/>
  <c r="D92" i="5"/>
  <c r="C92" i="5"/>
  <c r="O91" i="5"/>
  <c r="N91" i="5"/>
  <c r="J91" i="5"/>
  <c r="L91" i="5" s="1"/>
  <c r="M91" i="5" s="1"/>
  <c r="D91" i="5"/>
  <c r="C91" i="5"/>
  <c r="O90" i="5"/>
  <c r="N90" i="5"/>
  <c r="J90" i="5"/>
  <c r="L90" i="5" s="1"/>
  <c r="M90" i="5" s="1"/>
  <c r="D90" i="5"/>
  <c r="C90" i="5"/>
  <c r="O89" i="5"/>
  <c r="N89" i="5"/>
  <c r="J89" i="5"/>
  <c r="L89" i="5" s="1"/>
  <c r="M89" i="5" s="1"/>
  <c r="D89" i="5"/>
  <c r="C89" i="5"/>
  <c r="N88" i="5"/>
  <c r="L88" i="5"/>
  <c r="M88" i="5" s="1"/>
  <c r="J88" i="5"/>
  <c r="D88" i="5"/>
  <c r="C88" i="5"/>
  <c r="N87" i="5"/>
  <c r="L87" i="5"/>
  <c r="M87" i="5" s="1"/>
  <c r="J87" i="5"/>
  <c r="D87" i="5"/>
  <c r="C87" i="5"/>
  <c r="N86" i="5"/>
  <c r="L86" i="5"/>
  <c r="M86" i="5" s="1"/>
  <c r="J86" i="5"/>
  <c r="D86" i="5"/>
  <c r="C86" i="5"/>
  <c r="N85" i="5"/>
  <c r="J85" i="5"/>
  <c r="L85" i="5" s="1"/>
  <c r="M85" i="5" s="1"/>
  <c r="D85" i="5"/>
  <c r="C85" i="5"/>
  <c r="N84" i="5"/>
  <c r="L84" i="5"/>
  <c r="M84" i="5" s="1"/>
  <c r="K84" i="5"/>
  <c r="D84" i="5"/>
  <c r="C84" i="5"/>
  <c r="AQ83" i="5"/>
  <c r="AP83" i="5"/>
  <c r="N83" i="5"/>
  <c r="J83" i="5"/>
  <c r="L83" i="5" s="1"/>
  <c r="M83" i="5" s="1"/>
  <c r="D83" i="5"/>
  <c r="C83" i="5"/>
  <c r="AQ82" i="5"/>
  <c r="AP82" i="5"/>
  <c r="AN82" i="5"/>
  <c r="AL82" i="5"/>
  <c r="AJ82" i="5"/>
  <c r="AH82" i="5"/>
  <c r="N82" i="5"/>
  <c r="L82" i="5"/>
  <c r="M82" i="5" s="1"/>
  <c r="J82" i="5"/>
  <c r="K82" i="5" s="1"/>
  <c r="D82" i="5"/>
  <c r="C82" i="5"/>
  <c r="N81" i="5"/>
  <c r="L81" i="5"/>
  <c r="M81" i="5" s="1"/>
  <c r="J81" i="5"/>
  <c r="D81" i="5"/>
  <c r="C81" i="5"/>
  <c r="N80" i="5"/>
  <c r="J80" i="5"/>
  <c r="L80" i="5" s="1"/>
  <c r="M80" i="5" s="1"/>
  <c r="D80" i="5"/>
  <c r="C80" i="5"/>
  <c r="N79" i="5"/>
  <c r="L79" i="5"/>
  <c r="M79" i="5" s="1"/>
  <c r="J79" i="5"/>
  <c r="D79" i="5"/>
  <c r="C79" i="5"/>
  <c r="N78" i="5"/>
  <c r="L78" i="5"/>
  <c r="M78" i="5" s="1"/>
  <c r="J78" i="5"/>
  <c r="D78" i="5"/>
  <c r="C78" i="5"/>
  <c r="N77" i="5"/>
  <c r="L77" i="5"/>
  <c r="M77" i="5" s="1"/>
  <c r="J77" i="5"/>
  <c r="D77" i="5"/>
  <c r="C77" i="5"/>
  <c r="N76" i="5"/>
  <c r="J76" i="5"/>
  <c r="L76" i="5" s="1"/>
  <c r="M76" i="5" s="1"/>
  <c r="D76" i="5"/>
  <c r="C76" i="5"/>
  <c r="N75" i="5"/>
  <c r="L75" i="5"/>
  <c r="M75" i="5" s="1"/>
  <c r="J75" i="5"/>
  <c r="D75" i="5"/>
  <c r="C75" i="5"/>
  <c r="N74" i="5"/>
  <c r="J74" i="5"/>
  <c r="L74" i="5" s="1"/>
  <c r="M74" i="5" s="1"/>
  <c r="D74" i="5"/>
  <c r="C74" i="5"/>
  <c r="N73" i="5"/>
  <c r="L73" i="5"/>
  <c r="M73" i="5" s="1"/>
  <c r="K73" i="5"/>
  <c r="J73" i="5"/>
  <c r="D73" i="5"/>
  <c r="C73" i="5"/>
  <c r="O72" i="5"/>
  <c r="N72" i="5"/>
  <c r="J72" i="5"/>
  <c r="L72" i="5" s="1"/>
  <c r="M72" i="5" s="1"/>
  <c r="D72" i="5"/>
  <c r="C72" i="5"/>
  <c r="N71" i="5"/>
  <c r="L71" i="5"/>
  <c r="M71" i="5" s="1"/>
  <c r="D71" i="5"/>
  <c r="C71" i="5"/>
  <c r="N70" i="5"/>
  <c r="L70" i="5"/>
  <c r="M70" i="5" s="1"/>
  <c r="J70" i="5"/>
  <c r="D70" i="5"/>
  <c r="C70" i="5"/>
  <c r="N69" i="5"/>
  <c r="J69" i="5"/>
  <c r="L69" i="5" s="1"/>
  <c r="M69" i="5" s="1"/>
  <c r="D69" i="5"/>
  <c r="C69" i="5"/>
  <c r="N68" i="5"/>
  <c r="E42" i="5" s="1"/>
  <c r="J68" i="5"/>
  <c r="L68" i="5" s="1"/>
  <c r="M68" i="5" s="1"/>
  <c r="D68" i="5"/>
  <c r="C68" i="5"/>
  <c r="A68" i="5"/>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N67" i="5"/>
  <c r="J67" i="5"/>
  <c r="L67" i="5" s="1"/>
  <c r="M67" i="5" s="1"/>
  <c r="D67" i="5"/>
  <c r="C67" i="5"/>
  <c r="N66" i="5"/>
  <c r="L66" i="5"/>
  <c r="M66" i="5" s="1"/>
  <c r="J66" i="5"/>
  <c r="D66" i="5"/>
  <c r="C66" i="5"/>
  <c r="N65" i="5"/>
  <c r="J65" i="5"/>
  <c r="L65" i="5" s="1"/>
  <c r="M65" i="5" s="1"/>
  <c r="D65" i="5"/>
  <c r="C65" i="5"/>
  <c r="N64" i="5"/>
  <c r="L64" i="5"/>
  <c r="M64" i="5" s="1"/>
  <c r="J64" i="5"/>
  <c r="D64" i="5"/>
  <c r="C64" i="5"/>
  <c r="N63" i="5"/>
  <c r="J63" i="5"/>
  <c r="L63" i="5" s="1"/>
  <c r="M63" i="5" s="1"/>
  <c r="D63" i="5"/>
  <c r="C63" i="5"/>
  <c r="N62" i="5"/>
  <c r="L62" i="5"/>
  <c r="M62" i="5" s="1"/>
  <c r="J62" i="5"/>
  <c r="D62" i="5"/>
  <c r="C62" i="5"/>
  <c r="N61" i="5"/>
  <c r="K61" i="5"/>
  <c r="J61" i="5"/>
  <c r="L61" i="5" s="1"/>
  <c r="M61" i="5" s="1"/>
  <c r="D61" i="5"/>
  <c r="C61" i="5"/>
  <c r="N60" i="5"/>
  <c r="E41" i="5" s="1"/>
  <c r="J60" i="5"/>
  <c r="L60" i="5" s="1"/>
  <c r="D60" i="5"/>
  <c r="C60" i="5"/>
  <c r="N59" i="5"/>
  <c r="M59" i="5"/>
  <c r="L59" i="5"/>
  <c r="K59" i="5"/>
  <c r="D59" i="5"/>
  <c r="C59" i="5"/>
  <c r="F48" i="5"/>
  <c r="E48" i="5"/>
  <c r="G47" i="5"/>
  <c r="G48" i="5" s="1"/>
  <c r="G46" i="5"/>
  <c r="AG34" i="5"/>
  <c r="AR33" i="5"/>
  <c r="AP33" i="5"/>
  <c r="AN33" i="5"/>
  <c r="AL33" i="5"/>
  <c r="AJ33" i="5"/>
  <c r="AH33" i="5"/>
  <c r="AQ28" i="5"/>
  <c r="AP28" i="5"/>
  <c r="AQ27" i="5"/>
  <c r="AP27" i="5"/>
  <c r="AN27" i="5"/>
  <c r="AL27" i="5"/>
  <c r="AJ27" i="5"/>
  <c r="AH27" i="5"/>
  <c r="S27" i="5"/>
  <c r="O27" i="5"/>
  <c r="J27" i="5"/>
  <c r="H27" i="5"/>
  <c r="Q27" i="5" s="1"/>
  <c r="D27" i="5"/>
  <c r="C27" i="5"/>
  <c r="AP25" i="5"/>
  <c r="AN25" i="5"/>
  <c r="AL25" i="5"/>
  <c r="AJ25" i="5"/>
  <c r="AH25" i="5"/>
  <c r="S25" i="5"/>
  <c r="O25" i="5"/>
  <c r="J25" i="5"/>
  <c r="H25" i="5"/>
  <c r="Q25" i="5" s="1"/>
  <c r="D25" i="5"/>
  <c r="AQ24" i="5"/>
  <c r="AP24" i="5"/>
  <c r="AQ23" i="5"/>
  <c r="AP23" i="5"/>
  <c r="AN23" i="5"/>
  <c r="AL23" i="5"/>
  <c r="AJ23" i="5"/>
  <c r="AH23" i="5"/>
  <c r="S23" i="5"/>
  <c r="O23" i="5"/>
  <c r="J23" i="5"/>
  <c r="H23" i="5"/>
  <c r="Q23" i="5" s="1"/>
  <c r="D23" i="5"/>
  <c r="AQ22" i="5"/>
  <c r="AP22" i="5"/>
  <c r="AQ21" i="5"/>
  <c r="AP21" i="5"/>
  <c r="AN21" i="5"/>
  <c r="AL21" i="5"/>
  <c r="AJ21" i="5"/>
  <c r="AH21" i="5"/>
  <c r="S21" i="5"/>
  <c r="O21" i="5"/>
  <c r="J21" i="5"/>
  <c r="H21" i="5"/>
  <c r="Q21" i="5" s="1"/>
  <c r="D21" i="5"/>
  <c r="A21" i="5"/>
  <c r="A23" i="5" s="1"/>
  <c r="A25" i="5" s="1"/>
  <c r="A27" i="5" s="1"/>
  <c r="AQ20" i="5"/>
  <c r="AP20" i="5"/>
  <c r="AQ19" i="5"/>
  <c r="AP19" i="5"/>
  <c r="AN19" i="5"/>
  <c r="AL19" i="5"/>
  <c r="AJ19" i="5"/>
  <c r="AH19" i="5"/>
  <c r="S19" i="5"/>
  <c r="O19" i="5"/>
  <c r="J19" i="5"/>
  <c r="H19" i="5"/>
  <c r="Q19" i="5" s="1"/>
  <c r="D19" i="5"/>
  <c r="AQ15" i="5"/>
  <c r="AP15" i="5"/>
  <c r="AQ14" i="5"/>
  <c r="AP14" i="5"/>
  <c r="AN14" i="5"/>
  <c r="AL14" i="5"/>
  <c r="AJ14" i="5"/>
  <c r="AH14" i="5"/>
  <c r="O14" i="5"/>
  <c r="J14" i="5"/>
  <c r="H14" i="5"/>
  <c r="Q14" i="5" s="1"/>
  <c r="D14" i="5"/>
  <c r="AQ13" i="5"/>
  <c r="AP13" i="5"/>
  <c r="AQ12" i="5"/>
  <c r="AP12" i="5"/>
  <c r="AN12" i="5"/>
  <c r="AL12" i="5"/>
  <c r="AJ12" i="5"/>
  <c r="AH12" i="5"/>
  <c r="O12" i="5"/>
  <c r="J12" i="5"/>
  <c r="H12" i="5"/>
  <c r="Q12" i="5" s="1"/>
  <c r="D12" i="5"/>
  <c r="AQ11" i="5"/>
  <c r="AP11" i="5"/>
  <c r="AQ10" i="5"/>
  <c r="AP10" i="5"/>
  <c r="AN10" i="5"/>
  <c r="AL10" i="5"/>
  <c r="AJ10" i="5"/>
  <c r="AH10" i="5"/>
  <c r="O10" i="5"/>
  <c r="J10" i="5"/>
  <c r="H10" i="5"/>
  <c r="S10" i="5" s="1"/>
  <c r="D10" i="5"/>
  <c r="AQ9" i="5"/>
  <c r="AP9" i="5"/>
  <c r="A9" i="5"/>
  <c r="AQ8" i="5"/>
  <c r="AP8" i="5"/>
  <c r="AN8" i="5"/>
  <c r="AL8" i="5"/>
  <c r="AJ8" i="5"/>
  <c r="AH8" i="5"/>
  <c r="O8" i="5"/>
  <c r="J8" i="5"/>
  <c r="H8" i="5"/>
  <c r="S8" i="5" s="1"/>
  <c r="D8" i="5"/>
  <c r="AQ7" i="5"/>
  <c r="AP7" i="5"/>
  <c r="A7" i="5"/>
  <c r="AQ6" i="5"/>
  <c r="AP6" i="5"/>
  <c r="AN6" i="5"/>
  <c r="AL6" i="5"/>
  <c r="AJ6" i="5"/>
  <c r="AH6" i="5"/>
  <c r="O6" i="5"/>
  <c r="J6" i="5"/>
  <c r="H6" i="5"/>
  <c r="S6" i="5" s="1"/>
  <c r="D6" i="5"/>
  <c r="A6" i="5"/>
  <c r="A8" i="5" s="1"/>
  <c r="A10" i="5" s="1"/>
  <c r="A12" i="5" s="1"/>
  <c r="A14" i="5" s="1"/>
  <c r="AQ5" i="5"/>
  <c r="AP5" i="5"/>
  <c r="AQ4" i="5"/>
  <c r="AP4" i="5"/>
  <c r="AN4" i="5"/>
  <c r="AL4" i="5"/>
  <c r="AJ4" i="5"/>
  <c r="AH4" i="5"/>
  <c r="O4" i="5"/>
  <c r="J4" i="5"/>
  <c r="I4" i="5" s="1"/>
  <c r="H4" i="5"/>
  <c r="S4" i="5" s="1"/>
  <c r="D4" i="5"/>
  <c r="AF44" i="4"/>
  <c r="AE44" i="4"/>
  <c r="AK43" i="4"/>
  <c r="AI43" i="4"/>
  <c r="AG43" i="4"/>
  <c r="AF43" i="4"/>
  <c r="AE43" i="4"/>
  <c r="P43" i="4"/>
  <c r="D43" i="4"/>
  <c r="C43" i="4"/>
  <c r="AL40" i="4"/>
  <c r="AK40" i="4"/>
  <c r="AL39" i="4"/>
  <c r="AK39" i="4"/>
  <c r="AI39" i="4"/>
  <c r="AG39" i="4"/>
  <c r="AE39" i="4"/>
  <c r="P39" i="4"/>
  <c r="Y39" i="4" s="1"/>
  <c r="D39" i="4"/>
  <c r="C39" i="4"/>
  <c r="AL38" i="4"/>
  <c r="AK38" i="4"/>
  <c r="AL37" i="4"/>
  <c r="AK37" i="4"/>
  <c r="AI37" i="4"/>
  <c r="AG37" i="4"/>
  <c r="AE37" i="4"/>
  <c r="P37" i="4"/>
  <c r="X37" i="4" s="1"/>
  <c r="D37" i="4"/>
  <c r="C37" i="4"/>
  <c r="AL36" i="4"/>
  <c r="AK36" i="4"/>
  <c r="AL35" i="4"/>
  <c r="AK35" i="4"/>
  <c r="AI35" i="4"/>
  <c r="AG35" i="4"/>
  <c r="AE35" i="4"/>
  <c r="P35" i="4"/>
  <c r="X35" i="4" s="1"/>
  <c r="D35" i="4"/>
  <c r="C35" i="4"/>
  <c r="AL34" i="4"/>
  <c r="AK34" i="4"/>
  <c r="AL33" i="4"/>
  <c r="AK33" i="4"/>
  <c r="AI33" i="4"/>
  <c r="AG33" i="4"/>
  <c r="AE33" i="4"/>
  <c r="P33" i="4"/>
  <c r="W33" i="4" s="1"/>
  <c r="D33" i="4"/>
  <c r="C33" i="4"/>
  <c r="AL32" i="4"/>
  <c r="AK32" i="4"/>
  <c r="AL31" i="4"/>
  <c r="AK31" i="4"/>
  <c r="AI31" i="4"/>
  <c r="AG31" i="4"/>
  <c r="AE31" i="4"/>
  <c r="P31" i="4"/>
  <c r="V31" i="4" s="1"/>
  <c r="D31" i="4"/>
  <c r="C31" i="4"/>
  <c r="AL30" i="4"/>
  <c r="AK30" i="4"/>
  <c r="AL29" i="4"/>
  <c r="AK29" i="4"/>
  <c r="AI29" i="4"/>
  <c r="AG29" i="4"/>
  <c r="AE29" i="4"/>
  <c r="P29" i="4"/>
  <c r="X29" i="4" s="1"/>
  <c r="D29" i="4"/>
  <c r="C29" i="4"/>
  <c r="AL28" i="4"/>
  <c r="AK28" i="4"/>
  <c r="AL27" i="4"/>
  <c r="AK27" i="4"/>
  <c r="AI27" i="4"/>
  <c r="AG27" i="4"/>
  <c r="AE27" i="4"/>
  <c r="P27" i="4"/>
  <c r="Y27" i="4" s="1"/>
  <c r="D27" i="4"/>
  <c r="C27" i="4"/>
  <c r="AL26" i="4"/>
  <c r="AK26" i="4"/>
  <c r="AL25" i="4"/>
  <c r="AK25" i="4"/>
  <c r="AI25" i="4"/>
  <c r="AG25" i="4"/>
  <c r="AE25" i="4"/>
  <c r="P25" i="4"/>
  <c r="Y25" i="4" s="1"/>
  <c r="D25" i="4"/>
  <c r="C25" i="4"/>
  <c r="AL24" i="4"/>
  <c r="AK24" i="4"/>
  <c r="AL23" i="4"/>
  <c r="AK23" i="4"/>
  <c r="AI23" i="4"/>
  <c r="AG23" i="4"/>
  <c r="AE23" i="4"/>
  <c r="P23" i="4"/>
  <c r="X23" i="4" s="1"/>
  <c r="D23" i="4"/>
  <c r="C23" i="4"/>
  <c r="AL22" i="4"/>
  <c r="AK22" i="4"/>
  <c r="AL21" i="4"/>
  <c r="AK21" i="4"/>
  <c r="AI21" i="4"/>
  <c r="AG21" i="4"/>
  <c r="AE21" i="4"/>
  <c r="P21" i="4"/>
  <c r="Y21" i="4" s="1"/>
  <c r="D21" i="4"/>
  <c r="C21" i="4"/>
  <c r="AL20" i="4"/>
  <c r="AK20" i="4"/>
  <c r="AL19" i="4"/>
  <c r="AK19" i="4"/>
  <c r="AI19" i="4"/>
  <c r="AG19" i="4"/>
  <c r="AE19" i="4"/>
  <c r="P19" i="4"/>
  <c r="Y19" i="4" s="1"/>
  <c r="D19" i="4"/>
  <c r="C19" i="4"/>
  <c r="AL18" i="4"/>
  <c r="AK18" i="4"/>
  <c r="AL17" i="4"/>
  <c r="AK17" i="4"/>
  <c r="AI17" i="4"/>
  <c r="AG17" i="4"/>
  <c r="AE17" i="4"/>
  <c r="P17" i="4"/>
  <c r="Y17" i="4" s="1"/>
  <c r="D17" i="4"/>
  <c r="C17" i="4"/>
  <c r="AL16" i="4"/>
  <c r="AK16" i="4"/>
  <c r="AL15" i="4"/>
  <c r="AK15" i="4"/>
  <c r="AI15" i="4"/>
  <c r="AG15" i="4"/>
  <c r="AE15" i="4"/>
  <c r="P15" i="4"/>
  <c r="Y15" i="4" s="1"/>
  <c r="D15" i="4"/>
  <c r="C15" i="4"/>
  <c r="AL14" i="4"/>
  <c r="AK14" i="4"/>
  <c r="AL13" i="4"/>
  <c r="AK13" i="4"/>
  <c r="AI13" i="4"/>
  <c r="AG13" i="4"/>
  <c r="AE13" i="4"/>
  <c r="P13" i="4"/>
  <c r="X13" i="4" s="1"/>
  <c r="D13" i="4"/>
  <c r="C13" i="4"/>
  <c r="AL12" i="4"/>
  <c r="AK12" i="4"/>
  <c r="AL11" i="4"/>
  <c r="AK11" i="4"/>
  <c r="AI11" i="4"/>
  <c r="AG11" i="4"/>
  <c r="AE11" i="4"/>
  <c r="P11" i="4"/>
  <c r="X11" i="4" s="1"/>
  <c r="D11" i="4"/>
  <c r="C11" i="4"/>
  <c r="AL10" i="4"/>
  <c r="AK10" i="4"/>
  <c r="AL9" i="4"/>
  <c r="AK9" i="4"/>
  <c r="AI9" i="4"/>
  <c r="AG9" i="4"/>
  <c r="AE9" i="4"/>
  <c r="P9" i="4"/>
  <c r="X9" i="4" s="1"/>
  <c r="D9" i="4"/>
  <c r="C9" i="4"/>
  <c r="AL8" i="4"/>
  <c r="AK8" i="4"/>
  <c r="AL7" i="4"/>
  <c r="AK7" i="4"/>
  <c r="AI7" i="4"/>
  <c r="AG7" i="4"/>
  <c r="AE7" i="4"/>
  <c r="P7" i="4"/>
  <c r="X7" i="4" s="1"/>
  <c r="D7" i="4"/>
  <c r="C7" i="4"/>
  <c r="AL6" i="4"/>
  <c r="AK6" i="4"/>
  <c r="AL5" i="4"/>
  <c r="AK5" i="4"/>
  <c r="AI5" i="4"/>
  <c r="AG5" i="4"/>
  <c r="AE5" i="4"/>
  <c r="P5" i="4"/>
  <c r="X5" i="4" s="1"/>
  <c r="D5" i="4"/>
  <c r="C5" i="4"/>
  <c r="AL4" i="4"/>
  <c r="AK4" i="4"/>
  <c r="AL3" i="4"/>
  <c r="AK3" i="4"/>
  <c r="AI3" i="4"/>
  <c r="AG3" i="4"/>
  <c r="AE3" i="4"/>
  <c r="P3" i="4"/>
  <c r="X3" i="4" s="1"/>
  <c r="D3" i="4"/>
  <c r="C3" i="4"/>
  <c r="P97" i="3"/>
  <c r="L97" i="3"/>
  <c r="N97" i="3" s="1"/>
  <c r="D97" i="3"/>
  <c r="C97" i="3"/>
  <c r="P96" i="3"/>
  <c r="L96" i="3"/>
  <c r="N96" i="3" s="1"/>
  <c r="D96" i="3"/>
  <c r="C96" i="3"/>
  <c r="P95" i="3"/>
  <c r="L95" i="3"/>
  <c r="N95" i="3" s="1"/>
  <c r="D95" i="3"/>
  <c r="C95" i="3"/>
  <c r="P94" i="3"/>
  <c r="N94" i="3"/>
  <c r="O94" i="3" s="1"/>
  <c r="L94" i="3"/>
  <c r="M94" i="3" s="1"/>
  <c r="D94" i="3"/>
  <c r="C94" i="3"/>
  <c r="Q93" i="3"/>
  <c r="P93" i="3"/>
  <c r="L93" i="3"/>
  <c r="N93" i="3" s="1"/>
  <c r="D93" i="3"/>
  <c r="C93" i="3"/>
  <c r="P92" i="3"/>
  <c r="N92" i="3"/>
  <c r="O92" i="3" s="1"/>
  <c r="M92" i="3"/>
  <c r="L92" i="3"/>
  <c r="D92" i="3"/>
  <c r="C92" i="3"/>
  <c r="P91" i="3"/>
  <c r="N91" i="3"/>
  <c r="M91" i="3"/>
  <c r="K91" i="3"/>
  <c r="D91" i="3"/>
  <c r="C91" i="3"/>
  <c r="Q90" i="3"/>
  <c r="P90" i="3"/>
  <c r="L90" i="3"/>
  <c r="N90" i="3" s="1"/>
  <c r="D90" i="3"/>
  <c r="C90" i="3"/>
  <c r="Q89" i="3"/>
  <c r="P89" i="3"/>
  <c r="N89" i="3"/>
  <c r="O89" i="3" s="1"/>
  <c r="M89" i="3"/>
  <c r="D89" i="3"/>
  <c r="C89" i="3"/>
  <c r="Q88" i="3"/>
  <c r="P88" i="3"/>
  <c r="N88" i="3"/>
  <c r="L88" i="3"/>
  <c r="M88" i="3" s="1"/>
  <c r="O88" i="3" s="1"/>
  <c r="D88" i="3"/>
  <c r="C88" i="3"/>
  <c r="Q87" i="3"/>
  <c r="P87" i="3"/>
  <c r="N87" i="3"/>
  <c r="O87" i="3" s="1"/>
  <c r="M87" i="3"/>
  <c r="D87" i="3"/>
  <c r="C87" i="3"/>
  <c r="P86" i="3"/>
  <c r="N86" i="3"/>
  <c r="M86" i="3"/>
  <c r="O86" i="3" s="1"/>
  <c r="D86" i="3"/>
  <c r="C86" i="3"/>
  <c r="Q85" i="3"/>
  <c r="P85" i="3"/>
  <c r="N85" i="3"/>
  <c r="O85" i="3" s="1"/>
  <c r="M85" i="3"/>
  <c r="D85" i="3"/>
  <c r="C85" i="3"/>
  <c r="P84" i="3"/>
  <c r="N84" i="3"/>
  <c r="O84" i="3" s="1"/>
  <c r="M84" i="3"/>
  <c r="D84" i="3"/>
  <c r="C84" i="3"/>
  <c r="Q83" i="3"/>
  <c r="P83" i="3"/>
  <c r="N83" i="3"/>
  <c r="M83" i="3"/>
  <c r="D83" i="3"/>
  <c r="C83" i="3"/>
  <c r="P82" i="3"/>
  <c r="O82" i="3"/>
  <c r="N82" i="3"/>
  <c r="M82" i="3"/>
  <c r="D82" i="3"/>
  <c r="C82" i="3"/>
  <c r="Q81" i="3"/>
  <c r="P81" i="3"/>
  <c r="O81" i="3"/>
  <c r="N81" i="3"/>
  <c r="M81" i="3"/>
  <c r="D81" i="3"/>
  <c r="C81" i="3"/>
  <c r="P80" i="3"/>
  <c r="L80" i="3"/>
  <c r="N80" i="3" s="1"/>
  <c r="D80" i="3"/>
  <c r="C80" i="3"/>
  <c r="P79" i="3"/>
  <c r="N79" i="3"/>
  <c r="M79" i="3"/>
  <c r="O79" i="3" s="1"/>
  <c r="D79" i="3"/>
  <c r="C79" i="3"/>
  <c r="P78" i="3"/>
  <c r="M78" i="3"/>
  <c r="L78" i="3"/>
  <c r="N78" i="3" s="1"/>
  <c r="D78" i="3"/>
  <c r="C78" i="3"/>
  <c r="P77" i="3"/>
  <c r="N77" i="3"/>
  <c r="O77" i="3" s="1"/>
  <c r="M77" i="3"/>
  <c r="L77" i="3"/>
  <c r="D77" i="3"/>
  <c r="C77" i="3"/>
  <c r="P76" i="3"/>
  <c r="N76" i="3"/>
  <c r="M76" i="3"/>
  <c r="D76" i="3"/>
  <c r="C76" i="3"/>
  <c r="P75" i="3"/>
  <c r="O75" i="3"/>
  <c r="N75" i="3"/>
  <c r="M75" i="3"/>
  <c r="D75" i="3"/>
  <c r="C75" i="3"/>
  <c r="A75" i="3"/>
  <c r="A76" i="3" s="1"/>
  <c r="A77" i="3" s="1"/>
  <c r="A78" i="3" s="1"/>
  <c r="A79" i="3" s="1"/>
  <c r="A80" i="3" s="1"/>
  <c r="A81" i="3" s="1"/>
  <c r="A82" i="3" s="1"/>
  <c r="A83" i="3" s="1"/>
  <c r="A84" i="3" s="1"/>
  <c r="A85" i="3" s="1"/>
  <c r="A86" i="3" s="1"/>
  <c r="A87" i="3" s="1"/>
  <c r="A88" i="3" s="1"/>
  <c r="A89" i="3" s="1"/>
  <c r="P74" i="3"/>
  <c r="N74" i="3"/>
  <c r="O74" i="3" s="1"/>
  <c r="M74" i="3"/>
  <c r="D74" i="3"/>
  <c r="C74" i="3"/>
  <c r="A74" i="3"/>
  <c r="P73" i="3"/>
  <c r="L73" i="3"/>
  <c r="N73" i="3" s="1"/>
  <c r="D73" i="3"/>
  <c r="C73" i="3"/>
  <c r="A73" i="3"/>
  <c r="P72" i="3"/>
  <c r="N72" i="3"/>
  <c r="O72" i="3" s="1"/>
  <c r="M72" i="3"/>
  <c r="D72" i="3"/>
  <c r="C72" i="3"/>
  <c r="P71" i="3"/>
  <c r="N71" i="3"/>
  <c r="O71" i="3" s="1"/>
  <c r="M71" i="3"/>
  <c r="D71" i="3"/>
  <c r="C71" i="3"/>
  <c r="P70" i="3"/>
  <c r="O70" i="3"/>
  <c r="N70" i="3"/>
  <c r="M70" i="3"/>
  <c r="D70" i="3"/>
  <c r="C70" i="3"/>
  <c r="P69" i="3"/>
  <c r="N69" i="3"/>
  <c r="O69" i="3" s="1"/>
  <c r="M69" i="3"/>
  <c r="L69" i="3"/>
  <c r="D69" i="3"/>
  <c r="C69" i="3"/>
  <c r="P68" i="3"/>
  <c r="N68" i="3"/>
  <c r="O68" i="3" s="1"/>
  <c r="M68" i="3"/>
  <c r="D68" i="3"/>
  <c r="C68" i="3"/>
  <c r="M67" i="3"/>
  <c r="J67" i="3"/>
  <c r="N67" i="3" s="1"/>
  <c r="O67" i="3" s="1"/>
  <c r="D67" i="3"/>
  <c r="C67" i="3"/>
  <c r="P66" i="3"/>
  <c r="N66" i="3"/>
  <c r="O66" i="3" s="1"/>
  <c r="M66" i="3"/>
  <c r="D66" i="3"/>
  <c r="C66" i="3"/>
  <c r="P65" i="3"/>
  <c r="N65" i="3"/>
  <c r="O65" i="3" s="1"/>
  <c r="M65" i="3"/>
  <c r="D65" i="3"/>
  <c r="C65" i="3"/>
  <c r="AD62" i="3"/>
  <c r="AZ61" i="3"/>
  <c r="AL50" i="3"/>
  <c r="M50" i="3"/>
  <c r="L50" i="3"/>
  <c r="K50" i="3"/>
  <c r="AV40" i="3"/>
  <c r="AU40" i="3"/>
  <c r="AP40" i="3"/>
  <c r="AO40" i="3"/>
  <c r="AN40" i="3"/>
  <c r="AM40" i="3"/>
  <c r="AV39" i="3"/>
  <c r="AU39" i="3"/>
  <c r="AS39" i="3"/>
  <c r="AQ39" i="3"/>
  <c r="AP39" i="3"/>
  <c r="AO39" i="3"/>
  <c r="AN39" i="3"/>
  <c r="AM39" i="3"/>
  <c r="Q39" i="3"/>
  <c r="L39" i="3"/>
  <c r="J39" i="3"/>
  <c r="S39" i="3" s="1"/>
  <c r="D39" i="3"/>
  <c r="AP38" i="3"/>
  <c r="AO38" i="3"/>
  <c r="AN38" i="3"/>
  <c r="AM38" i="3"/>
  <c r="AU37" i="3"/>
  <c r="AS37" i="3"/>
  <c r="AQ37" i="3"/>
  <c r="AP37" i="3"/>
  <c r="AO37" i="3"/>
  <c r="AN37" i="3"/>
  <c r="AM37" i="3"/>
  <c r="Q37" i="3"/>
  <c r="M37" i="3"/>
  <c r="J37" i="3"/>
  <c r="S37" i="3" s="1"/>
  <c r="D37" i="3"/>
  <c r="C37" i="3"/>
  <c r="AV36" i="3"/>
  <c r="AU36" i="3"/>
  <c r="AP36" i="3"/>
  <c r="AO36" i="3"/>
  <c r="A36" i="3"/>
  <c r="A38" i="3" s="1"/>
  <c r="AV35" i="3"/>
  <c r="AU35" i="3"/>
  <c r="AS35" i="3"/>
  <c r="AQ35" i="3"/>
  <c r="AP35" i="3"/>
  <c r="AO35" i="3"/>
  <c r="AM35" i="3"/>
  <c r="Q35" i="3"/>
  <c r="L35" i="3"/>
  <c r="J35" i="3"/>
  <c r="S35" i="3" s="1"/>
  <c r="D35" i="3"/>
  <c r="AV34" i="3"/>
  <c r="AU34" i="3"/>
  <c r="AP34" i="3"/>
  <c r="AO34" i="3"/>
  <c r="AV33" i="3"/>
  <c r="AU33" i="3"/>
  <c r="AS33" i="3"/>
  <c r="AQ33" i="3"/>
  <c r="AP33" i="3"/>
  <c r="AO33" i="3"/>
  <c r="AM33" i="3"/>
  <c r="Q33" i="3"/>
  <c r="L33" i="3"/>
  <c r="J33" i="3"/>
  <c r="N33" i="3" s="1"/>
  <c r="D33" i="3"/>
  <c r="AV32" i="3"/>
  <c r="AU32" i="3"/>
  <c r="AP32" i="3"/>
  <c r="AO32" i="3"/>
  <c r="AV31" i="3"/>
  <c r="AU31" i="3"/>
  <c r="AS31" i="3"/>
  <c r="AQ31" i="3"/>
  <c r="AP31" i="3"/>
  <c r="AO31" i="3"/>
  <c r="AM31" i="3"/>
  <c r="Q31" i="3"/>
  <c r="L31" i="3"/>
  <c r="J31" i="3"/>
  <c r="N31" i="3" s="1"/>
  <c r="D31" i="3"/>
  <c r="AV30" i="3"/>
  <c r="AU30" i="3"/>
  <c r="AP30" i="3"/>
  <c r="AO30" i="3"/>
  <c r="A30" i="3"/>
  <c r="A32" i="3" s="1"/>
  <c r="AV29" i="3"/>
  <c r="AU29" i="3"/>
  <c r="AS29" i="3"/>
  <c r="AQ29" i="3"/>
  <c r="AP29" i="3"/>
  <c r="AO29" i="3"/>
  <c r="AM29" i="3"/>
  <c r="Q29" i="3"/>
  <c r="L29" i="3"/>
  <c r="K29" i="3"/>
  <c r="J29" i="3"/>
  <c r="P29" i="3" s="1"/>
  <c r="D29" i="3"/>
  <c r="AV28" i="3"/>
  <c r="AU28" i="3"/>
  <c r="AP28" i="3"/>
  <c r="AO28" i="3"/>
  <c r="AV27" i="3"/>
  <c r="AU27" i="3"/>
  <c r="AS27" i="3"/>
  <c r="AQ27" i="3"/>
  <c r="AP27" i="3"/>
  <c r="AO27" i="3"/>
  <c r="AM27" i="3"/>
  <c r="Q27" i="3"/>
  <c r="L27" i="3"/>
  <c r="M27" i="3" s="1"/>
  <c r="J27" i="3"/>
  <c r="N27" i="3" s="1"/>
  <c r="D27" i="3"/>
  <c r="AV26" i="3"/>
  <c r="AU26" i="3"/>
  <c r="AP26" i="3"/>
  <c r="AO26" i="3"/>
  <c r="A26" i="3"/>
  <c r="A28" i="3" s="1"/>
  <c r="AV25" i="3"/>
  <c r="AU25" i="3"/>
  <c r="AS25" i="3"/>
  <c r="AQ25" i="3"/>
  <c r="AP25" i="3"/>
  <c r="AO25" i="3"/>
  <c r="AM25" i="3"/>
  <c r="Q25" i="3"/>
  <c r="M25" i="3"/>
  <c r="L25" i="3"/>
  <c r="J25" i="3"/>
  <c r="U25" i="3" s="1"/>
  <c r="D25" i="3"/>
  <c r="AV24" i="3"/>
  <c r="AU24" i="3"/>
  <c r="AP24" i="3"/>
  <c r="AO24" i="3"/>
  <c r="AV23" i="3"/>
  <c r="AU23" i="3"/>
  <c r="AS23" i="3"/>
  <c r="AQ23" i="3"/>
  <c r="AP23" i="3"/>
  <c r="AO23" i="3"/>
  <c r="AM23" i="3"/>
  <c r="Q23" i="3"/>
  <c r="M23" i="3"/>
  <c r="J23" i="3"/>
  <c r="P23" i="3" s="1"/>
  <c r="D23" i="3"/>
  <c r="AV22" i="3"/>
  <c r="AU22" i="3"/>
  <c r="AP22" i="3"/>
  <c r="AO22" i="3"/>
  <c r="AV21" i="3"/>
  <c r="AU21" i="3"/>
  <c r="AS21" i="3"/>
  <c r="AQ21" i="3"/>
  <c r="AP21" i="3"/>
  <c r="AO21" i="3"/>
  <c r="AM21" i="3"/>
  <c r="Q21" i="3"/>
  <c r="L21" i="3"/>
  <c r="J21" i="3"/>
  <c r="S21" i="3" s="1"/>
  <c r="D21" i="3"/>
  <c r="AV20" i="3"/>
  <c r="AU20" i="3"/>
  <c r="AP20" i="3"/>
  <c r="AO20" i="3"/>
  <c r="AN20" i="3"/>
  <c r="AM20" i="3"/>
  <c r="AV19" i="3"/>
  <c r="AU19" i="3"/>
  <c r="AS19" i="3"/>
  <c r="AQ19" i="3"/>
  <c r="AP19" i="3"/>
  <c r="AO19" i="3"/>
  <c r="AN19" i="3"/>
  <c r="AM19" i="3"/>
  <c r="Q19" i="3"/>
  <c r="L19" i="3"/>
  <c r="J19" i="3"/>
  <c r="S19" i="3" s="1"/>
  <c r="D19" i="3"/>
  <c r="C19" i="3"/>
  <c r="AN18" i="3"/>
  <c r="AM18" i="3"/>
  <c r="AU17" i="3"/>
  <c r="AS17" i="3"/>
  <c r="AQ17" i="3"/>
  <c r="AO17" i="3"/>
  <c r="AN17" i="3"/>
  <c r="AM17" i="3"/>
  <c r="Q17" i="3"/>
  <c r="L17" i="3"/>
  <c r="K17" i="3"/>
  <c r="J17" i="3"/>
  <c r="N17" i="3" s="1"/>
  <c r="D17" i="3"/>
  <c r="AV16" i="3"/>
  <c r="AU16" i="3"/>
  <c r="AP16" i="3"/>
  <c r="AO16" i="3"/>
  <c r="AN16" i="3"/>
  <c r="AM16" i="3"/>
  <c r="A16" i="3"/>
  <c r="A18" i="3" s="1"/>
  <c r="A20" i="3" s="1"/>
  <c r="AV15" i="3"/>
  <c r="AU15" i="3"/>
  <c r="AS15" i="3"/>
  <c r="AQ15" i="3"/>
  <c r="AP15" i="3"/>
  <c r="AO15" i="3"/>
  <c r="AN15" i="3"/>
  <c r="AM15" i="3"/>
  <c r="Q15" i="3"/>
  <c r="M15" i="3"/>
  <c r="L15" i="3"/>
  <c r="K15" i="3"/>
  <c r="J15" i="3"/>
  <c r="U15" i="3" s="1"/>
  <c r="D15" i="3"/>
  <c r="AV14" i="3"/>
  <c r="AU14" i="3"/>
  <c r="AP14" i="3"/>
  <c r="AO14" i="3"/>
  <c r="AN14" i="3"/>
  <c r="AM14" i="3"/>
  <c r="A14" i="3"/>
  <c r="AV13" i="3"/>
  <c r="AU13" i="3"/>
  <c r="AS13" i="3"/>
  <c r="AQ13" i="3"/>
  <c r="AP13" i="3"/>
  <c r="AO13" i="3"/>
  <c r="AN13" i="3"/>
  <c r="AM13" i="3"/>
  <c r="Q13" i="3"/>
  <c r="M13" i="3"/>
  <c r="J13" i="3"/>
  <c r="U13" i="3" s="1"/>
  <c r="D13" i="3"/>
  <c r="AV12" i="3"/>
  <c r="AU12" i="3"/>
  <c r="AP12" i="3"/>
  <c r="AO12" i="3"/>
  <c r="AN12" i="3"/>
  <c r="AM12" i="3"/>
  <c r="AV11" i="3"/>
  <c r="AU11" i="3"/>
  <c r="AS11" i="3"/>
  <c r="AQ11" i="3"/>
  <c r="AP11" i="3"/>
  <c r="AO11" i="3"/>
  <c r="AN11" i="3"/>
  <c r="AM11" i="3"/>
  <c r="Q11" i="3"/>
  <c r="M11" i="3"/>
  <c r="J11" i="3"/>
  <c r="N11" i="3" s="1"/>
  <c r="D11" i="3"/>
  <c r="AV10" i="3"/>
  <c r="AU10" i="3"/>
  <c r="AP10" i="3"/>
  <c r="AO10" i="3"/>
  <c r="AN10" i="3"/>
  <c r="AM10" i="3"/>
  <c r="A10" i="3"/>
  <c r="AV9" i="3"/>
  <c r="AU9" i="3"/>
  <c r="AS9" i="3"/>
  <c r="AQ9" i="3"/>
  <c r="AP9" i="3"/>
  <c r="AO9" i="3"/>
  <c r="AN9" i="3"/>
  <c r="AM9" i="3"/>
  <c r="Q9" i="3"/>
  <c r="L9" i="3"/>
  <c r="M9" i="3" s="1"/>
  <c r="J9" i="3"/>
  <c r="P9" i="3" s="1"/>
  <c r="D9" i="3"/>
  <c r="A9" i="3"/>
  <c r="A11" i="3" s="1"/>
  <c r="A13" i="3" s="1"/>
  <c r="A15" i="3" s="1"/>
  <c r="A17" i="3" s="1"/>
  <c r="AV8" i="3"/>
  <c r="AU8" i="3"/>
  <c r="AP8" i="3"/>
  <c r="AO8" i="3"/>
  <c r="AN8" i="3"/>
  <c r="AM8" i="3"/>
  <c r="A8" i="3"/>
  <c r="AV7" i="3"/>
  <c r="AU7" i="3"/>
  <c r="AS7" i="3"/>
  <c r="AQ7" i="3"/>
  <c r="AP7" i="3"/>
  <c r="AO7" i="3"/>
  <c r="AN7" i="3"/>
  <c r="AM7" i="3"/>
  <c r="Q7" i="3"/>
  <c r="L7" i="3"/>
  <c r="K7" i="3" s="1"/>
  <c r="J7" i="3"/>
  <c r="U7" i="3" s="1"/>
  <c r="D7" i="3"/>
  <c r="A7" i="3"/>
  <c r="AV6" i="3"/>
  <c r="AU6" i="3"/>
  <c r="AP6" i="3"/>
  <c r="AO6" i="3"/>
  <c r="AN6" i="3"/>
  <c r="AM6" i="3"/>
  <c r="A6" i="3"/>
  <c r="AV5" i="3"/>
  <c r="AU5" i="3"/>
  <c r="AS5" i="3"/>
  <c r="AQ5" i="3"/>
  <c r="AP5" i="3"/>
  <c r="AO5" i="3"/>
  <c r="AN5" i="3"/>
  <c r="AM5" i="3"/>
  <c r="Q5" i="3"/>
  <c r="K5" i="3"/>
  <c r="M5" i="3" s="1"/>
  <c r="J5" i="3"/>
  <c r="U5" i="3" s="1"/>
  <c r="D5" i="3"/>
  <c r="A5" i="3"/>
  <c r="AV4" i="3"/>
  <c r="AU4" i="3"/>
  <c r="AP4" i="3"/>
  <c r="AO4" i="3"/>
  <c r="AN4" i="3"/>
  <c r="AM4" i="3"/>
  <c r="S4" i="3"/>
  <c r="AV3" i="3"/>
  <c r="AU3" i="3"/>
  <c r="AS3" i="3"/>
  <c r="AQ3" i="3"/>
  <c r="AP3" i="3"/>
  <c r="AO3" i="3"/>
  <c r="AN3" i="3"/>
  <c r="AM3" i="3"/>
  <c r="Q3" i="3"/>
  <c r="L3" i="3"/>
  <c r="M3" i="3" s="1"/>
  <c r="J3" i="3"/>
  <c r="P3" i="3" s="1"/>
  <c r="D3" i="3"/>
  <c r="U9" i="3" l="1"/>
  <c r="N8" i="5"/>
  <c r="W35" i="4"/>
  <c r="Q10" i="5"/>
  <c r="W25" i="4"/>
  <c r="Y29" i="4"/>
  <c r="N15" i="3"/>
  <c r="O15" i="3" s="1"/>
  <c r="Y11" i="4"/>
  <c r="Y37" i="4"/>
  <c r="L8" i="5"/>
  <c r="M8" i="5" s="1"/>
  <c r="N21" i="5"/>
  <c r="P5" i="3"/>
  <c r="P21" i="3"/>
  <c r="Y5" i="4"/>
  <c r="Q8" i="5"/>
  <c r="U21" i="3"/>
  <c r="P15" i="3"/>
  <c r="P27" i="3"/>
  <c r="X33" i="4"/>
  <c r="U33" i="3"/>
  <c r="X31" i="4"/>
  <c r="S5" i="3"/>
  <c r="N13" i="3"/>
  <c r="O13" i="3" s="1"/>
  <c r="U17" i="3"/>
  <c r="N19" i="3"/>
  <c r="O19" i="3" s="1"/>
  <c r="W13" i="4"/>
  <c r="U3" i="3"/>
  <c r="P13" i="3"/>
  <c r="U35" i="3"/>
  <c r="Y9" i="4"/>
  <c r="O31" i="5"/>
  <c r="S13" i="3"/>
  <c r="S23" i="3"/>
  <c r="Y7" i="4"/>
  <c r="S7" i="3"/>
  <c r="S17" i="3"/>
  <c r="S29" i="3"/>
  <c r="P11" i="3"/>
  <c r="U23" i="3"/>
  <c r="S27" i="3"/>
  <c r="U27" i="3"/>
  <c r="Y3" i="4"/>
  <c r="L21" i="5"/>
  <c r="M21" i="5" s="1"/>
  <c r="O104" i="5"/>
  <c r="S3" i="3"/>
  <c r="U37" i="3"/>
  <c r="L6" i="5"/>
  <c r="M6" i="5" s="1"/>
  <c r="P31" i="3"/>
  <c r="V13" i="4"/>
  <c r="W31" i="4"/>
  <c r="V35" i="4"/>
  <c r="W39" i="4"/>
  <c r="N6" i="5"/>
  <c r="L12" i="5"/>
  <c r="M12" i="5" s="1"/>
  <c r="S31" i="3"/>
  <c r="P35" i="3"/>
  <c r="P67" i="3"/>
  <c r="Y13" i="4"/>
  <c r="Y31" i="4"/>
  <c r="Y35" i="4"/>
  <c r="Q6" i="5"/>
  <c r="S12" i="5"/>
  <c r="P17" i="3"/>
  <c r="U31" i="3"/>
  <c r="P39" i="3"/>
  <c r="N14" i="5"/>
  <c r="N23" i="5"/>
  <c r="U39" i="3"/>
  <c r="Y23" i="4"/>
  <c r="S14" i="5"/>
  <c r="L19" i="5"/>
  <c r="M19" i="5" s="1"/>
  <c r="L25" i="5"/>
  <c r="M25" i="5" s="1"/>
  <c r="L27" i="5"/>
  <c r="M27" i="5" s="1"/>
  <c r="N19" i="5"/>
  <c r="N25" i="5"/>
  <c r="N9" i="3"/>
  <c r="O9" i="3" s="1"/>
  <c r="P19" i="3"/>
  <c r="P33" i="3"/>
  <c r="P7" i="3"/>
  <c r="S11" i="3"/>
  <c r="N3" i="3"/>
  <c r="O3" i="3" s="1"/>
  <c r="N5" i="3"/>
  <c r="O5" i="3" s="1"/>
  <c r="S9" i="3"/>
  <c r="U11" i="3"/>
  <c r="U19" i="3"/>
  <c r="S33" i="3"/>
  <c r="P37" i="3"/>
  <c r="L10" i="5"/>
  <c r="M10" i="5" s="1"/>
  <c r="O31" i="3"/>
  <c r="O17" i="3"/>
  <c r="M60" i="5"/>
  <c r="M104" i="5" s="1"/>
  <c r="O78" i="3"/>
  <c r="F52" i="5"/>
  <c r="E52" i="5"/>
  <c r="F51" i="5"/>
  <c r="F53" i="5" s="1"/>
  <c r="E51" i="5"/>
  <c r="G51" i="5" s="1"/>
  <c r="A19" i="3"/>
  <c r="A21" i="3"/>
  <c r="A23" i="3" s="1"/>
  <c r="A25" i="3" s="1"/>
  <c r="O96" i="3"/>
  <c r="M43" i="3"/>
  <c r="O11" i="3"/>
  <c r="O33" i="3"/>
  <c r="A90" i="3"/>
  <c r="A91" i="3" s="1"/>
  <c r="A92" i="3" s="1"/>
  <c r="A93" i="3"/>
  <c r="O97" i="3"/>
  <c r="L104" i="5"/>
  <c r="O27" i="3"/>
  <c r="O90" i="3"/>
  <c r="N7" i="3"/>
  <c r="U29" i="3"/>
  <c r="M73" i="3"/>
  <c r="O73" i="3" s="1"/>
  <c r="O76" i="3"/>
  <c r="O83" i="3"/>
  <c r="M95" i="3"/>
  <c r="O95" i="3" s="1"/>
  <c r="Y33" i="4"/>
  <c r="M90" i="3"/>
  <c r="O91" i="3"/>
  <c r="X15" i="4"/>
  <c r="X17" i="4"/>
  <c r="X19" i="4"/>
  <c r="X21" i="4"/>
  <c r="V23" i="4"/>
  <c r="V37" i="4"/>
  <c r="N12" i="5"/>
  <c r="W23" i="4"/>
  <c r="W37" i="4"/>
  <c r="L23" i="5"/>
  <c r="M23" i="5" s="1"/>
  <c r="V25" i="4"/>
  <c r="V39" i="4"/>
  <c r="N27" i="5"/>
  <c r="N23" i="3"/>
  <c r="N25" i="3"/>
  <c r="M93" i="3"/>
  <c r="O93" i="3" s="1"/>
  <c r="X25" i="4"/>
  <c r="X27" i="4"/>
  <c r="V29" i="4"/>
  <c r="X39" i="4"/>
  <c r="L4" i="5"/>
  <c r="S15" i="3"/>
  <c r="N21" i="3"/>
  <c r="N35" i="3"/>
  <c r="N37" i="3"/>
  <c r="N39" i="3"/>
  <c r="W29" i="4"/>
  <c r="N10" i="5"/>
  <c r="L14" i="5"/>
  <c r="M14" i="5" s="1"/>
  <c r="P25" i="3"/>
  <c r="N29" i="3"/>
  <c r="S25" i="3"/>
  <c r="M80" i="3"/>
  <c r="O80" i="3" s="1"/>
  <c r="V33" i="4"/>
  <c r="Q4" i="5"/>
  <c r="K60" i="5"/>
  <c r="K104" i="5" s="1"/>
  <c r="F42" i="5" l="1"/>
  <c r="M42" i="3"/>
  <c r="M44" i="3" s="1"/>
  <c r="O29" i="3"/>
  <c r="N104" i="5"/>
  <c r="D35" i="5" s="1"/>
  <c r="A27" i="3"/>
  <c r="A29" i="3"/>
  <c r="A31" i="3" s="1"/>
  <c r="A33" i="3" s="1"/>
  <c r="A35" i="3" s="1"/>
  <c r="O23" i="3"/>
  <c r="O39" i="3"/>
  <c r="O37" i="3"/>
  <c r="O7" i="3"/>
  <c r="O35" i="3"/>
  <c r="N4" i="5"/>
  <c r="F41" i="5" s="1"/>
  <c r="M4" i="5"/>
  <c r="M31" i="5" s="1"/>
  <c r="L31" i="5"/>
  <c r="E53" i="5"/>
  <c r="A94" i="3"/>
  <c r="A96" i="3" s="1"/>
  <c r="A95" i="3"/>
  <c r="A97" i="3" s="1"/>
  <c r="O25" i="3"/>
  <c r="O21" i="3"/>
  <c r="G52" i="5"/>
  <c r="K31" i="5"/>
  <c r="N43" i="3" l="1"/>
  <c r="AC61" i="3" s="1"/>
  <c r="AE61" i="3" s="1"/>
  <c r="I39" i="3"/>
  <c r="I25" i="3"/>
  <c r="I37" i="3"/>
  <c r="AC50" i="3" s="1"/>
  <c r="AE50" i="3" s="1"/>
  <c r="I23" i="3"/>
  <c r="A39" i="3"/>
  <c r="A37" i="3"/>
  <c r="E48" i="3"/>
  <c r="I81" i="3"/>
  <c r="I86" i="3"/>
  <c r="I88" i="3"/>
  <c r="I79" i="3"/>
  <c r="I13" i="3"/>
  <c r="I89" i="3"/>
  <c r="I31" i="3"/>
  <c r="I93" i="3"/>
  <c r="I3" i="3"/>
  <c r="I27" i="3"/>
  <c r="I80" i="3"/>
  <c r="I11" i="3"/>
  <c r="I73" i="3"/>
  <c r="I96" i="3"/>
  <c r="I15" i="3"/>
  <c r="I19" i="3"/>
  <c r="I84" i="3"/>
  <c r="I91" i="3"/>
  <c r="I82" i="3"/>
  <c r="I94" i="3"/>
  <c r="I95" i="3"/>
  <c r="I9" i="3"/>
  <c r="I5" i="3"/>
  <c r="I92" i="3"/>
  <c r="I33" i="3"/>
  <c r="I97" i="3"/>
  <c r="I87" i="3"/>
  <c r="I90" i="3"/>
  <c r="I70" i="3"/>
  <c r="I72" i="3"/>
  <c r="I77" i="3"/>
  <c r="I78" i="3"/>
  <c r="I17" i="3"/>
  <c r="I76" i="3"/>
  <c r="I85" i="3"/>
  <c r="I69" i="3"/>
  <c r="I83" i="3"/>
  <c r="I29" i="3"/>
  <c r="N31" i="5"/>
  <c r="D36" i="5" s="1"/>
  <c r="D37" i="5"/>
  <c r="I35" i="3"/>
  <c r="I21" i="3"/>
  <c r="I7" i="3"/>
  <c r="N42" i="3"/>
  <c r="Y57" i="3" l="1"/>
  <c r="Y56" i="3"/>
  <c r="Y55" i="3"/>
  <c r="AC60" i="3"/>
  <c r="AE60" i="3" s="1"/>
  <c r="Y59" i="3"/>
  <c r="AC53" i="3"/>
  <c r="AE53" i="3" s="1"/>
  <c r="AC52" i="3"/>
  <c r="AE52" i="3" s="1"/>
  <c r="Y60" i="3"/>
  <c r="AC48" i="3"/>
  <c r="AE48" i="3" s="1"/>
  <c r="AC58" i="3"/>
  <c r="AE58" i="3" s="1"/>
  <c r="AC55" i="3"/>
  <c r="AE55" i="3" s="1"/>
  <c r="AC54" i="3"/>
  <c r="AE54" i="3" s="1"/>
  <c r="AC51" i="3"/>
  <c r="AE51" i="3" s="1"/>
  <c r="Y58" i="3"/>
  <c r="AC59" i="3"/>
  <c r="AE59" i="3" s="1"/>
  <c r="AC57" i="3"/>
  <c r="AE57" i="3" s="1"/>
  <c r="D48" i="3"/>
  <c r="D50" i="3" s="1"/>
  <c r="AC56" i="3"/>
  <c r="AE56" i="3" s="1"/>
  <c r="E50" i="3"/>
  <c r="F48" i="3"/>
  <c r="Y61" i="3" l="1"/>
  <c r="AC62" i="3"/>
  <c r="G48" i="3"/>
  <c r="F50" i="3"/>
  <c r="J48" i="3"/>
  <c r="N48" i="3" l="1"/>
  <c r="J50" i="3"/>
  <c r="G50" i="3"/>
  <c r="H48" i="3"/>
  <c r="H50" i="3" l="1"/>
  <c r="I48" i="3"/>
  <c r="I50" i="3" s="1"/>
  <c r="N50" i="3"/>
  <c r="O48" i="3"/>
  <c r="O50" i="3" s="1"/>
</calcChain>
</file>

<file path=xl/sharedStrings.xml><?xml version="1.0" encoding="utf-8"?>
<sst xmlns="http://schemas.openxmlformats.org/spreadsheetml/2006/main" count="1104" uniqueCount="336">
  <si>
    <t>Ticker</t>
  </si>
  <si>
    <t>Nombre</t>
  </si>
  <si>
    <t>Sector</t>
  </si>
  <si>
    <t>Precio actual</t>
  </si>
  <si>
    <t>Hoy</t>
  </si>
  <si>
    <t>SPY</t>
  </si>
  <si>
    <t>Close</t>
  </si>
  <si>
    <t>QQQ</t>
  </si>
  <si>
    <t>Tecnología</t>
  </si>
  <si>
    <t>Consumo discrecional</t>
  </si>
  <si>
    <t>Industria</t>
  </si>
  <si>
    <t>Materiales</t>
  </si>
  <si>
    <t>Comunicaciones</t>
  </si>
  <si>
    <t>Financiero</t>
  </si>
  <si>
    <t>Energía</t>
  </si>
  <si>
    <t>Salud</t>
  </si>
  <si>
    <t>Consumo básico</t>
  </si>
  <si>
    <t>XLU</t>
  </si>
  <si>
    <t>Servicios Públicos</t>
  </si>
  <si>
    <t>Bancos</t>
  </si>
  <si>
    <t>Biotecnología</t>
  </si>
  <si>
    <t>SMH</t>
  </si>
  <si>
    <t>Semiconductores</t>
  </si>
  <si>
    <t>Internet</t>
  </si>
  <si>
    <t>GDX</t>
  </si>
  <si>
    <t>GDXJ</t>
  </si>
  <si>
    <t>SIL</t>
  </si>
  <si>
    <t>Litio</t>
  </si>
  <si>
    <t>IEF</t>
  </si>
  <si>
    <t>TLT</t>
  </si>
  <si>
    <t>Commodities</t>
  </si>
  <si>
    <t>Oro</t>
  </si>
  <si>
    <t>SLV</t>
  </si>
  <si>
    <t>Plata</t>
  </si>
  <si>
    <t>Descripción</t>
  </si>
  <si>
    <t>Posiciones abiertas</t>
  </si>
  <si>
    <t>Variación</t>
  </si>
  <si>
    <t>Tendencia</t>
  </si>
  <si>
    <t>Características</t>
  </si>
  <si>
    <t>Market cap</t>
  </si>
  <si>
    <t>Subsector</t>
  </si>
  <si>
    <t>Inicio</t>
  </si>
  <si>
    <t>% inicial</t>
  </si>
  <si>
    <t>% actual</t>
  </si>
  <si>
    <t>Precio promedio compra</t>
  </si>
  <si>
    <t>Unidades</t>
  </si>
  <si>
    <t>Monto inicial</t>
  </si>
  <si>
    <t>Monto actual</t>
  </si>
  <si>
    <t>P&amp;L $</t>
  </si>
  <si>
    <t>P&amp;L %</t>
  </si>
  <si>
    <t>Duración  (días)</t>
  </si>
  <si>
    <t>Stop</t>
  </si>
  <si>
    <t>% para stop</t>
  </si>
  <si>
    <t>Precio objetivo</t>
  </si>
  <si>
    <t>% para objetivo</t>
  </si>
  <si>
    <t>Semanal</t>
  </si>
  <si>
    <t>Mensual</t>
  </si>
  <si>
    <t>3 meses</t>
  </si>
  <si>
    <t>6 meses</t>
  </si>
  <si>
    <t>YTD</t>
  </si>
  <si>
    <t>Punto de compra actual</t>
  </si>
  <si>
    <t>3 a 6 meses</t>
  </si>
  <si>
    <t>6 a 12 meses</t>
  </si>
  <si>
    <t>Tipo de empresa</t>
  </si>
  <si>
    <t>Clasificación</t>
  </si>
  <si>
    <t>Volatilidad</t>
  </si>
  <si>
    <t>Comentarios empresa</t>
  </si>
  <si>
    <t>Estrategia</t>
  </si>
  <si>
    <t>Portafolio</t>
  </si>
  <si>
    <t>S&amp;P 500</t>
  </si>
  <si>
    <t>Valor portafolio</t>
  </si>
  <si>
    <t>PM</t>
  </si>
  <si>
    <t>Tabaco</t>
  </si>
  <si>
    <t>Atractivo</t>
  </si>
  <si>
    <t>Alcista</t>
  </si>
  <si>
    <t>Neutral</t>
  </si>
  <si>
    <t>Alta calidad</t>
  </si>
  <si>
    <t>Core</t>
  </si>
  <si>
    <t>Baja</t>
  </si>
  <si>
    <t xml:space="preserve">Consolidó en la semana al área de $96 y compramos como había advertido. </t>
  </si>
  <si>
    <t>Ene 21</t>
  </si>
  <si>
    <t>KO</t>
  </si>
  <si>
    <t>Alimentos</t>
  </si>
  <si>
    <t>Consolidó al área de $60 y ha comenzado a rebotar. Crece la evidencia de que ha comenzado una nueva suba. De muy corto plazo puede consolidar al área de $62 para volver a repuntar</t>
  </si>
  <si>
    <t>PEP</t>
  </si>
  <si>
    <t>Satellite</t>
  </si>
  <si>
    <t>Creciente evidencia de que comenzó la nueva suba hacia niveles de $200 en los próximos meses. De muy corto puede caer al área de $176, área para comprar/incrementar</t>
  </si>
  <si>
    <t>KR</t>
  </si>
  <si>
    <t>Corrigió en línea con lo esperado. Debe comenzar a rebotar desde estos niveles y debe mantenerse por encima del mínimo de marzo de $41.5 para mantener la estructura alcista</t>
  </si>
  <si>
    <t>REGN</t>
  </si>
  <si>
    <t>Servicios</t>
  </si>
  <si>
    <t>Tuvimos la caída esperada y entramos. Necesita ahora comenzar a repuntar</t>
  </si>
  <si>
    <t>JNJ</t>
  </si>
  <si>
    <t>Biofarmaceútica</t>
  </si>
  <si>
    <t>Cayó al área de soporte y rebotó. Compramos en esos niveles. Un quiebre por encima del máximo de abril de $168 estaría indicando que ya comenzó la suba hacia niveles de $177</t>
  </si>
  <si>
    <t>Servicios públicos</t>
  </si>
  <si>
    <t>Tomé ganancias al cierre del 2022 en niveles de $71 en la mitad de la posición, a la espera de una consolidación. Considero puede continuar consolidando en el muy corto plazo hasta $67, área para incrementar, desde donde retomaría la suba por los próximos meses.</t>
  </si>
  <si>
    <t>JPM</t>
  </si>
  <si>
    <t>Líder global</t>
  </si>
  <si>
    <t>Media</t>
  </si>
  <si>
    <t>La acción consolidó hasta el área de soporte. Ahí la compré, aunque sin evidencia de piso. Tras el reporte de ganancias rebotó con fuerza. De muy corto plazo espero suba a $144, desde donde consolidaría a $132 para luego continuar subiendo</t>
  </si>
  <si>
    <t>CI</t>
  </si>
  <si>
    <t>Servicios médicos</t>
  </si>
  <si>
    <t>PFE</t>
  </si>
  <si>
    <t>Medicamentos</t>
  </si>
  <si>
    <t>LMT</t>
  </si>
  <si>
    <t>Defensa</t>
  </si>
  <si>
    <t>Atractiva MP</t>
  </si>
  <si>
    <t>Alcanzó máximo histórico esta semana y corrigió. Parece una pausa antes de continuar subiendo</t>
  </si>
  <si>
    <t>RTX</t>
  </si>
  <si>
    <t>De muy corto plazo puede caer al área de $97, que puede ser una posibilidad para incrementar el peso. Potencial para seguir subiendo los próximos meses</t>
  </si>
  <si>
    <t>PXD</t>
  </si>
  <si>
    <t>Petróleo&amp;Gas</t>
  </si>
  <si>
    <t>Bonos</t>
  </si>
  <si>
    <t>Soberanos</t>
  </si>
  <si>
    <t>Oportunidad CP</t>
  </si>
  <si>
    <t>Los bonos soberanos largos están haciendo una base antes de retomar la suba. Niveles para ir acumulando</t>
  </si>
  <si>
    <t>Bajista</t>
  </si>
  <si>
    <t>SPXU</t>
  </si>
  <si>
    <t>Inverso</t>
  </si>
  <si>
    <t>Alta</t>
  </si>
  <si>
    <t>Cash</t>
  </si>
  <si>
    <t>Valor actual del portafolio</t>
  </si>
  <si>
    <t>Valor al 16-junio-23</t>
  </si>
  <si>
    <t>Distribución sectorial</t>
  </si>
  <si>
    <t>1 año</t>
  </si>
  <si>
    <t>Desde el inicio</t>
  </si>
  <si>
    <t>Desde el inicio (anual)</t>
  </si>
  <si>
    <t>Diferencia</t>
  </si>
  <si>
    <t>Rend Sem (%)</t>
  </si>
  <si>
    <t>Rendimiento PORTAFOLIO</t>
  </si>
  <si>
    <t>1 semana</t>
  </si>
  <si>
    <t>MTD</t>
  </si>
  <si>
    <t>3m</t>
  </si>
  <si>
    <t>6m</t>
  </si>
  <si>
    <t>12m</t>
  </si>
  <si>
    <t>Rendimiento S&amp;P 500</t>
  </si>
  <si>
    <t>Date</t>
  </si>
  <si>
    <t>Real estate</t>
  </si>
  <si>
    <t>Consumo cíclico</t>
  </si>
  <si>
    <t>Atractivas Mediano plazo</t>
  </si>
  <si>
    <t>Oportunidades corto plazo</t>
  </si>
  <si>
    <t>Bonos soberanos</t>
  </si>
  <si>
    <t>POSICIONES CERRADAS 2023</t>
  </si>
  <si>
    <t>Posiciones cerradas</t>
  </si>
  <si>
    <t>Cierre</t>
  </si>
  <si>
    <t>Precio cierre</t>
  </si>
  <si>
    <t>Monto cierre</t>
  </si>
  <si>
    <t>Comentarios</t>
  </si>
  <si>
    <t>Cerramos ante la posición que la suba de CP se haya agotado</t>
  </si>
  <si>
    <t>MSFT</t>
  </si>
  <si>
    <t>Software</t>
  </si>
  <si>
    <t>UNH</t>
  </si>
  <si>
    <t>Seguros</t>
  </si>
  <si>
    <t>Abr 22</t>
  </si>
  <si>
    <t>AXP</t>
  </si>
  <si>
    <t>Crédito</t>
  </si>
  <si>
    <t>Toma de ganancias mitad de posición</t>
  </si>
  <si>
    <t>HON</t>
  </si>
  <si>
    <t>Maquinaria</t>
  </si>
  <si>
    <t>TSLA</t>
  </si>
  <si>
    <t>Autos eléctricos</t>
  </si>
  <si>
    <t>CAT</t>
  </si>
  <si>
    <t>GOOGL</t>
  </si>
  <si>
    <t>Mineras</t>
  </si>
  <si>
    <t>BTI</t>
  </si>
  <si>
    <t>MELI</t>
  </si>
  <si>
    <t xml:space="preserve">Toma de ganancias </t>
  </si>
  <si>
    <t>cierre de posición</t>
  </si>
  <si>
    <t>ABBV</t>
  </si>
  <si>
    <t>AMGN</t>
  </si>
  <si>
    <t>AMZN</t>
  </si>
  <si>
    <t>KHC</t>
  </si>
  <si>
    <t>SLX</t>
  </si>
  <si>
    <t>Acero</t>
  </si>
  <si>
    <t>Toma de ganancias</t>
  </si>
  <si>
    <t>COPX</t>
  </si>
  <si>
    <t>Cobre</t>
  </si>
  <si>
    <t>Precio</t>
  </si>
  <si>
    <t>Rendimiento</t>
  </si>
  <si>
    <t>1 a 3 meses</t>
  </si>
  <si>
    <t xml:space="preserve">Precio 1° compra </t>
  </si>
  <si>
    <t xml:space="preserve">Precio 2° compra </t>
  </si>
  <si>
    <t>Primer objetivo</t>
  </si>
  <si>
    <t>Segundo objetivo</t>
  </si>
  <si>
    <t>1 mes</t>
  </si>
  <si>
    <t>% caída para 1° compra</t>
  </si>
  <si>
    <t>% caída para 2° compra</t>
  </si>
  <si>
    <t>% Primer objetivo</t>
  </si>
  <si>
    <t>% Segundo objetivo</t>
  </si>
  <si>
    <t>Convicción hacia nuevos máximos 2023</t>
  </si>
  <si>
    <t>Alcanzados</t>
  </si>
  <si>
    <t>Perforó el mínimo de febrero de 143.3 y por tanto puso en duda la posibilidad de ver nuevos máximos este año. Todavía espero como escenario base una suba a niveles de 180 en los próximos 12 meses</t>
  </si>
  <si>
    <t>Mantiene la estructura alcista impulsiva. En la medida que mantenga el mínimode febrero de 143.3, considero más probable que veamos niveles de $180 en los próximos 6 meses</t>
  </si>
  <si>
    <t>ADI</t>
  </si>
  <si>
    <t>Ya alcanzó</t>
  </si>
  <si>
    <t>Ya alcanzó nuevo máximo. De corto plazo llegó a $200 y consolidó. Idealmente una suba más a $205 para completar toda la suba, pero ya puede darse por completa</t>
  </si>
  <si>
    <t>ADP</t>
  </si>
  <si>
    <t>Recursos humanos</t>
  </si>
  <si>
    <t>Invalidado</t>
  </si>
  <si>
    <t>Posiblemente el máximo lo alcanzó en diciembre. De corto plazo un rebote a $240, pero luego posiblemente retomaría las caídas</t>
  </si>
  <si>
    <t>Cayó más de lo esperado en una estructura impulsvia bajista, lo que disminuye fuertemente la posibilidad de ver nuevos máximos este año. Ahora ha rebotado, opera en 230 y espero un rebote al área de 260 en los próximos meses</t>
  </si>
  <si>
    <t>La profundidad de la caída ha reducido las chances de ver nuevos máximos</t>
  </si>
  <si>
    <t>AON</t>
  </si>
  <si>
    <t>Entró en el área de compra y rebotó. Volvió a caer y ha vuelto a operar, operando cerca de los máximos nuevamente</t>
  </si>
  <si>
    <t>Tarjetas de crédito</t>
  </si>
  <si>
    <t>Volvió a consolidar y ha rebotado nuevamente. Potencial de alcanzar un nuevo máximo en los próximos meses</t>
  </si>
  <si>
    <t>La acción ha consolidado hasta el área de soporte. Ahora necesitamos ver una reacción alcista para confirmar la estructura de corto plazo. Por ahora no hay evidencia firme pero está cerca de hacer un breakout. Ha retrocedido en los últimos días y está en la directriz alcista del mínimo de octubre. Subí el stop semanas atrás a 154 porque si no reacciona crecen las chances de que ya vimos toda la suba.</t>
  </si>
  <si>
    <t>BHP</t>
  </si>
  <si>
    <t>Metales</t>
  </si>
  <si>
    <t>Cayó hasta los niveles de compra que habíamos advertido a mediados de marzo y rebotó. Está lejos de los máximos pero tiene potencial</t>
  </si>
  <si>
    <t xml:space="preserve">Ya alcanzó nuevo máximo. Posiblemente ya comenzó la corrección. rebotó hasta niveles de 250 en la actualidad y espero retome las caídas hacia fin de año. </t>
  </si>
  <si>
    <t>DE</t>
  </si>
  <si>
    <t>Casi alcanza un nuevo máximo en enero y retrocedió desde entonces. Ha rebotado y ahora espero una nueva caída, extendiendo el rebote hacia 2024</t>
  </si>
  <si>
    <t>GS</t>
  </si>
  <si>
    <t>Cayó a zona de compra y rebotó. Es posible que siga repuntando los próximos meses, haciendo nuvo máximo, antes de consolidar hacia fin de año</t>
  </si>
  <si>
    <t>La profundidad de la caída ha reducido las chances de ver nuevos máximos este año. No obstante ello, mi escenario base sigue siendo alcista. Cayó al área de soporte y rebotó. un quiebre por encima del máximo de abril de $168 estaría indicando que ya comenzó la suba hacia niveles de $177</t>
  </si>
  <si>
    <t>Consumo Básico</t>
  </si>
  <si>
    <t xml:space="preserve">Alcista </t>
  </si>
  <si>
    <t>Entró en zona de compra en marzo. Y lo advertimos para comprar. La posibilidad de ver nuevos máximos sigue intacta.</t>
  </si>
  <si>
    <t>Alcanzó esta semana máximo histórico y corrigió. Estructura alcista hacia delante sigue intacta</t>
  </si>
  <si>
    <t>MMC</t>
  </si>
  <si>
    <t>Alcanzó el área de consolidación objetivo y rebotó.  Muy cerca de alcanzar máximos</t>
  </si>
  <si>
    <t>Al igual que con JNJ, la profundidad de la caída ha reducido las chances de ver nuevos máximos, pero a diferencia de JNJ, la estructura alcista pierde fuerza. De todas formas, presenta un potencial alcista por los próximos meses al área de $46 antes de retomar las caídas hacia fin de año</t>
  </si>
  <si>
    <t>Ya alcanzó nuevo máximo aunque escenario más probable es una nueva suba a $950 en los próximos meses. De muy corto plazo, expectativa que siga corrigiendo</t>
  </si>
  <si>
    <t>Alcanzó niveles de $93 y repuntó. Llegó a $104 y consolidó. Crecen las chances de que ya ha comenzado la suba</t>
  </si>
  <si>
    <t>TRV</t>
  </si>
  <si>
    <t>Ya alcanzó nuevo máximo aunque escenario más probable es una nueva suba a $220 en los próximos meses. En el muy corto plazo espero caídas a niveles de $175 antes de retomar la suba</t>
  </si>
  <si>
    <t xml:space="preserve">Perforó los niveles objetivo aunque no invalidó la estructura alcista. Ha repuntado con fuerza en las últimas semanas, lo que apunta a que comenzó la suba. Tuvimos la pausa en estos días, ahora debe comenzar a repuntar. </t>
  </si>
  <si>
    <t>DIFERENCIA</t>
  </si>
  <si>
    <t>1 a 4 semanas</t>
  </si>
  <si>
    <t>Operaciones LONG</t>
  </si>
  <si>
    <t>SQQQ</t>
  </si>
  <si>
    <t>Inverso Tecnología</t>
  </si>
  <si>
    <t>NVDS</t>
  </si>
  <si>
    <t>Inverso NVDA</t>
  </si>
  <si>
    <t>KWEB</t>
  </si>
  <si>
    <t>China</t>
  </si>
  <si>
    <t>WPM</t>
  </si>
  <si>
    <t>Precio promedio de venta</t>
  </si>
  <si>
    <t>Monto de venta</t>
  </si>
  <si>
    <t>Punto de venta actual</t>
  </si>
  <si>
    <t>Operaciones SHORT</t>
  </si>
  <si>
    <t>SHOP</t>
  </si>
  <si>
    <t>Concumos discrecional</t>
  </si>
  <si>
    <t>Reportó ganancias, rebotó y aproveché a irme short. Potencial bajista intacto para las próximas semanas y meses</t>
  </si>
  <si>
    <t>MS</t>
  </si>
  <si>
    <t>XRT</t>
  </si>
  <si>
    <t>Minorista</t>
  </si>
  <si>
    <t>RH</t>
  </si>
  <si>
    <t>RESUMEN 2023</t>
  </si>
  <si>
    <t>Rendimiento total (ponderado)</t>
  </si>
  <si>
    <t>RESUMEN HISTÓRICO</t>
  </si>
  <si>
    <t>Cerradas</t>
  </si>
  <si>
    <t>Abiertas</t>
  </si>
  <si>
    <t>Cantidad de trades</t>
  </si>
  <si>
    <t>Porcentaje de éxito</t>
  </si>
  <si>
    <t>Suba promedio</t>
  </si>
  <si>
    <t>Promedio subas cerradas</t>
  </si>
  <si>
    <t>Promedio caídas cerradas</t>
  </si>
  <si>
    <t>Caídas</t>
  </si>
  <si>
    <t>1,4%</t>
  </si>
  <si>
    <t>10,9%</t>
  </si>
  <si>
    <t>-8,9%</t>
  </si>
  <si>
    <t>Subas</t>
  </si>
  <si>
    <t>11,1%</t>
  </si>
  <si>
    <t>16,0%</t>
  </si>
  <si>
    <t>-11,0%</t>
  </si>
  <si>
    <t>Duración</t>
  </si>
  <si>
    <t>25 días</t>
  </si>
  <si>
    <t>30 días</t>
  </si>
  <si>
    <t>9,5%</t>
  </si>
  <si>
    <t>21,3%</t>
  </si>
  <si>
    <t>-10,2%</t>
  </si>
  <si>
    <t>9,1%</t>
  </si>
  <si>
    <t>19,5%</t>
  </si>
  <si>
    <t>-5,3%</t>
  </si>
  <si>
    <t>Cantidad</t>
  </si>
  <si>
    <t>8,2%</t>
  </si>
  <si>
    <t>Negativas</t>
  </si>
  <si>
    <t>15,5%</t>
  </si>
  <si>
    <t>Positivas</t>
  </si>
  <si>
    <t>Cantidad (%)</t>
  </si>
  <si>
    <t>DUG</t>
  </si>
  <si>
    <t>Inverso energía</t>
  </si>
  <si>
    <t>UNG</t>
  </si>
  <si>
    <t xml:space="preserve">Energía </t>
  </si>
  <si>
    <t>Gas natural</t>
  </si>
  <si>
    <t>ENB</t>
  </si>
  <si>
    <t>Oil&amp;Gas</t>
  </si>
  <si>
    <t>MARA</t>
  </si>
  <si>
    <t>Cripto</t>
  </si>
  <si>
    <t>BABA</t>
  </si>
  <si>
    <t>FTCH</t>
  </si>
  <si>
    <t>EXPE</t>
  </si>
  <si>
    <t>MU</t>
  </si>
  <si>
    <t>Semconductores</t>
  </si>
  <si>
    <t>NVDA</t>
  </si>
  <si>
    <t>Toma ganancias</t>
  </si>
  <si>
    <t>NEE</t>
  </si>
  <si>
    <t>Electricidad</t>
  </si>
  <si>
    <t>DUK</t>
  </si>
  <si>
    <t>META</t>
  </si>
  <si>
    <t>Redes</t>
  </si>
  <si>
    <t>SOXS</t>
  </si>
  <si>
    <t>Semiconductres</t>
  </si>
  <si>
    <t>SWBI</t>
  </si>
  <si>
    <t>KRE</t>
  </si>
  <si>
    <t>Bancos regionales</t>
  </si>
  <si>
    <t>Cierre de posición</t>
  </si>
  <si>
    <t>XOM</t>
  </si>
  <si>
    <t>Petróleo &amp; Gas</t>
  </si>
  <si>
    <t>OXY</t>
  </si>
  <si>
    <t>BX</t>
  </si>
  <si>
    <t>Asset Management</t>
  </si>
  <si>
    <t>PG</t>
  </si>
  <si>
    <t>RIO</t>
  </si>
  <si>
    <t>PYPL</t>
  </si>
  <si>
    <t>Medios de pagos</t>
  </si>
  <si>
    <t>URA</t>
  </si>
  <si>
    <t>Uranio</t>
  </si>
  <si>
    <t>ETSY</t>
  </si>
  <si>
    <t>OIH</t>
  </si>
  <si>
    <t>ITA</t>
  </si>
  <si>
    <t>Inverso Semiconductres</t>
  </si>
  <si>
    <t>MSFD</t>
  </si>
  <si>
    <t>Inverso MSFT</t>
  </si>
  <si>
    <t>BAC</t>
  </si>
  <si>
    <t>Cierre de posición (SHORT)</t>
  </si>
  <si>
    <t>DIS</t>
  </si>
  <si>
    <t>Entretenimiento</t>
  </si>
  <si>
    <t>ALB</t>
  </si>
  <si>
    <t>X</t>
  </si>
  <si>
    <t>FCX</t>
  </si>
  <si>
    <t>VALE</t>
  </si>
  <si>
    <t>Mineral de hierro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</si>
</sst>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0.0%"/>
    <numFmt numFmtId="165" formatCode="d&quot;-&quot;mmm&quot;-&quot;yyyy"/>
    <numFmt numFmtId="166" formatCode="m/d/yyyy\ h:mm:ss"/>
    <numFmt numFmtId="168" formatCode="0.0"/>
    <numFmt numFmtId="169" formatCode="&quot;$&quot;#,##0"/>
    <numFmt numFmtId="170" formatCode="m/d/yyyy"/>
    <numFmt numFmtId="171" formatCode="&quot;$&quot;#,##0.0"/>
    <numFmt numFmtId="172" formatCode="mmmd"/>
    <numFmt numFmtId="173" formatCode="mmm\ d"/>
  </numFmts>
  <fonts count="38" x14ac:knownFonts="1">
    <font>
      <sz val="10"/>
      <color rgb="FF000000"/>
      <name val="Arial"/>
      <scheme val="minor"/>
    </font>
    <font>
      <sz val="9"/>
      <color theme="1"/>
      <name val="Arial"/>
    </font>
    <font>
      <sz val="10"/>
      <color theme="1"/>
      <name val="Arial"/>
    </font>
    <font>
      <sz val="9"/>
      <color rgb="FF000000"/>
      <name val="Arial"/>
    </font>
    <font>
      <b/>
      <sz val="9"/>
      <color rgb="FFFFFFFF"/>
      <name val="Arial"/>
    </font>
    <font>
      <b/>
      <sz val="9"/>
      <color theme="1"/>
      <name val="Arial"/>
    </font>
    <font>
      <b/>
      <sz val="9"/>
      <color rgb="FF000000"/>
      <name val="Arial"/>
    </font>
    <font>
      <sz val="10"/>
      <name val="Arial"/>
    </font>
    <font>
      <sz val="10"/>
      <color theme="1"/>
      <name val="Arial"/>
      <scheme val="minor"/>
    </font>
    <font>
      <sz val="7"/>
      <color theme="1"/>
      <name val="Arial"/>
    </font>
    <font>
      <sz val="7"/>
      <color rgb="FF000000"/>
      <name val="Arial"/>
    </font>
    <font>
      <sz val="9"/>
      <color rgb="FFFFFFFF"/>
      <name val="Arial"/>
    </font>
    <font>
      <b/>
      <sz val="10"/>
      <color theme="1"/>
      <name val="Arial"/>
    </font>
    <font>
      <sz val="10"/>
      <color rgb="FF000000"/>
      <name val="Arial"/>
    </font>
    <font>
      <sz val="10"/>
      <color rgb="FF000000"/>
      <name val="Arial"/>
      <scheme val="minor"/>
    </font>
    <font>
      <b/>
      <sz val="7"/>
      <color theme="1"/>
      <name val="Arial"/>
    </font>
    <font>
      <b/>
      <sz val="7"/>
      <color rgb="FF000000"/>
      <name val="Arial"/>
    </font>
    <font>
      <b/>
      <sz val="10"/>
      <color theme="1"/>
      <name val="Arial"/>
      <scheme val="minor"/>
    </font>
    <font>
      <sz val="9"/>
      <color rgb="FFC53929"/>
      <name val="Arial"/>
    </font>
    <font>
      <sz val="9"/>
      <color rgb="FF0B8043"/>
      <name val="Arial"/>
    </font>
    <font>
      <sz val="10"/>
      <color theme="1"/>
      <name val="Arial"/>
    </font>
    <font>
      <sz val="8"/>
      <color theme="1"/>
      <name val="Arial"/>
    </font>
    <font>
      <b/>
      <sz val="11"/>
      <color theme="1"/>
      <name val="Arial"/>
    </font>
    <font>
      <b/>
      <sz val="10"/>
      <color rgb="FF000000"/>
      <name val="Arial"/>
    </font>
    <font>
      <sz val="9"/>
      <color rgb="FFFF0000"/>
      <name val="Arial"/>
    </font>
    <font>
      <b/>
      <sz val="9"/>
      <color rgb="FFFF0000"/>
      <name val="Arial"/>
    </font>
    <font>
      <b/>
      <u/>
      <sz val="9"/>
      <color rgb="FF000000"/>
      <name val="Arial"/>
    </font>
    <font>
      <b/>
      <u/>
      <sz val="9"/>
      <color rgb="FFFFFFFF"/>
      <name val="Arial"/>
    </font>
    <font>
      <b/>
      <u/>
      <sz val="9"/>
      <color rgb="FF000000"/>
      <name val="Arial"/>
    </font>
    <font>
      <b/>
      <u/>
      <sz val="9"/>
      <color rgb="FF000000"/>
      <name val="Arial"/>
    </font>
    <font>
      <b/>
      <u/>
      <sz val="9"/>
      <color rgb="FFFFFFFF"/>
      <name val="Arial"/>
    </font>
    <font>
      <b/>
      <u/>
      <sz val="9"/>
      <color rgb="FFFFFFFF"/>
      <name val="Arial"/>
    </font>
    <font>
      <sz val="10"/>
      <color rgb="FFFF0000"/>
      <name val="Arial"/>
    </font>
    <font>
      <b/>
      <sz val="10"/>
      <color rgb="FFFF0000"/>
      <name val="Arial"/>
    </font>
    <font>
      <sz val="9"/>
      <color rgb="FF000000"/>
      <name val="Arial"/>
      <family val="2"/>
    </font>
    <font>
      <b/>
      <sz val="9"/>
      <color rgb="FF000000"/>
      <name val="Arial"/>
      <family val="2"/>
    </font>
    <font>
      <sz val="9"/>
      <color theme="1"/>
      <name val="Arial"/>
      <family val="2"/>
    </font>
    <font>
      <sz val="8"/>
      <color theme="1"/>
      <name val="Arial"/>
      <family val="2"/>
    </font>
  </fonts>
  <fills count="24">
    <fill>
      <patternFill patternType="none"/>
    </fill>
    <fill>
      <patternFill patternType="gray125"/>
    </fill>
    <fill>
      <patternFill patternType="solid">
        <fgColor rgb="FFFFFFFF"/>
        <bgColor rgb="FFFFFFFF"/>
      </patternFill>
    </fill>
    <fill>
      <patternFill patternType="solid">
        <fgColor rgb="FF0C343D"/>
        <bgColor rgb="FF0C343D"/>
      </patternFill>
    </fill>
    <fill>
      <patternFill patternType="solid">
        <fgColor rgb="FFD9D9D9"/>
        <bgColor rgb="FFD9D9D9"/>
      </patternFill>
    </fill>
    <fill>
      <patternFill patternType="solid">
        <fgColor theme="0"/>
        <bgColor theme="0"/>
      </patternFill>
    </fill>
    <fill>
      <patternFill patternType="solid">
        <fgColor rgb="FFD0E0E3"/>
        <bgColor rgb="FFD0E0E3"/>
      </patternFill>
    </fill>
    <fill>
      <patternFill patternType="solid">
        <fgColor rgb="FFFCE8B2"/>
        <bgColor rgb="FFFCE8B2"/>
      </patternFill>
    </fill>
    <fill>
      <patternFill patternType="solid">
        <fgColor rgb="FFCDEBDC"/>
        <bgColor rgb="FFCDEBDC"/>
      </patternFill>
    </fill>
    <fill>
      <patternFill patternType="solid">
        <fgColor rgb="FFFFF2CC"/>
        <bgColor rgb="FFFFF2CC"/>
      </patternFill>
    </fill>
    <fill>
      <patternFill patternType="solid">
        <fgColor rgb="FFE67C73"/>
        <bgColor rgb="FFE67C73"/>
      </patternFill>
    </fill>
    <fill>
      <patternFill patternType="solid">
        <fgColor rgb="FFF2BFBB"/>
        <bgColor rgb="FFF2BFBB"/>
      </patternFill>
    </fill>
    <fill>
      <patternFill patternType="solid">
        <fgColor rgb="FFB7E1CD"/>
        <bgColor rgb="FFB7E1CD"/>
      </patternFill>
    </fill>
    <fill>
      <patternFill patternType="solid">
        <fgColor rgb="FF93C47D"/>
        <bgColor rgb="FF93C47D"/>
      </patternFill>
    </fill>
    <fill>
      <patternFill patternType="solid">
        <fgColor rgb="FF134F5C"/>
        <bgColor rgb="FF134F5C"/>
      </patternFill>
    </fill>
    <fill>
      <patternFill patternType="solid">
        <fgColor rgb="FFF4C7C3"/>
        <bgColor rgb="FFF4C7C3"/>
      </patternFill>
    </fill>
    <fill>
      <patternFill patternType="solid">
        <fgColor rgb="FFCFE2F3"/>
        <bgColor rgb="FFCFE2F3"/>
      </patternFill>
    </fill>
    <fill>
      <patternFill patternType="solid">
        <fgColor rgb="FFEFEFEF"/>
        <bgColor rgb="FFEFEFEF"/>
      </patternFill>
    </fill>
    <fill>
      <patternFill patternType="solid">
        <fgColor rgb="FFFFD966"/>
        <bgColor rgb="FFFFD966"/>
      </patternFill>
    </fill>
    <fill>
      <patternFill patternType="solid">
        <fgColor rgb="FFEA9088"/>
        <bgColor rgb="FFEA9088"/>
      </patternFill>
    </fill>
    <fill>
      <patternFill patternType="solid">
        <fgColor rgb="FFEB9790"/>
        <bgColor rgb="FFEB9790"/>
      </patternFill>
    </fill>
    <fill>
      <patternFill patternType="solid">
        <fgColor rgb="FFFCE5CD"/>
        <bgColor rgb="FFFCE5CD"/>
      </patternFill>
    </fill>
    <fill>
      <patternFill patternType="solid">
        <fgColor rgb="FFF9E4E2"/>
        <bgColor rgb="FFF9E4E2"/>
      </patternFill>
    </fill>
    <fill>
      <patternFill patternType="solid">
        <fgColor rgb="FFF3F3F3"/>
        <bgColor rgb="FFF3F3F3"/>
      </patternFill>
    </fill>
  </fills>
  <borders count="77">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000000"/>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diagonal/>
    </border>
    <border>
      <left style="thin">
        <color rgb="FFFFFFFF"/>
      </left>
      <right/>
      <top style="thin">
        <color rgb="FFFFFFFF"/>
      </top>
      <bottom style="thin">
        <color rgb="FFFFFFFF"/>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top/>
      <bottom/>
      <diagonal/>
    </border>
    <border>
      <left/>
      <right/>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style="thin">
        <color rgb="FFFFFFFF"/>
      </left>
      <right/>
      <top/>
      <bottom style="thin">
        <color rgb="FFFFFFFF"/>
      </bottom>
      <diagonal/>
    </border>
    <border>
      <left style="thin">
        <color rgb="FFFFFFFF"/>
      </left>
      <right style="thin">
        <color rgb="FFFFFFFF"/>
      </right>
      <top style="thin">
        <color rgb="FFFFFFFF"/>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bottom/>
      <diagonal/>
    </border>
    <border>
      <left style="thin">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FFFFFF"/>
      </left>
      <right/>
      <top/>
      <bottom/>
      <diagonal/>
    </border>
    <border>
      <left/>
      <right/>
      <top/>
      <bottom/>
      <diagonal/>
    </border>
    <border>
      <left/>
      <right/>
      <top style="thin">
        <color rgb="FFFFFFFF"/>
      </top>
      <bottom style="thin">
        <color rgb="FFFFFFFF"/>
      </bottom>
      <diagonal/>
    </border>
    <border>
      <left/>
      <right/>
      <top style="thin">
        <color rgb="FF000000"/>
      </top>
      <bottom style="thin">
        <color rgb="FF000000"/>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right style="thin">
        <color rgb="FFFFFFFF"/>
      </right>
      <top style="thin">
        <color rgb="FFFFFFFF"/>
      </top>
      <bottom style="thin">
        <color rgb="FFFFFFFF"/>
      </bottom>
      <diagonal/>
    </border>
    <border>
      <left/>
      <right/>
      <top/>
      <bottom/>
      <diagonal/>
    </border>
    <border>
      <left/>
      <right/>
      <top/>
      <bottom/>
      <diagonal/>
    </border>
    <border>
      <left/>
      <right/>
      <top/>
      <bottom/>
      <diagonal/>
    </border>
    <border>
      <left style="thin">
        <color rgb="FF000000"/>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style="thin">
        <color rgb="FF000000"/>
      </left>
      <right/>
      <top/>
      <bottom/>
      <diagonal/>
    </border>
  </borders>
  <cellStyleXfs count="1">
    <xf numFmtId="0" fontId="0" fillId="0" borderId="0"/>
  </cellStyleXfs>
  <cellXfs count="476">
    <xf numFmtId="0" fontId="0" fillId="0" borderId="0" xfId="0"/>
    <xf numFmtId="0" fontId="1" fillId="2" borderId="1" xfId="0" applyFont="1" applyFill="1" applyBorder="1"/>
    <xf numFmtId="164" fontId="1" fillId="2" borderId="1" xfId="0" applyNumberFormat="1" applyFont="1" applyFill="1" applyBorder="1" applyAlignment="1">
      <alignment horizontal="left"/>
    </xf>
    <xf numFmtId="164" fontId="1" fillId="2" borderId="1" xfId="0" applyNumberFormat="1" applyFont="1" applyFill="1" applyBorder="1" applyAlignment="1">
      <alignment horizontal="center"/>
    </xf>
    <xf numFmtId="164" fontId="2" fillId="2" borderId="1" xfId="0" applyNumberFormat="1" applyFont="1" applyFill="1" applyBorder="1"/>
    <xf numFmtId="0" fontId="1" fillId="2" borderId="1" xfId="0" applyFont="1" applyFill="1" applyBorder="1" applyAlignment="1">
      <alignment horizontal="right"/>
    </xf>
    <xf numFmtId="0" fontId="2" fillId="2" borderId="1" xfId="0" applyFont="1" applyFill="1" applyBorder="1"/>
    <xf numFmtId="0" fontId="4" fillId="3" borderId="2" xfId="0" applyFont="1" applyFill="1" applyBorder="1" applyAlignment="1">
      <alignment horizontal="center" vertical="center" wrapText="1"/>
    </xf>
    <xf numFmtId="165" fontId="1" fillId="2" borderId="1" xfId="0" applyNumberFormat="1" applyFont="1" applyFill="1" applyBorder="1" applyAlignment="1">
      <alignment horizontal="right"/>
    </xf>
    <xf numFmtId="0" fontId="3" fillId="2" borderId="1" xfId="0" applyFont="1" applyFill="1" applyBorder="1"/>
    <xf numFmtId="164" fontId="1" fillId="2" borderId="5" xfId="0" applyNumberFormat="1" applyFont="1" applyFill="1" applyBorder="1" applyAlignment="1">
      <alignment horizontal="center"/>
    </xf>
    <xf numFmtId="164" fontId="1" fillId="2" borderId="6" xfId="0" applyNumberFormat="1" applyFont="1" applyFill="1" applyBorder="1" applyAlignment="1">
      <alignment horizontal="center"/>
    </xf>
    <xf numFmtId="164" fontId="1" fillId="2" borderId="7" xfId="0" applyNumberFormat="1" applyFont="1" applyFill="1" applyBorder="1" applyAlignment="1">
      <alignment horizontal="center"/>
    </xf>
    <xf numFmtId="165" fontId="1" fillId="2" borderId="1" xfId="0" applyNumberFormat="1" applyFont="1" applyFill="1" applyBorder="1"/>
    <xf numFmtId="164" fontId="1" fillId="2" borderId="7" xfId="0" applyNumberFormat="1" applyFont="1" applyFill="1" applyBorder="1"/>
    <xf numFmtId="164" fontId="2" fillId="2" borderId="6" xfId="0" applyNumberFormat="1" applyFont="1" applyFill="1" applyBorder="1"/>
    <xf numFmtId="164" fontId="2" fillId="2" borderId="7" xfId="0" applyNumberFormat="1" applyFont="1" applyFill="1" applyBorder="1"/>
    <xf numFmtId="164" fontId="2" fillId="2" borderId="5" xfId="0" applyNumberFormat="1" applyFont="1" applyFill="1" applyBorder="1"/>
    <xf numFmtId="165" fontId="2" fillId="2" borderId="1" xfId="0" applyNumberFormat="1" applyFont="1" applyFill="1" applyBorder="1"/>
    <xf numFmtId="164" fontId="1" fillId="2" borderId="10" xfId="0" applyNumberFormat="1" applyFont="1" applyFill="1" applyBorder="1" applyAlignment="1">
      <alignment horizontal="center"/>
    </xf>
    <xf numFmtId="164" fontId="1" fillId="2" borderId="8" xfId="0" applyNumberFormat="1" applyFont="1" applyFill="1" applyBorder="1" applyAlignment="1">
      <alignment horizontal="center"/>
    </xf>
    <xf numFmtId="164" fontId="1" fillId="2" borderId="1" xfId="0" applyNumberFormat="1" applyFont="1" applyFill="1" applyBorder="1"/>
    <xf numFmtId="0" fontId="1" fillId="2" borderId="0" xfId="0" applyFont="1" applyFill="1"/>
    <xf numFmtId="0" fontId="1" fillId="2" borderId="0" xfId="0" applyFont="1" applyFill="1" applyAlignment="1">
      <alignment horizontal="center"/>
    </xf>
    <xf numFmtId="166" fontId="1" fillId="2" borderId="1" xfId="0" applyNumberFormat="1" applyFont="1" applyFill="1" applyBorder="1"/>
    <xf numFmtId="0" fontId="1" fillId="2" borderId="16" xfId="0" applyFont="1" applyFill="1" applyBorder="1" applyAlignment="1">
      <alignment horizontal="right"/>
    </xf>
    <xf numFmtId="0" fontId="2" fillId="2" borderId="0" xfId="0" applyFont="1" applyFill="1"/>
    <xf numFmtId="0" fontId="2" fillId="2" borderId="15" xfId="0" applyFont="1" applyFill="1" applyBorder="1"/>
    <xf numFmtId="164" fontId="1" fillId="2" borderId="0" xfId="0" applyNumberFormat="1" applyFont="1" applyFill="1" applyAlignment="1">
      <alignment horizontal="center"/>
    </xf>
    <xf numFmtId="164" fontId="2" fillId="2" borderId="18" xfId="0" applyNumberFormat="1" applyFont="1" applyFill="1" applyBorder="1"/>
    <xf numFmtId="0" fontId="5" fillId="2" borderId="1" xfId="0" applyFont="1" applyFill="1" applyBorder="1"/>
    <xf numFmtId="0" fontId="1" fillId="0" borderId="0" xfId="0" applyFont="1"/>
    <xf numFmtId="0" fontId="1" fillId="0" borderId="0" xfId="0" applyFont="1" applyAlignment="1">
      <alignment horizontal="center"/>
    </xf>
    <xf numFmtId="0" fontId="2" fillId="0" borderId="0" xfId="0" applyFont="1"/>
    <xf numFmtId="0" fontId="6" fillId="6" borderId="23" xfId="0" applyFont="1" applyFill="1" applyBorder="1" applyAlignment="1">
      <alignment horizontal="center" wrapText="1"/>
    </xf>
    <xf numFmtId="0" fontId="6" fillId="6" borderId="4" xfId="0" applyFont="1" applyFill="1" applyBorder="1" applyAlignment="1">
      <alignment horizontal="center" wrapText="1"/>
    </xf>
    <xf numFmtId="0" fontId="6" fillId="6" borderId="24" xfId="0" applyFont="1" applyFill="1" applyBorder="1" applyAlignment="1">
      <alignment horizontal="center" wrapText="1"/>
    </xf>
    <xf numFmtId="0" fontId="1" fillId="0" borderId="0" xfId="0" applyFont="1" applyAlignment="1">
      <alignment vertical="center"/>
    </xf>
    <xf numFmtId="0" fontId="4" fillId="3" borderId="19" xfId="0" applyFont="1" applyFill="1" applyBorder="1" applyAlignment="1">
      <alignment horizontal="center" vertical="center"/>
    </xf>
    <xf numFmtId="0" fontId="4" fillId="3" borderId="19" xfId="0" applyFont="1" applyFill="1" applyBorder="1" applyAlignment="1">
      <alignment horizontal="left" vertical="center"/>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wrapText="1"/>
    </xf>
    <xf numFmtId="0" fontId="4" fillId="3" borderId="28" xfId="0" applyFont="1" applyFill="1" applyBorder="1" applyAlignment="1">
      <alignment horizontal="left" vertical="center" wrapText="1"/>
    </xf>
    <xf numFmtId="0" fontId="2" fillId="0" borderId="0" xfId="0" applyFont="1" applyAlignment="1">
      <alignment vertical="center"/>
    </xf>
    <xf numFmtId="0" fontId="8" fillId="0" borderId="0" xfId="0" applyFont="1"/>
    <xf numFmtId="0" fontId="3" fillId="2" borderId="1" xfId="0" applyFont="1" applyFill="1" applyBorder="1" applyAlignment="1">
      <alignment horizontal="right"/>
    </xf>
    <xf numFmtId="3" fontId="1" fillId="2" borderId="1" xfId="0" applyNumberFormat="1" applyFont="1" applyFill="1" applyBorder="1" applyAlignment="1">
      <alignment horizontal="left"/>
    </xf>
    <xf numFmtId="3" fontId="1" fillId="2" borderId="1" xfId="0" applyNumberFormat="1" applyFont="1" applyFill="1" applyBorder="1" applyAlignment="1">
      <alignment horizontal="center"/>
    </xf>
    <xf numFmtId="0" fontId="1" fillId="2" borderId="1" xfId="0" applyFont="1" applyFill="1" applyBorder="1" applyAlignment="1">
      <alignment horizontal="center"/>
    </xf>
    <xf numFmtId="165" fontId="1" fillId="2" borderId="1" xfId="0" applyNumberFormat="1" applyFont="1" applyFill="1" applyBorder="1" applyAlignment="1">
      <alignment horizontal="center"/>
    </xf>
    <xf numFmtId="0" fontId="1" fillId="2" borderId="5" xfId="0" applyFont="1" applyFill="1" applyBorder="1" applyAlignment="1">
      <alignment horizontal="right"/>
    </xf>
    <xf numFmtId="2" fontId="1" fillId="2" borderId="1" xfId="0" applyNumberFormat="1" applyFont="1" applyFill="1" applyBorder="1" applyAlignment="1">
      <alignment horizontal="center"/>
    </xf>
    <xf numFmtId="168" fontId="1" fillId="2" borderId="1" xfId="0" applyNumberFormat="1" applyFont="1" applyFill="1" applyBorder="1" applyAlignment="1">
      <alignment horizontal="center"/>
    </xf>
    <xf numFmtId="169" fontId="1" fillId="2" borderId="1" xfId="0" applyNumberFormat="1" applyFont="1" applyFill="1" applyBorder="1" applyAlignment="1">
      <alignment horizontal="center"/>
    </xf>
    <xf numFmtId="169" fontId="1" fillId="2" borderId="7" xfId="0" applyNumberFormat="1" applyFont="1" applyFill="1" applyBorder="1" applyAlignment="1">
      <alignment horizontal="center"/>
    </xf>
    <xf numFmtId="164" fontId="3" fillId="2" borderId="1" xfId="0" applyNumberFormat="1" applyFont="1" applyFill="1" applyBorder="1" applyAlignment="1">
      <alignment horizontal="center"/>
    </xf>
    <xf numFmtId="0" fontId="1" fillId="2" borderId="12" xfId="0" applyFont="1" applyFill="1" applyBorder="1" applyAlignment="1">
      <alignment horizontal="center"/>
    </xf>
    <xf numFmtId="0" fontId="1" fillId="2" borderId="5" xfId="0" applyFont="1" applyFill="1" applyBorder="1" applyAlignment="1">
      <alignment horizontal="center"/>
    </xf>
    <xf numFmtId="164" fontId="3" fillId="2" borderId="7" xfId="0" applyNumberFormat="1" applyFont="1" applyFill="1" applyBorder="1" applyAlignment="1">
      <alignment horizontal="center"/>
    </xf>
    <xf numFmtId="0" fontId="1" fillId="2" borderId="5" xfId="0" applyFont="1" applyFill="1" applyBorder="1" applyAlignment="1">
      <alignment horizontal="center" vertical="center"/>
    </xf>
    <xf numFmtId="0" fontId="1" fillId="7" borderId="1" xfId="0" applyFont="1" applyFill="1" applyBorder="1" applyAlignment="1">
      <alignment horizontal="center" vertical="center"/>
    </xf>
    <xf numFmtId="0" fontId="1" fillId="2" borderId="1" xfId="0" applyFont="1" applyFill="1" applyBorder="1" applyAlignment="1">
      <alignment horizontal="center" vertical="center"/>
    </xf>
    <xf numFmtId="0" fontId="9" fillId="2" borderId="29" xfId="0" applyFont="1" applyFill="1" applyBorder="1" applyAlignment="1">
      <alignment horizontal="left" wrapText="1"/>
    </xf>
    <xf numFmtId="0" fontId="10" fillId="8" borderId="30" xfId="0" applyFont="1" applyFill="1" applyBorder="1" applyAlignment="1">
      <alignment horizontal="left" vertical="center"/>
    </xf>
    <xf numFmtId="170" fontId="1" fillId="2" borderId="1" xfId="0" applyNumberFormat="1" applyFont="1" applyFill="1" applyBorder="1" applyAlignment="1">
      <alignment horizontal="center"/>
    </xf>
    <xf numFmtId="0" fontId="1" fillId="2" borderId="7" xfId="0" applyFont="1" applyFill="1" applyBorder="1" applyAlignment="1">
      <alignment horizontal="center"/>
    </xf>
    <xf numFmtId="0" fontId="1" fillId="2" borderId="7" xfId="0" applyFont="1" applyFill="1" applyBorder="1" applyAlignment="1">
      <alignment horizontal="right"/>
    </xf>
    <xf numFmtId="164" fontId="3" fillId="5" borderId="0" xfId="0" applyNumberFormat="1" applyFont="1" applyFill="1" applyAlignment="1">
      <alignment horizontal="center"/>
    </xf>
    <xf numFmtId="164" fontId="3" fillId="2" borderId="12" xfId="0" applyNumberFormat="1" applyFont="1" applyFill="1" applyBorder="1" applyAlignment="1">
      <alignment horizontal="center"/>
    </xf>
    <xf numFmtId="164" fontId="3" fillId="2" borderId="5" xfId="0" applyNumberFormat="1" applyFont="1" applyFill="1" applyBorder="1" applyAlignment="1">
      <alignment horizontal="center"/>
    </xf>
    <xf numFmtId="164" fontId="2" fillId="2" borderId="1" xfId="0" applyNumberFormat="1" applyFont="1" applyFill="1" applyBorder="1" applyAlignment="1">
      <alignment vertical="center"/>
    </xf>
    <xf numFmtId="0" fontId="11" fillId="3" borderId="31" xfId="0" applyFont="1" applyFill="1" applyBorder="1" applyAlignment="1">
      <alignment horizontal="center" vertical="center" wrapText="1"/>
    </xf>
    <xf numFmtId="0" fontId="9" fillId="2" borderId="30" xfId="0" applyFont="1" applyFill="1" applyBorder="1" applyAlignment="1">
      <alignment horizontal="left" wrapText="1"/>
    </xf>
    <xf numFmtId="0" fontId="10" fillId="9" borderId="30" xfId="0" applyFont="1" applyFill="1" applyBorder="1" applyAlignment="1">
      <alignment horizontal="left" vertical="center"/>
    </xf>
    <xf numFmtId="171" fontId="1" fillId="5" borderId="0" xfId="0" applyNumberFormat="1" applyFont="1" applyFill="1" applyAlignment="1">
      <alignment horizontal="center"/>
    </xf>
    <xf numFmtId="164" fontId="1" fillId="5" borderId="0" xfId="0" applyNumberFormat="1" applyFont="1" applyFill="1" applyAlignment="1">
      <alignment horizontal="center"/>
    </xf>
    <xf numFmtId="4" fontId="2" fillId="2" borderId="1" xfId="0" applyNumberFormat="1" applyFont="1" applyFill="1" applyBorder="1" applyAlignment="1">
      <alignment horizontal="left"/>
    </xf>
    <xf numFmtId="4" fontId="2" fillId="2" borderId="1" xfId="0" applyNumberFormat="1" applyFont="1" applyFill="1" applyBorder="1"/>
    <xf numFmtId="165" fontId="2" fillId="2" borderId="1" xfId="0" applyNumberFormat="1" applyFont="1" applyFill="1" applyBorder="1" applyAlignment="1">
      <alignment horizontal="center"/>
    </xf>
    <xf numFmtId="165" fontId="2" fillId="2" borderId="7" xfId="0" applyNumberFormat="1" applyFont="1" applyFill="1" applyBorder="1" applyAlignment="1">
      <alignment horizontal="center"/>
    </xf>
    <xf numFmtId="0" fontId="12" fillId="2" borderId="1" xfId="0" applyFont="1" applyFill="1" applyBorder="1"/>
    <xf numFmtId="4" fontId="12" fillId="2" borderId="1" xfId="0" applyNumberFormat="1" applyFont="1" applyFill="1" applyBorder="1" applyAlignment="1">
      <alignment horizontal="left"/>
    </xf>
    <xf numFmtId="4" fontId="12" fillId="2" borderId="1" xfId="0" applyNumberFormat="1" applyFont="1" applyFill="1" applyBorder="1"/>
    <xf numFmtId="165" fontId="12" fillId="2" borderId="1" xfId="0" applyNumberFormat="1" applyFont="1" applyFill="1" applyBorder="1" applyAlignment="1">
      <alignment horizontal="center"/>
    </xf>
    <xf numFmtId="165" fontId="12" fillId="2" borderId="7" xfId="0" applyNumberFormat="1" applyFont="1" applyFill="1" applyBorder="1" applyAlignment="1">
      <alignment horizontal="center"/>
    </xf>
    <xf numFmtId="165" fontId="5" fillId="2" borderId="1" xfId="0" applyNumberFormat="1" applyFont="1" applyFill="1" applyBorder="1" applyAlignment="1">
      <alignment horizontal="right"/>
    </xf>
    <xf numFmtId="0" fontId="12" fillId="0" borderId="0" xfId="0" applyFont="1"/>
    <xf numFmtId="3" fontId="3" fillId="2" borderId="1" xfId="0" applyNumberFormat="1" applyFont="1" applyFill="1" applyBorder="1" applyAlignment="1">
      <alignment horizontal="left"/>
    </xf>
    <xf numFmtId="3" fontId="3" fillId="2" borderId="1" xfId="0" applyNumberFormat="1" applyFont="1" applyFill="1" applyBorder="1" applyAlignment="1">
      <alignment horizontal="center"/>
    </xf>
    <xf numFmtId="0" fontId="3" fillId="2" borderId="1" xfId="0" applyFont="1" applyFill="1" applyBorder="1" applyAlignment="1">
      <alignment horizontal="center"/>
    </xf>
    <xf numFmtId="165" fontId="3" fillId="2" borderId="1" xfId="0" applyNumberFormat="1" applyFont="1" applyFill="1" applyBorder="1" applyAlignment="1">
      <alignment horizontal="center"/>
    </xf>
    <xf numFmtId="0" fontId="3" fillId="2" borderId="5" xfId="0" applyFont="1" applyFill="1" applyBorder="1" applyAlignment="1">
      <alignment horizontal="right"/>
    </xf>
    <xf numFmtId="2" fontId="3" fillId="2" borderId="1" xfId="0" applyNumberFormat="1" applyFont="1" applyFill="1" applyBorder="1" applyAlignment="1">
      <alignment horizontal="center"/>
    </xf>
    <xf numFmtId="168" fontId="3" fillId="2" borderId="1" xfId="0" applyNumberFormat="1" applyFont="1" applyFill="1" applyBorder="1" applyAlignment="1">
      <alignment horizontal="center"/>
    </xf>
    <xf numFmtId="169" fontId="3" fillId="2" borderId="1" xfId="0" applyNumberFormat="1" applyFont="1" applyFill="1" applyBorder="1" applyAlignment="1">
      <alignment horizontal="center"/>
    </xf>
    <xf numFmtId="169" fontId="3" fillId="2" borderId="7" xfId="0" applyNumberFormat="1" applyFont="1" applyFill="1" applyBorder="1" applyAlignment="1">
      <alignment horizontal="center"/>
    </xf>
    <xf numFmtId="0" fontId="3" fillId="2" borderId="12" xfId="0" applyFont="1" applyFill="1" applyBorder="1" applyAlignment="1">
      <alignment horizontal="center"/>
    </xf>
    <xf numFmtId="0" fontId="3" fillId="2" borderId="5" xfId="0" applyFont="1" applyFill="1" applyBorder="1" applyAlignment="1">
      <alignment horizontal="center"/>
    </xf>
    <xf numFmtId="0" fontId="3" fillId="7" borderId="1" xfId="0" applyFont="1" applyFill="1" applyBorder="1" applyAlignment="1">
      <alignment horizontal="center" vertical="center"/>
    </xf>
    <xf numFmtId="0" fontId="3" fillId="2" borderId="1" xfId="0" applyFont="1" applyFill="1" applyBorder="1" applyAlignment="1">
      <alignment horizontal="center" vertical="center"/>
    </xf>
    <xf numFmtId="0" fontId="10" fillId="2" borderId="30" xfId="0" applyFont="1" applyFill="1" applyBorder="1" applyAlignment="1">
      <alignment horizontal="left" wrapText="1"/>
    </xf>
    <xf numFmtId="0" fontId="3" fillId="0" borderId="0" xfId="0" applyFont="1"/>
    <xf numFmtId="0" fontId="13" fillId="2" borderId="1" xfId="0" applyFont="1" applyFill="1" applyBorder="1"/>
    <xf numFmtId="0" fontId="14" fillId="0" borderId="0" xfId="0" applyFont="1"/>
    <xf numFmtId="0" fontId="6" fillId="2" borderId="1" xfId="0" applyFont="1" applyFill="1" applyBorder="1" applyAlignment="1">
      <alignment horizontal="right"/>
    </xf>
    <xf numFmtId="3" fontId="5" fillId="2" borderId="1" xfId="0" applyNumberFormat="1" applyFont="1" applyFill="1" applyBorder="1" applyAlignment="1">
      <alignment horizontal="left"/>
    </xf>
    <xf numFmtId="3" fontId="5" fillId="2" borderId="1" xfId="0" applyNumberFormat="1" applyFont="1" applyFill="1" applyBorder="1" applyAlignment="1">
      <alignment horizontal="center"/>
    </xf>
    <xf numFmtId="0" fontId="5" fillId="2" borderId="1" xfId="0" applyFont="1" applyFill="1" applyBorder="1" applyAlignment="1">
      <alignment horizontal="center"/>
    </xf>
    <xf numFmtId="165" fontId="5" fillId="2" borderId="1" xfId="0" applyNumberFormat="1" applyFont="1" applyFill="1" applyBorder="1" applyAlignment="1">
      <alignment horizontal="center"/>
    </xf>
    <xf numFmtId="164" fontId="5" fillId="2" borderId="1" xfId="0" applyNumberFormat="1" applyFont="1" applyFill="1" applyBorder="1" applyAlignment="1">
      <alignment horizontal="center"/>
    </xf>
    <xf numFmtId="164" fontId="5" fillId="2" borderId="7" xfId="0" applyNumberFormat="1" applyFont="1" applyFill="1" applyBorder="1" applyAlignment="1">
      <alignment horizontal="center"/>
    </xf>
    <xf numFmtId="0" fontId="5" fillId="2" borderId="5" xfId="0" applyFont="1" applyFill="1" applyBorder="1" applyAlignment="1">
      <alignment horizontal="right"/>
    </xf>
    <xf numFmtId="2" fontId="5" fillId="2" borderId="1" xfId="0" applyNumberFormat="1" applyFont="1" applyFill="1" applyBorder="1" applyAlignment="1">
      <alignment horizontal="center"/>
    </xf>
    <xf numFmtId="168" fontId="5" fillId="2" borderId="1" xfId="0" applyNumberFormat="1" applyFont="1" applyFill="1" applyBorder="1" applyAlignment="1">
      <alignment horizontal="center"/>
    </xf>
    <xf numFmtId="169" fontId="5" fillId="2" borderId="1" xfId="0" applyNumberFormat="1" applyFont="1" applyFill="1" applyBorder="1" applyAlignment="1">
      <alignment horizontal="center"/>
    </xf>
    <xf numFmtId="169" fontId="5" fillId="2" borderId="7" xfId="0" applyNumberFormat="1" applyFont="1" applyFill="1" applyBorder="1" applyAlignment="1">
      <alignment horizontal="center"/>
    </xf>
    <xf numFmtId="164" fontId="6" fillId="2" borderId="1" xfId="0" applyNumberFormat="1" applyFont="1" applyFill="1" applyBorder="1" applyAlignment="1">
      <alignment horizontal="center"/>
    </xf>
    <xf numFmtId="0" fontId="5" fillId="2" borderId="12" xfId="0" applyFont="1" applyFill="1" applyBorder="1" applyAlignment="1">
      <alignment horizontal="center"/>
    </xf>
    <xf numFmtId="0" fontId="5" fillId="2" borderId="5" xfId="0" applyFont="1" applyFill="1" applyBorder="1" applyAlignment="1">
      <alignment horizontal="center"/>
    </xf>
    <xf numFmtId="164" fontId="6" fillId="2" borderId="7" xfId="0" applyNumberFormat="1" applyFont="1" applyFill="1" applyBorder="1" applyAlignment="1">
      <alignment horizontal="center"/>
    </xf>
    <xf numFmtId="164" fontId="5" fillId="2" borderId="5" xfId="0" applyNumberFormat="1" applyFont="1" applyFill="1" applyBorder="1" applyAlignment="1">
      <alignment horizontal="center"/>
    </xf>
    <xf numFmtId="0" fontId="5" fillId="2" borderId="5" xfId="0" applyFont="1" applyFill="1" applyBorder="1" applyAlignment="1">
      <alignment horizontal="center" vertical="center"/>
    </xf>
    <xf numFmtId="0" fontId="5" fillId="7" borderId="1" xfId="0" applyFont="1" applyFill="1" applyBorder="1" applyAlignment="1">
      <alignment horizontal="center" vertical="center"/>
    </xf>
    <xf numFmtId="0" fontId="5" fillId="2" borderId="1" xfId="0" applyFont="1" applyFill="1" applyBorder="1" applyAlignment="1">
      <alignment horizontal="center" vertical="center"/>
    </xf>
    <xf numFmtId="0" fontId="15" fillId="2" borderId="30" xfId="0" applyFont="1" applyFill="1" applyBorder="1" applyAlignment="1">
      <alignment horizontal="left" wrapText="1"/>
    </xf>
    <xf numFmtId="0" fontId="16" fillId="9" borderId="30" xfId="0" applyFont="1" applyFill="1" applyBorder="1" applyAlignment="1">
      <alignment horizontal="left" vertical="center"/>
    </xf>
    <xf numFmtId="0" fontId="5" fillId="0" borderId="0" xfId="0" applyFont="1"/>
    <xf numFmtId="0" fontId="17" fillId="0" borderId="0" xfId="0" applyFont="1"/>
    <xf numFmtId="0" fontId="3" fillId="2" borderId="5" xfId="0" applyFont="1" applyFill="1" applyBorder="1" applyAlignment="1">
      <alignment horizontal="center" vertical="center"/>
    </xf>
    <xf numFmtId="165" fontId="1" fillId="2" borderId="0" xfId="0" applyNumberFormat="1" applyFont="1" applyFill="1" applyAlignment="1">
      <alignment horizontal="center"/>
    </xf>
    <xf numFmtId="0" fontId="5" fillId="2" borderId="7" xfId="0" applyFont="1" applyFill="1" applyBorder="1" applyAlignment="1">
      <alignment horizontal="center"/>
    </xf>
    <xf numFmtId="0" fontId="5" fillId="2" borderId="7" xfId="0" applyFont="1" applyFill="1" applyBorder="1" applyAlignment="1">
      <alignment horizontal="right"/>
    </xf>
    <xf numFmtId="171" fontId="5" fillId="5" borderId="0" xfId="0" applyNumberFormat="1" applyFont="1" applyFill="1" applyAlignment="1">
      <alignment horizontal="center"/>
    </xf>
    <xf numFmtId="164" fontId="5" fillId="5" borderId="0" xfId="0" applyNumberFormat="1" applyFont="1" applyFill="1" applyAlignment="1">
      <alignment horizontal="center"/>
    </xf>
    <xf numFmtId="164" fontId="6" fillId="2" borderId="12" xfId="0" applyNumberFormat="1" applyFont="1" applyFill="1" applyBorder="1" applyAlignment="1">
      <alignment horizontal="center"/>
    </xf>
    <xf numFmtId="164" fontId="6" fillId="2" borderId="5" xfId="0" applyNumberFormat="1" applyFont="1" applyFill="1" applyBorder="1" applyAlignment="1">
      <alignment horizontal="center"/>
    </xf>
    <xf numFmtId="164" fontId="12" fillId="2" borderId="5" xfId="0" applyNumberFormat="1" applyFont="1" applyFill="1" applyBorder="1"/>
    <xf numFmtId="164" fontId="12" fillId="2" borderId="1" xfId="0" applyNumberFormat="1" applyFont="1" applyFill="1" applyBorder="1"/>
    <xf numFmtId="164" fontId="12" fillId="2" borderId="1" xfId="0" applyNumberFormat="1" applyFont="1" applyFill="1" applyBorder="1" applyAlignment="1">
      <alignment vertical="center"/>
    </xf>
    <xf numFmtId="3" fontId="1" fillId="2" borderId="0" xfId="0" applyNumberFormat="1" applyFont="1" applyFill="1"/>
    <xf numFmtId="3" fontId="1" fillId="2" borderId="0" xfId="0" applyNumberFormat="1" applyFont="1" applyFill="1" applyAlignment="1">
      <alignment horizontal="center"/>
    </xf>
    <xf numFmtId="164" fontId="1" fillId="2" borderId="32" xfId="0" applyNumberFormat="1" applyFont="1" applyFill="1" applyBorder="1" applyAlignment="1">
      <alignment horizontal="center"/>
    </xf>
    <xf numFmtId="0" fontId="1" fillId="2" borderId="0" xfId="0" applyFont="1" applyFill="1" applyAlignment="1">
      <alignment horizontal="right"/>
    </xf>
    <xf numFmtId="2" fontId="1" fillId="2" borderId="0" xfId="0" applyNumberFormat="1" applyFont="1" applyFill="1" applyAlignment="1">
      <alignment horizontal="center"/>
    </xf>
    <xf numFmtId="169" fontId="1" fillId="2" borderId="0" xfId="0" applyNumberFormat="1" applyFont="1" applyFill="1" applyAlignment="1">
      <alignment horizontal="center"/>
    </xf>
    <xf numFmtId="169" fontId="18" fillId="2" borderId="0" xfId="0" applyNumberFormat="1" applyFont="1" applyFill="1" applyAlignment="1">
      <alignment horizontal="center"/>
    </xf>
    <xf numFmtId="164" fontId="19" fillId="2" borderId="0" xfId="0" applyNumberFormat="1" applyFont="1" applyFill="1" applyAlignment="1">
      <alignment horizontal="center"/>
    </xf>
    <xf numFmtId="0" fontId="1" fillId="2" borderId="32" xfId="0" applyFont="1" applyFill="1" applyBorder="1" applyAlignment="1">
      <alignment horizontal="center"/>
    </xf>
    <xf numFmtId="164" fontId="1" fillId="10" borderId="0" xfId="0" applyNumberFormat="1" applyFont="1" applyFill="1" applyAlignment="1">
      <alignment horizontal="center"/>
    </xf>
    <xf numFmtId="164" fontId="1" fillId="11" borderId="32" xfId="0" applyNumberFormat="1" applyFont="1" applyFill="1" applyBorder="1" applyAlignment="1">
      <alignment horizontal="center"/>
    </xf>
    <xf numFmtId="0" fontId="1" fillId="12" borderId="15" xfId="0" applyFont="1" applyFill="1" applyBorder="1" applyAlignment="1">
      <alignment horizontal="center"/>
    </xf>
    <xf numFmtId="0" fontId="1" fillId="13" borderId="0" xfId="0" applyFont="1" applyFill="1" applyAlignment="1">
      <alignment horizontal="center"/>
    </xf>
    <xf numFmtId="0" fontId="1" fillId="7" borderId="32" xfId="0" applyFont="1" applyFill="1" applyBorder="1" applyAlignment="1">
      <alignment horizontal="center"/>
    </xf>
    <xf numFmtId="0" fontId="20" fillId="2" borderId="22" xfId="0" applyFont="1" applyFill="1" applyBorder="1"/>
    <xf numFmtId="164" fontId="20" fillId="2" borderId="0" xfId="0" applyNumberFormat="1" applyFont="1" applyFill="1"/>
    <xf numFmtId="0" fontId="20" fillId="2" borderId="0" xfId="0" applyFont="1" applyFill="1"/>
    <xf numFmtId="0" fontId="20" fillId="0" borderId="0" xfId="0" applyFont="1"/>
    <xf numFmtId="165" fontId="20" fillId="2" borderId="0" xfId="0" applyNumberFormat="1" applyFont="1" applyFill="1"/>
    <xf numFmtId="164" fontId="20" fillId="2" borderId="32" xfId="0" applyNumberFormat="1" applyFont="1" applyFill="1" applyBorder="1"/>
    <xf numFmtId="0" fontId="5" fillId="2" borderId="0" xfId="0" applyFont="1" applyFill="1" applyAlignment="1">
      <alignment horizontal="right"/>
    </xf>
    <xf numFmtId="2" fontId="20" fillId="2" borderId="0" xfId="0" applyNumberFormat="1" applyFont="1" applyFill="1"/>
    <xf numFmtId="168" fontId="20" fillId="2" borderId="0" xfId="0" applyNumberFormat="1" applyFont="1" applyFill="1"/>
    <xf numFmtId="169" fontId="20" fillId="2" borderId="0" xfId="0" applyNumberFormat="1" applyFont="1" applyFill="1"/>
    <xf numFmtId="171" fontId="20" fillId="2" borderId="0" xfId="0" applyNumberFormat="1" applyFont="1" applyFill="1"/>
    <xf numFmtId="164" fontId="20" fillId="2" borderId="15" xfId="0" applyNumberFormat="1" applyFont="1" applyFill="1" applyBorder="1"/>
    <xf numFmtId="0" fontId="1" fillId="0" borderId="0" xfId="0" applyFont="1" applyAlignment="1">
      <alignment horizontal="right"/>
    </xf>
    <xf numFmtId="0" fontId="9" fillId="8" borderId="30" xfId="0" applyFont="1" applyFill="1" applyBorder="1" applyAlignment="1">
      <alignment horizontal="left" wrapText="1"/>
    </xf>
    <xf numFmtId="165" fontId="12" fillId="4" borderId="8" xfId="0" applyNumberFormat="1" applyFont="1" applyFill="1" applyBorder="1"/>
    <xf numFmtId="165" fontId="12" fillId="4" borderId="11" xfId="0" applyNumberFormat="1" applyFont="1" applyFill="1" applyBorder="1"/>
    <xf numFmtId="0" fontId="12" fillId="4" borderId="33" xfId="0" applyFont="1" applyFill="1" applyBorder="1"/>
    <xf numFmtId="0" fontId="12" fillId="4" borderId="34" xfId="0" applyFont="1" applyFill="1" applyBorder="1"/>
    <xf numFmtId="169" fontId="12" fillId="4" borderId="35" xfId="0" applyNumberFormat="1" applyFont="1" applyFill="1" applyBorder="1"/>
    <xf numFmtId="164" fontId="1" fillId="4" borderId="17" xfId="0" applyNumberFormat="1" applyFont="1" applyFill="1" applyBorder="1" applyAlignment="1">
      <alignment horizontal="center"/>
    </xf>
    <xf numFmtId="0" fontId="12" fillId="4" borderId="17" xfId="0" applyFont="1" applyFill="1" applyBorder="1"/>
    <xf numFmtId="0" fontId="12" fillId="4" borderId="9" xfId="0" applyFont="1" applyFill="1" applyBorder="1"/>
    <xf numFmtId="0" fontId="12" fillId="4" borderId="36" xfId="0" applyFont="1" applyFill="1" applyBorder="1"/>
    <xf numFmtId="0" fontId="12" fillId="4" borderId="8" xfId="0" applyFont="1" applyFill="1" applyBorder="1"/>
    <xf numFmtId="0" fontId="12" fillId="4" borderId="11" xfId="0" applyFont="1" applyFill="1" applyBorder="1"/>
    <xf numFmtId="164" fontId="12" fillId="4" borderId="8" xfId="0" applyNumberFormat="1" applyFont="1" applyFill="1" applyBorder="1"/>
    <xf numFmtId="164" fontId="2" fillId="4" borderId="36" xfId="0" applyNumberFormat="1" applyFont="1" applyFill="1" applyBorder="1"/>
    <xf numFmtId="164" fontId="2" fillId="4" borderId="8" xfId="0" applyNumberFormat="1" applyFont="1" applyFill="1" applyBorder="1"/>
    <xf numFmtId="0" fontId="5" fillId="2" borderId="0" xfId="0" applyFont="1" applyFill="1"/>
    <xf numFmtId="165" fontId="12" fillId="2" borderId="18" xfId="0" applyNumberFormat="1" applyFont="1" applyFill="1" applyBorder="1"/>
    <xf numFmtId="165" fontId="12" fillId="2" borderId="37" xfId="0" applyNumberFormat="1" applyFont="1" applyFill="1" applyBorder="1"/>
    <xf numFmtId="0" fontId="12" fillId="2" borderId="38" xfId="0" applyFont="1" applyFill="1" applyBorder="1"/>
    <xf numFmtId="0" fontId="12" fillId="2" borderId="14" xfId="0" applyFont="1" applyFill="1" applyBorder="1"/>
    <xf numFmtId="169" fontId="12" fillId="2" borderId="39" xfId="0" applyNumberFormat="1" applyFont="1" applyFill="1" applyBorder="1"/>
    <xf numFmtId="164" fontId="1" fillId="2" borderId="40" xfId="0" applyNumberFormat="1" applyFont="1" applyFill="1" applyBorder="1" applyAlignment="1">
      <alignment horizontal="center"/>
    </xf>
    <xf numFmtId="0" fontId="12" fillId="2" borderId="41" xfId="0" applyFont="1" applyFill="1" applyBorder="1"/>
    <xf numFmtId="0" fontId="12" fillId="2" borderId="18" xfId="0" applyFont="1" applyFill="1" applyBorder="1"/>
    <xf numFmtId="164" fontId="12" fillId="2" borderId="18" xfId="0" applyNumberFormat="1" applyFont="1" applyFill="1" applyBorder="1"/>
    <xf numFmtId="165" fontId="12" fillId="2" borderId="1" xfId="0" applyNumberFormat="1" applyFont="1" applyFill="1" applyBorder="1"/>
    <xf numFmtId="165" fontId="12" fillId="2" borderId="7" xfId="0" applyNumberFormat="1" applyFont="1" applyFill="1" applyBorder="1"/>
    <xf numFmtId="0" fontId="12" fillId="2" borderId="10" xfId="0" applyFont="1" applyFill="1" applyBorder="1"/>
    <xf numFmtId="0" fontId="12" fillId="2" borderId="8" xfId="0" applyFont="1" applyFill="1" applyBorder="1"/>
    <xf numFmtId="169" fontId="12" fillId="2" borderId="11" xfId="0" applyNumberFormat="1" applyFont="1" applyFill="1" applyBorder="1"/>
    <xf numFmtId="164" fontId="1" fillId="2" borderId="42" xfId="0" applyNumberFormat="1" applyFont="1" applyFill="1" applyBorder="1" applyAlignment="1">
      <alignment horizontal="center"/>
    </xf>
    <xf numFmtId="0" fontId="12" fillId="2" borderId="6" xfId="0" applyFont="1" applyFill="1" applyBorder="1"/>
    <xf numFmtId="165" fontId="12" fillId="2" borderId="1" xfId="0" applyNumberFormat="1" applyFont="1" applyFill="1" applyBorder="1" applyAlignment="1">
      <alignment horizontal="left"/>
    </xf>
    <xf numFmtId="169" fontId="12" fillId="2" borderId="43" xfId="0" applyNumberFormat="1" applyFont="1" applyFill="1" applyBorder="1"/>
    <xf numFmtId="0" fontId="12" fillId="2" borderId="33" xfId="0" applyFont="1" applyFill="1" applyBorder="1"/>
    <xf numFmtId="0" fontId="12" fillId="2" borderId="34" xfId="0" applyFont="1" applyFill="1" applyBorder="1"/>
    <xf numFmtId="169" fontId="12" fillId="2" borderId="44" xfId="0" applyNumberFormat="1" applyFont="1" applyFill="1" applyBorder="1"/>
    <xf numFmtId="164" fontId="2" fillId="2" borderId="45" xfId="0" applyNumberFormat="1" applyFont="1" applyFill="1" applyBorder="1"/>
    <xf numFmtId="0" fontId="2" fillId="2" borderId="18" xfId="0" applyFont="1" applyFill="1" applyBorder="1"/>
    <xf numFmtId="0" fontId="4" fillId="3" borderId="30" xfId="0" applyFont="1" applyFill="1" applyBorder="1" applyAlignment="1">
      <alignment horizontal="center" vertical="center" wrapText="1"/>
    </xf>
    <xf numFmtId="172" fontId="4" fillId="3" borderId="30" xfId="0" applyNumberFormat="1" applyFont="1" applyFill="1" applyBorder="1" applyAlignment="1">
      <alignment horizontal="center" vertical="center" wrapText="1"/>
    </xf>
    <xf numFmtId="165" fontId="11" fillId="2" borderId="6" xfId="0" applyNumberFormat="1" applyFont="1" applyFill="1" applyBorder="1" applyAlignment="1">
      <alignment horizontal="center"/>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wrapText="1"/>
    </xf>
    <xf numFmtId="164" fontId="3" fillId="2" borderId="49" xfId="0" applyNumberFormat="1" applyFont="1" applyFill="1" applyBorder="1" applyAlignment="1">
      <alignment horizontal="center"/>
    </xf>
    <xf numFmtId="0" fontId="1" fillId="2" borderId="7" xfId="0" applyFont="1" applyFill="1" applyBorder="1"/>
    <xf numFmtId="164" fontId="1" fillId="2" borderId="50" xfId="0" applyNumberFormat="1" applyFont="1" applyFill="1" applyBorder="1" applyAlignment="1">
      <alignment horizontal="center"/>
    </xf>
    <xf numFmtId="164" fontId="1" fillId="2" borderId="18" xfId="0" applyNumberFormat="1" applyFont="1" applyFill="1" applyBorder="1" applyAlignment="1">
      <alignment horizontal="center"/>
    </xf>
    <xf numFmtId="164" fontId="1" fillId="2" borderId="51" xfId="0" applyNumberFormat="1" applyFont="1" applyFill="1" applyBorder="1" applyAlignment="1">
      <alignment horizontal="center"/>
    </xf>
    <xf numFmtId="164" fontId="3" fillId="2" borderId="10" xfId="0" applyNumberFormat="1" applyFont="1" applyFill="1" applyBorder="1" applyAlignment="1">
      <alignment horizontal="center"/>
    </xf>
    <xf numFmtId="164" fontId="1" fillId="2" borderId="52" xfId="0" applyNumberFormat="1" applyFont="1" applyFill="1" applyBorder="1" applyAlignment="1">
      <alignment horizontal="center"/>
    </xf>
    <xf numFmtId="0" fontId="6" fillId="2" borderId="1" xfId="0" applyFont="1" applyFill="1" applyBorder="1"/>
    <xf numFmtId="0" fontId="8" fillId="0" borderId="0" xfId="0" applyFont="1" applyAlignment="1">
      <alignment horizontal="right"/>
    </xf>
    <xf numFmtId="4" fontId="12" fillId="2" borderId="20" xfId="0" applyNumberFormat="1" applyFont="1" applyFill="1" applyBorder="1"/>
    <xf numFmtId="164" fontId="3" fillId="2" borderId="30" xfId="0" applyNumberFormat="1" applyFont="1" applyFill="1" applyBorder="1" applyAlignment="1">
      <alignment horizontal="center"/>
    </xf>
    <xf numFmtId="173" fontId="11" fillId="3" borderId="30" xfId="0" applyNumberFormat="1" applyFont="1" applyFill="1" applyBorder="1" applyAlignment="1">
      <alignment horizontal="center" vertical="center" wrapText="1"/>
    </xf>
    <xf numFmtId="164" fontId="21" fillId="2" borderId="1" xfId="0" applyNumberFormat="1" applyFont="1" applyFill="1" applyBorder="1"/>
    <xf numFmtId="0" fontId="21" fillId="2" borderId="1" xfId="0" applyFont="1" applyFill="1" applyBorder="1"/>
    <xf numFmtId="0" fontId="8" fillId="0" borderId="15" xfId="0" applyFont="1" applyBorder="1"/>
    <xf numFmtId="0" fontId="1" fillId="2" borderId="11" xfId="0" applyFont="1" applyFill="1" applyBorder="1"/>
    <xf numFmtId="164" fontId="1" fillId="2" borderId="53" xfId="0" applyNumberFormat="1" applyFont="1" applyFill="1" applyBorder="1" applyAlignment="1">
      <alignment horizontal="center"/>
    </xf>
    <xf numFmtId="164" fontId="1" fillId="0" borderId="54" xfId="0" applyNumberFormat="1" applyFont="1" applyBorder="1"/>
    <xf numFmtId="4" fontId="22" fillId="2" borderId="45" xfId="0" applyNumberFormat="1" applyFont="1" applyFill="1" applyBorder="1"/>
    <xf numFmtId="4" fontId="12" fillId="2" borderId="45" xfId="0" applyNumberFormat="1" applyFont="1" applyFill="1" applyBorder="1"/>
    <xf numFmtId="165" fontId="12" fillId="2" borderId="45" xfId="0" applyNumberFormat="1" applyFont="1" applyFill="1" applyBorder="1"/>
    <xf numFmtId="0" fontId="12" fillId="2" borderId="45" xfId="0" applyFont="1" applyFill="1" applyBorder="1"/>
    <xf numFmtId="164" fontId="1" fillId="2" borderId="37" xfId="0" applyNumberFormat="1" applyFont="1" applyFill="1" applyBorder="1" applyAlignment="1">
      <alignment horizontal="center"/>
    </xf>
    <xf numFmtId="0" fontId="4" fillId="14" borderId="19" xfId="0" applyFont="1" applyFill="1" applyBorder="1" applyAlignment="1">
      <alignment horizontal="center" vertical="center"/>
    </xf>
    <xf numFmtId="0" fontId="11" fillId="14" borderId="25" xfId="0" applyFont="1" applyFill="1" applyBorder="1" applyAlignment="1">
      <alignment horizontal="center" vertical="center" wrapText="1"/>
    </xf>
    <xf numFmtId="0" fontId="4" fillId="14" borderId="25" xfId="0" applyFont="1" applyFill="1" applyBorder="1" applyAlignment="1">
      <alignment horizontal="center" vertical="center" wrapText="1"/>
    </xf>
    <xf numFmtId="0" fontId="1" fillId="2" borderId="5" xfId="0" applyFont="1" applyFill="1" applyBorder="1"/>
    <xf numFmtId="168" fontId="1" fillId="2" borderId="0" xfId="0" applyNumberFormat="1" applyFont="1" applyFill="1" applyAlignment="1">
      <alignment horizontal="center"/>
    </xf>
    <xf numFmtId="169" fontId="19" fillId="2" borderId="0" xfId="0" applyNumberFormat="1" applyFont="1" applyFill="1" applyAlignment="1">
      <alignment horizontal="center"/>
    </xf>
    <xf numFmtId="173" fontId="11" fillId="3" borderId="30" xfId="0" applyNumberFormat="1" applyFont="1" applyFill="1" applyBorder="1" applyAlignment="1">
      <alignment horizontal="center"/>
    </xf>
    <xf numFmtId="0" fontId="11" fillId="3" borderId="31" xfId="0" applyFont="1" applyFill="1" applyBorder="1" applyAlignment="1">
      <alignment horizontal="center"/>
    </xf>
    <xf numFmtId="173" fontId="11" fillId="3" borderId="31" xfId="0" applyNumberFormat="1" applyFont="1" applyFill="1" applyBorder="1" applyAlignment="1">
      <alignment horizontal="center"/>
    </xf>
    <xf numFmtId="10" fontId="3" fillId="2" borderId="5" xfId="0" applyNumberFormat="1" applyFont="1" applyFill="1" applyBorder="1" applyAlignment="1">
      <alignment horizontal="center"/>
    </xf>
    <xf numFmtId="164" fontId="18" fillId="2" borderId="0" xfId="0" applyNumberFormat="1" applyFont="1" applyFill="1" applyAlignment="1">
      <alignment horizontal="center"/>
    </xf>
    <xf numFmtId="169" fontId="12" fillId="2" borderId="30" xfId="0" applyNumberFormat="1" applyFont="1" applyFill="1" applyBorder="1"/>
    <xf numFmtId="0" fontId="6" fillId="2" borderId="5" xfId="0" applyFont="1" applyFill="1" applyBorder="1" applyAlignment="1">
      <alignment horizontal="right"/>
    </xf>
    <xf numFmtId="164" fontId="13" fillId="2" borderId="1" xfId="0" applyNumberFormat="1" applyFont="1" applyFill="1" applyBorder="1"/>
    <xf numFmtId="164" fontId="23" fillId="2" borderId="1" xfId="0" applyNumberFormat="1" applyFont="1" applyFill="1" applyBorder="1"/>
    <xf numFmtId="0" fontId="23" fillId="2" borderId="1" xfId="0" applyFont="1" applyFill="1" applyBorder="1"/>
    <xf numFmtId="0" fontId="24" fillId="2" borderId="1" xfId="0" applyFont="1" applyFill="1" applyBorder="1"/>
    <xf numFmtId="3" fontId="24" fillId="2" borderId="1" xfId="0" applyNumberFormat="1" applyFont="1" applyFill="1" applyBorder="1" applyAlignment="1">
      <alignment horizontal="left"/>
    </xf>
    <xf numFmtId="3" fontId="24" fillId="2" borderId="1" xfId="0" applyNumberFormat="1" applyFont="1" applyFill="1" applyBorder="1" applyAlignment="1">
      <alignment horizontal="center"/>
    </xf>
    <xf numFmtId="0" fontId="24" fillId="2" borderId="1" xfId="0" applyFont="1" applyFill="1" applyBorder="1" applyAlignment="1">
      <alignment horizontal="center"/>
    </xf>
    <xf numFmtId="165" fontId="24" fillId="2" borderId="1" xfId="0" applyNumberFormat="1" applyFont="1" applyFill="1" applyBorder="1" applyAlignment="1">
      <alignment horizontal="center"/>
    </xf>
    <xf numFmtId="164" fontId="24" fillId="2" borderId="7" xfId="0" applyNumberFormat="1" applyFont="1" applyFill="1" applyBorder="1" applyAlignment="1">
      <alignment horizontal="center"/>
    </xf>
    <xf numFmtId="0" fontId="25" fillId="2" borderId="5" xfId="0" applyFont="1" applyFill="1" applyBorder="1" applyAlignment="1">
      <alignment horizontal="right"/>
    </xf>
    <xf numFmtId="2" fontId="24" fillId="2" borderId="1" xfId="0" applyNumberFormat="1" applyFont="1" applyFill="1" applyBorder="1" applyAlignment="1">
      <alignment horizontal="center"/>
    </xf>
    <xf numFmtId="168" fontId="24" fillId="2" borderId="1" xfId="0" applyNumberFormat="1" applyFont="1" applyFill="1" applyBorder="1" applyAlignment="1">
      <alignment horizontal="center"/>
    </xf>
    <xf numFmtId="169" fontId="24" fillId="2" borderId="1" xfId="0" applyNumberFormat="1" applyFont="1" applyFill="1" applyBorder="1" applyAlignment="1">
      <alignment horizontal="center"/>
    </xf>
    <xf numFmtId="169" fontId="24" fillId="2" borderId="7" xfId="0" applyNumberFormat="1" applyFont="1" applyFill="1" applyBorder="1" applyAlignment="1">
      <alignment horizontal="center"/>
    </xf>
    <xf numFmtId="164" fontId="24" fillId="2" borderId="1" xfId="0" applyNumberFormat="1" applyFont="1" applyFill="1" applyBorder="1" applyAlignment="1">
      <alignment horizontal="center"/>
    </xf>
    <xf numFmtId="0" fontId="24" fillId="2" borderId="12" xfId="0" applyFont="1" applyFill="1" applyBorder="1" applyAlignment="1">
      <alignment horizontal="center"/>
    </xf>
    <xf numFmtId="0" fontId="24" fillId="2" borderId="5" xfId="0" applyFont="1" applyFill="1" applyBorder="1" applyAlignment="1">
      <alignment horizontal="right"/>
    </xf>
    <xf numFmtId="0" fontId="1" fillId="0" borderId="0" xfId="0" applyFont="1" applyAlignment="1">
      <alignment horizontal="left"/>
    </xf>
    <xf numFmtId="0" fontId="2" fillId="0" borderId="0" xfId="0" applyFont="1" applyAlignment="1">
      <alignment horizontal="left"/>
    </xf>
    <xf numFmtId="0" fontId="4" fillId="3" borderId="61" xfId="0" applyFont="1" applyFill="1" applyBorder="1" applyAlignment="1">
      <alignment horizontal="center" vertical="center"/>
    </xf>
    <xf numFmtId="0" fontId="4" fillId="3" borderId="13" xfId="0" applyFont="1" applyFill="1" applyBorder="1" applyAlignment="1">
      <alignment horizontal="left" vertical="center"/>
    </xf>
    <xf numFmtId="0" fontId="4" fillId="3" borderId="62" xfId="0" applyFont="1" applyFill="1" applyBorder="1" applyAlignment="1">
      <alignment horizontal="center" vertical="center"/>
    </xf>
    <xf numFmtId="0" fontId="4" fillId="3" borderId="62"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64" xfId="0" applyFont="1" applyFill="1" applyBorder="1" applyAlignment="1">
      <alignment horizontal="center" vertical="center" wrapText="1"/>
    </xf>
    <xf numFmtId="0" fontId="4" fillId="3" borderId="64" xfId="0" applyFont="1" applyFill="1" applyBorder="1" applyAlignment="1">
      <alignment horizontal="left" vertical="center" wrapText="1"/>
    </xf>
    <xf numFmtId="0" fontId="2" fillId="2" borderId="1" xfId="0" applyFont="1" applyFill="1" applyBorder="1" applyAlignment="1">
      <alignment vertical="center"/>
    </xf>
    <xf numFmtId="0" fontId="2" fillId="2" borderId="45" xfId="0" applyFont="1" applyFill="1" applyBorder="1" applyAlignment="1">
      <alignment vertical="center"/>
    </xf>
    <xf numFmtId="0" fontId="1" fillId="8" borderId="1" xfId="0" applyFont="1" applyFill="1" applyBorder="1"/>
    <xf numFmtId="0" fontId="10" fillId="2" borderId="0" xfId="0" applyFont="1" applyFill="1" applyAlignment="1">
      <alignment horizontal="left"/>
    </xf>
    <xf numFmtId="4" fontId="1" fillId="2" borderId="1" xfId="0" applyNumberFormat="1" applyFont="1" applyFill="1" applyBorder="1" applyAlignment="1">
      <alignment horizontal="center"/>
    </xf>
    <xf numFmtId="0" fontId="9" fillId="2" borderId="7" xfId="0" applyFont="1" applyFill="1" applyBorder="1" applyAlignment="1">
      <alignment horizontal="center"/>
    </xf>
    <xf numFmtId="165" fontId="1" fillId="2" borderId="6" xfId="0" applyNumberFormat="1" applyFont="1" applyFill="1" applyBorder="1"/>
    <xf numFmtId="165" fontId="1" fillId="2" borderId="5" xfId="0" applyNumberFormat="1" applyFont="1" applyFill="1" applyBorder="1"/>
    <xf numFmtId="165" fontId="1" fillId="2" borderId="18" xfId="0" applyNumberFormat="1" applyFont="1" applyFill="1" applyBorder="1"/>
    <xf numFmtId="0" fontId="1" fillId="5" borderId="1" xfId="0" applyFont="1" applyFill="1" applyBorder="1" applyAlignment="1">
      <alignment horizontal="right"/>
    </xf>
    <xf numFmtId="0" fontId="1" fillId="12" borderId="1" xfId="0" applyFont="1" applyFill="1" applyBorder="1" applyAlignment="1">
      <alignment horizontal="center"/>
    </xf>
    <xf numFmtId="0" fontId="1" fillId="7" borderId="1" xfId="0" applyFont="1" applyFill="1" applyBorder="1" applyAlignment="1">
      <alignment horizontal="center"/>
    </xf>
    <xf numFmtId="0" fontId="2" fillId="5" borderId="1" xfId="0" applyFont="1" applyFill="1" applyBorder="1"/>
    <xf numFmtId="0" fontId="2" fillId="2" borderId="16" xfId="0" applyFont="1" applyFill="1" applyBorder="1"/>
    <xf numFmtId="165" fontId="1" fillId="2" borderId="5" xfId="0" applyNumberFormat="1" applyFont="1" applyFill="1" applyBorder="1" applyAlignment="1">
      <alignment horizontal="right"/>
    </xf>
    <xf numFmtId="0" fontId="9" fillId="2" borderId="0" xfId="0" applyFont="1" applyFill="1" applyAlignment="1">
      <alignment horizontal="left"/>
    </xf>
    <xf numFmtId="164" fontId="13" fillId="2" borderId="5" xfId="0" applyNumberFormat="1" applyFont="1" applyFill="1" applyBorder="1"/>
    <xf numFmtId="0" fontId="1" fillId="15" borderId="1" xfId="0" applyFont="1" applyFill="1" applyBorder="1" applyAlignment="1">
      <alignment horizontal="center"/>
    </xf>
    <xf numFmtId="0" fontId="1" fillId="16" borderId="1" xfId="0" applyFont="1" applyFill="1" applyBorder="1" applyAlignment="1">
      <alignment horizontal="center"/>
    </xf>
    <xf numFmtId="164" fontId="2" fillId="2" borderId="16" xfId="0" applyNumberFormat="1" applyFont="1" applyFill="1" applyBorder="1"/>
    <xf numFmtId="165" fontId="2" fillId="2" borderId="5" xfId="0" applyNumberFormat="1" applyFont="1" applyFill="1" applyBorder="1"/>
    <xf numFmtId="164" fontId="2" fillId="2" borderId="1" xfId="0" applyNumberFormat="1" applyFont="1" applyFill="1" applyBorder="1" applyAlignment="1">
      <alignment horizontal="left"/>
    </xf>
    <xf numFmtId="0" fontId="2" fillId="2" borderId="5" xfId="0" applyFont="1" applyFill="1" applyBorder="1"/>
    <xf numFmtId="0" fontId="5" fillId="17" borderId="1" xfId="0" applyFont="1" applyFill="1" applyBorder="1"/>
    <xf numFmtId="164" fontId="12" fillId="17" borderId="1" xfId="0" applyNumberFormat="1" applyFont="1" applyFill="1" applyBorder="1"/>
    <xf numFmtId="3" fontId="1" fillId="17" borderId="1" xfId="0" applyNumberFormat="1" applyFont="1" applyFill="1" applyBorder="1" applyAlignment="1">
      <alignment horizontal="center"/>
    </xf>
    <xf numFmtId="0" fontId="1" fillId="17" borderId="1" xfId="0" applyFont="1" applyFill="1" applyBorder="1" applyAlignment="1">
      <alignment horizontal="right"/>
    </xf>
    <xf numFmtId="0" fontId="2" fillId="17" borderId="1" xfId="0" applyFont="1" applyFill="1" applyBorder="1"/>
    <xf numFmtId="164" fontId="3" fillId="17" borderId="1" xfId="0" applyNumberFormat="1" applyFont="1" applyFill="1" applyBorder="1" applyAlignment="1">
      <alignment horizontal="center"/>
    </xf>
    <xf numFmtId="0" fontId="5" fillId="18" borderId="1" xfId="0" applyFont="1" applyFill="1" applyBorder="1"/>
    <xf numFmtId="0" fontId="1" fillId="18" borderId="1" xfId="0" applyFont="1" applyFill="1" applyBorder="1"/>
    <xf numFmtId="0" fontId="3" fillId="2" borderId="0" xfId="0" applyFont="1" applyFill="1" applyAlignment="1">
      <alignment horizontal="right"/>
    </xf>
    <xf numFmtId="0" fontId="5" fillId="6" borderId="65" xfId="0" applyFont="1" applyFill="1" applyBorder="1"/>
    <xf numFmtId="3" fontId="1" fillId="6" borderId="65" xfId="0" applyNumberFormat="1" applyFont="1" applyFill="1" applyBorder="1" applyAlignment="1">
      <alignment horizontal="left"/>
    </xf>
    <xf numFmtId="3" fontId="1" fillId="6" borderId="65" xfId="0" applyNumberFormat="1" applyFont="1" applyFill="1" applyBorder="1" applyAlignment="1">
      <alignment horizontal="center"/>
    </xf>
    <xf numFmtId="0" fontId="1" fillId="6" borderId="65" xfId="0" applyFont="1" applyFill="1" applyBorder="1" applyAlignment="1">
      <alignment horizontal="center"/>
    </xf>
    <xf numFmtId="165" fontId="1" fillId="6" borderId="65" xfId="0" applyNumberFormat="1" applyFont="1" applyFill="1" applyBorder="1" applyAlignment="1">
      <alignment horizontal="center"/>
    </xf>
    <xf numFmtId="165" fontId="1" fillId="2" borderId="7" xfId="0" applyNumberFormat="1" applyFont="1" applyFill="1" applyBorder="1" applyAlignment="1">
      <alignment horizontal="center"/>
    </xf>
    <xf numFmtId="0" fontId="1" fillId="2" borderId="15" xfId="0" applyFont="1" applyFill="1" applyBorder="1" applyAlignment="1">
      <alignment horizontal="right"/>
    </xf>
    <xf numFmtId="164" fontId="1" fillId="19" borderId="0" xfId="0" applyNumberFormat="1" applyFont="1" applyFill="1" applyAlignment="1">
      <alignment horizontal="center"/>
    </xf>
    <xf numFmtId="164" fontId="1" fillId="20" borderId="32" xfId="0" applyNumberFormat="1" applyFont="1" applyFill="1" applyBorder="1" applyAlignment="1">
      <alignment horizontal="center"/>
    </xf>
    <xf numFmtId="0" fontId="1" fillId="12" borderId="0" xfId="0" applyFont="1" applyFill="1" applyAlignment="1">
      <alignment horizontal="center"/>
    </xf>
    <xf numFmtId="0" fontId="9" fillId="2" borderId="0" xfId="0" applyFont="1" applyFill="1"/>
    <xf numFmtId="3" fontId="20" fillId="2" borderId="0" xfId="0" applyNumberFormat="1" applyFont="1" applyFill="1"/>
    <xf numFmtId="0" fontId="20" fillId="2" borderId="15" xfId="0" applyFont="1" applyFill="1" applyBorder="1"/>
    <xf numFmtId="0" fontId="11" fillId="2" borderId="65" xfId="0" applyFont="1" applyFill="1" applyBorder="1" applyAlignment="1">
      <alignment horizontal="center" vertical="center"/>
    </xf>
    <xf numFmtId="0" fontId="11" fillId="2" borderId="65" xfId="0" applyFont="1" applyFill="1" applyBorder="1" applyAlignment="1">
      <alignment horizontal="left" vertical="center"/>
    </xf>
    <xf numFmtId="0" fontId="11" fillId="2" borderId="0" xfId="0" applyFont="1" applyFill="1" applyAlignment="1">
      <alignment horizontal="center" vertical="center" wrapText="1"/>
    </xf>
    <xf numFmtId="0" fontId="11" fillId="2" borderId="66" xfId="0" applyFont="1" applyFill="1" applyBorder="1" applyAlignment="1">
      <alignment horizontal="center" vertical="center" wrapText="1"/>
    </xf>
    <xf numFmtId="0" fontId="11" fillId="2" borderId="67" xfId="0" applyFont="1" applyFill="1" applyBorder="1" applyAlignment="1">
      <alignment horizontal="center" vertical="center"/>
    </xf>
    <xf numFmtId="0" fontId="11" fillId="2" borderId="59" xfId="0" applyFont="1" applyFill="1" applyBorder="1" applyAlignment="1">
      <alignment horizontal="center" vertical="center" wrapText="1"/>
    </xf>
    <xf numFmtId="0" fontId="11" fillId="2" borderId="0" xfId="0" applyFont="1" applyFill="1" applyAlignment="1">
      <alignment horizontal="left" vertical="center" wrapText="1"/>
    </xf>
    <xf numFmtId="0" fontId="8" fillId="2" borderId="0" xfId="0" applyFont="1" applyFill="1"/>
    <xf numFmtId="0" fontId="4" fillId="2" borderId="65" xfId="0" applyFont="1" applyFill="1" applyBorder="1" applyAlignment="1">
      <alignment horizontal="center" vertical="center"/>
    </xf>
    <xf numFmtId="0" fontId="4" fillId="2" borderId="65" xfId="0" applyFont="1" applyFill="1" applyBorder="1" applyAlignment="1">
      <alignment horizontal="left" vertical="center"/>
    </xf>
    <xf numFmtId="0" fontId="4" fillId="2" borderId="0" xfId="0" applyFont="1" applyFill="1" applyAlignment="1">
      <alignment horizontal="center" vertical="center" wrapText="1"/>
    </xf>
    <xf numFmtId="0" fontId="4" fillId="2" borderId="66" xfId="0" applyFont="1" applyFill="1" applyBorder="1" applyAlignment="1">
      <alignment horizontal="center" vertical="center" wrapText="1"/>
    </xf>
    <xf numFmtId="0" fontId="4" fillId="2" borderId="67" xfId="0" applyFont="1" applyFill="1" applyBorder="1" applyAlignment="1">
      <alignment horizontal="center" vertical="center"/>
    </xf>
    <xf numFmtId="0" fontId="4" fillId="2" borderId="59" xfId="0" applyFont="1" applyFill="1" applyBorder="1" applyAlignment="1">
      <alignment horizontal="center" vertical="center" wrapText="1"/>
    </xf>
    <xf numFmtId="0" fontId="4" fillId="2" borderId="0" xfId="0" applyFont="1" applyFill="1" applyAlignment="1">
      <alignment horizontal="left" vertical="center" wrapText="1"/>
    </xf>
    <xf numFmtId="0" fontId="4" fillId="4" borderId="65" xfId="0" applyFont="1" applyFill="1" applyBorder="1" applyAlignment="1">
      <alignment horizontal="center" vertical="center"/>
    </xf>
    <xf numFmtId="0" fontId="4" fillId="4" borderId="65" xfId="0" applyFont="1" applyFill="1" applyBorder="1" applyAlignment="1">
      <alignment horizontal="left" vertical="center"/>
    </xf>
    <xf numFmtId="0" fontId="4" fillId="4" borderId="0" xfId="0" applyFont="1" applyFill="1" applyAlignment="1">
      <alignment horizontal="center" vertical="center" wrapText="1"/>
    </xf>
    <xf numFmtId="0" fontId="4" fillId="4" borderId="66" xfId="0" applyFont="1" applyFill="1" applyBorder="1" applyAlignment="1">
      <alignment horizontal="center" vertical="center" wrapText="1"/>
    </xf>
    <xf numFmtId="0" fontId="4" fillId="4" borderId="67" xfId="0" applyFont="1" applyFill="1" applyBorder="1" applyAlignment="1">
      <alignment horizontal="center" vertical="center"/>
    </xf>
    <xf numFmtId="0" fontId="4" fillId="4" borderId="59" xfId="0" applyFont="1" applyFill="1" applyBorder="1" applyAlignment="1">
      <alignment horizontal="center" vertical="center" wrapText="1"/>
    </xf>
    <xf numFmtId="0" fontId="4" fillId="4" borderId="0" xfId="0" applyFont="1" applyFill="1" applyAlignment="1">
      <alignment horizontal="left" vertical="center" wrapText="1"/>
    </xf>
    <xf numFmtId="0" fontId="5" fillId="21" borderId="65" xfId="0" applyFont="1" applyFill="1" applyBorder="1"/>
    <xf numFmtId="3" fontId="1" fillId="21" borderId="65" xfId="0" applyNumberFormat="1" applyFont="1" applyFill="1" applyBorder="1" applyAlignment="1">
      <alignment horizontal="left"/>
    </xf>
    <xf numFmtId="3" fontId="1" fillId="21" borderId="65" xfId="0" applyNumberFormat="1" applyFont="1" applyFill="1" applyBorder="1" applyAlignment="1">
      <alignment horizontal="center"/>
    </xf>
    <xf numFmtId="0" fontId="1" fillId="21" borderId="65" xfId="0" applyFont="1" applyFill="1" applyBorder="1" applyAlignment="1">
      <alignment horizontal="center"/>
    </xf>
    <xf numFmtId="165" fontId="1" fillId="21" borderId="65" xfId="0" applyNumberFormat="1" applyFont="1" applyFill="1" applyBorder="1" applyAlignment="1">
      <alignment horizontal="center"/>
    </xf>
    <xf numFmtId="0" fontId="9" fillId="22" borderId="29" xfId="0" applyFont="1" applyFill="1" applyBorder="1" applyAlignment="1">
      <alignment horizontal="left" wrapText="1"/>
    </xf>
    <xf numFmtId="0" fontId="16" fillId="2" borderId="0" xfId="0" applyFont="1" applyFill="1" applyAlignment="1">
      <alignment horizontal="left"/>
    </xf>
    <xf numFmtId="0" fontId="2" fillId="23" borderId="45" xfId="0" applyFont="1" applyFill="1" applyBorder="1"/>
    <xf numFmtId="4" fontId="2" fillId="23" borderId="45" xfId="0" applyNumberFormat="1" applyFont="1" applyFill="1" applyBorder="1" applyAlignment="1">
      <alignment horizontal="left"/>
    </xf>
    <xf numFmtId="4" fontId="2" fillId="23" borderId="45" xfId="0" applyNumberFormat="1" applyFont="1" applyFill="1" applyBorder="1"/>
    <xf numFmtId="165" fontId="2" fillId="23" borderId="45" xfId="0" applyNumberFormat="1" applyFont="1" applyFill="1" applyBorder="1" applyAlignment="1">
      <alignment horizontal="center"/>
    </xf>
    <xf numFmtId="165" fontId="1" fillId="23" borderId="45" xfId="0" applyNumberFormat="1" applyFont="1" applyFill="1" applyBorder="1" applyAlignment="1">
      <alignment horizontal="center"/>
    </xf>
    <xf numFmtId="0" fontId="2" fillId="23" borderId="68" xfId="0" applyFont="1" applyFill="1" applyBorder="1"/>
    <xf numFmtId="0" fontId="2" fillId="23" borderId="69" xfId="0" applyFont="1" applyFill="1" applyBorder="1"/>
    <xf numFmtId="0" fontId="2" fillId="23" borderId="70" xfId="0" applyFont="1" applyFill="1" applyBorder="1"/>
    <xf numFmtId="164" fontId="2" fillId="23" borderId="69" xfId="0" applyNumberFormat="1" applyFont="1" applyFill="1" applyBorder="1"/>
    <xf numFmtId="164" fontId="2" fillId="23" borderId="68" xfId="0" applyNumberFormat="1" applyFont="1" applyFill="1" applyBorder="1"/>
    <xf numFmtId="164" fontId="2" fillId="23" borderId="45" xfId="0" applyNumberFormat="1" applyFont="1" applyFill="1" applyBorder="1"/>
    <xf numFmtId="0" fontId="1" fillId="23" borderId="68" xfId="0" applyFont="1" applyFill="1" applyBorder="1" applyAlignment="1">
      <alignment horizontal="center"/>
    </xf>
    <xf numFmtId="0" fontId="1" fillId="23" borderId="45" xfId="0" applyFont="1" applyFill="1" applyBorder="1" applyAlignment="1">
      <alignment horizontal="center"/>
    </xf>
    <xf numFmtId="0" fontId="2" fillId="23" borderId="8" xfId="0" applyFont="1" applyFill="1" applyBorder="1"/>
    <xf numFmtId="4" fontId="2" fillId="23" borderId="8" xfId="0" applyNumberFormat="1" applyFont="1" applyFill="1" applyBorder="1" applyAlignment="1">
      <alignment horizontal="left"/>
    </xf>
    <xf numFmtId="4" fontId="2" fillId="23" borderId="8" xfId="0" applyNumberFormat="1" applyFont="1" applyFill="1" applyBorder="1"/>
    <xf numFmtId="165" fontId="2" fillId="23" borderId="8" xfId="0" applyNumberFormat="1" applyFont="1" applyFill="1" applyBorder="1" applyAlignment="1">
      <alignment horizontal="center"/>
    </xf>
    <xf numFmtId="165" fontId="1" fillId="23" borderId="8" xfId="0" applyNumberFormat="1" applyFont="1" applyFill="1" applyBorder="1" applyAlignment="1">
      <alignment horizontal="center"/>
    </xf>
    <xf numFmtId="0" fontId="2" fillId="23" borderId="10" xfId="0" applyFont="1" applyFill="1" applyBorder="1"/>
    <xf numFmtId="0" fontId="2" fillId="23" borderId="11" xfId="0" applyFont="1" applyFill="1" applyBorder="1"/>
    <xf numFmtId="164" fontId="2" fillId="23" borderId="11" xfId="0" applyNumberFormat="1" applyFont="1" applyFill="1" applyBorder="1"/>
    <xf numFmtId="164" fontId="2" fillId="23" borderId="10" xfId="0" applyNumberFormat="1" applyFont="1" applyFill="1" applyBorder="1"/>
    <xf numFmtId="164" fontId="2" fillId="23" borderId="8" xfId="0" applyNumberFormat="1" applyFont="1" applyFill="1" applyBorder="1"/>
    <xf numFmtId="0" fontId="1" fillId="23" borderId="10" xfId="0" applyFont="1" applyFill="1" applyBorder="1" applyAlignment="1">
      <alignment horizontal="center"/>
    </xf>
    <xf numFmtId="0" fontId="1" fillId="23" borderId="8" xfId="0" applyFont="1" applyFill="1" applyBorder="1" applyAlignment="1">
      <alignment horizontal="center"/>
    </xf>
    <xf numFmtId="0" fontId="12" fillId="2" borderId="71" xfId="0" applyFont="1" applyFill="1" applyBorder="1"/>
    <xf numFmtId="0" fontId="12" fillId="2" borderId="61" xfId="0" applyFont="1" applyFill="1" applyBorder="1"/>
    <xf numFmtId="169" fontId="12" fillId="2" borderId="72" xfId="0" applyNumberFormat="1" applyFont="1" applyFill="1" applyBorder="1"/>
    <xf numFmtId="169" fontId="1" fillId="2" borderId="72" xfId="0" applyNumberFormat="1" applyFont="1" applyFill="1" applyBorder="1" applyAlignment="1">
      <alignment horizontal="center"/>
    </xf>
    <xf numFmtId="164" fontId="3" fillId="2" borderId="8" xfId="0" applyNumberFormat="1" applyFont="1" applyFill="1" applyBorder="1" applyAlignment="1">
      <alignment horizontal="center"/>
    </xf>
    <xf numFmtId="168" fontId="1" fillId="2" borderId="22" xfId="0" applyNumberFormat="1" applyFont="1" applyFill="1" applyBorder="1" applyAlignment="1">
      <alignment horizontal="center"/>
    </xf>
    <xf numFmtId="0" fontId="26" fillId="2" borderId="1" xfId="0" applyFont="1" applyFill="1" applyBorder="1"/>
    <xf numFmtId="164" fontId="1" fillId="5" borderId="1" xfId="0" applyNumberFormat="1" applyFont="1" applyFill="1" applyBorder="1" applyAlignment="1">
      <alignment horizontal="center"/>
    </xf>
    <xf numFmtId="164" fontId="12" fillId="2" borderId="0" xfId="0" applyNumberFormat="1" applyFont="1" applyFill="1"/>
    <xf numFmtId="164" fontId="1" fillId="5" borderId="8" xfId="0" applyNumberFormat="1" applyFont="1" applyFill="1" applyBorder="1" applyAlignment="1">
      <alignment horizontal="center"/>
    </xf>
    <xf numFmtId="0" fontId="6" fillId="2" borderId="61" xfId="0" applyFont="1" applyFill="1" applyBorder="1"/>
    <xf numFmtId="164" fontId="12" fillId="2" borderId="45" xfId="0" applyNumberFormat="1" applyFont="1" applyFill="1" applyBorder="1"/>
    <xf numFmtId="164" fontId="12" fillId="2" borderId="6" xfId="0" applyNumberFormat="1" applyFont="1" applyFill="1" applyBorder="1"/>
    <xf numFmtId="0" fontId="27" fillId="3" borderId="2" xfId="0" applyFont="1" applyFill="1" applyBorder="1"/>
    <xf numFmtId="0" fontId="28" fillId="2" borderId="8" xfId="0" applyFont="1" applyFill="1" applyBorder="1" applyAlignment="1">
      <alignment horizontal="center"/>
    </xf>
    <xf numFmtId="0" fontId="29" fillId="2" borderId="1" xfId="0" applyFont="1" applyFill="1" applyBorder="1" applyAlignment="1">
      <alignment horizontal="center"/>
    </xf>
    <xf numFmtId="0" fontId="13" fillId="0" borderId="0" xfId="0" applyFont="1"/>
    <xf numFmtId="0" fontId="4" fillId="3" borderId="25" xfId="0" applyFont="1" applyFill="1" applyBorder="1" applyAlignment="1">
      <alignment horizontal="center"/>
    </xf>
    <xf numFmtId="0" fontId="4" fillId="3" borderId="26" xfId="0" applyFont="1" applyFill="1" applyBorder="1" applyAlignment="1">
      <alignment horizontal="center"/>
    </xf>
    <xf numFmtId="0" fontId="3" fillId="2" borderId="4" xfId="0" applyFont="1" applyFill="1" applyBorder="1"/>
    <xf numFmtId="0" fontId="3" fillId="2" borderId="38" xfId="0" applyFont="1" applyFill="1" applyBorder="1"/>
    <xf numFmtId="164" fontId="1" fillId="5" borderId="14" xfId="0" applyNumberFormat="1" applyFont="1" applyFill="1" applyBorder="1" applyAlignment="1">
      <alignment horizontal="center"/>
    </xf>
    <xf numFmtId="164" fontId="1" fillId="5" borderId="43" xfId="0" applyNumberFormat="1" applyFont="1" applyFill="1" applyBorder="1" applyAlignment="1">
      <alignment horizontal="center"/>
    </xf>
    <xf numFmtId="0" fontId="4" fillId="3" borderId="2" xfId="0" applyFont="1" applyFill="1" applyBorder="1" applyAlignment="1">
      <alignment horizontal="right"/>
    </xf>
    <xf numFmtId="10" fontId="3" fillId="2" borderId="1" xfId="0" applyNumberFormat="1" applyFont="1" applyFill="1" applyBorder="1" applyAlignment="1">
      <alignment horizontal="right"/>
    </xf>
    <xf numFmtId="0" fontId="3" fillId="2" borderId="10" xfId="0" applyFont="1" applyFill="1" applyBorder="1"/>
    <xf numFmtId="164" fontId="1" fillId="5" borderId="73" xfId="0" applyNumberFormat="1" applyFont="1" applyFill="1" applyBorder="1" applyAlignment="1">
      <alignment horizontal="center"/>
    </xf>
    <xf numFmtId="0" fontId="30" fillId="3" borderId="4" xfId="0" applyFont="1" applyFill="1" applyBorder="1"/>
    <xf numFmtId="0" fontId="3" fillId="2" borderId="6" xfId="0" applyFont="1" applyFill="1" applyBorder="1"/>
    <xf numFmtId="0" fontId="6" fillId="2" borderId="1" xfId="0" applyFont="1" applyFill="1" applyBorder="1" applyAlignment="1">
      <alignment horizontal="center"/>
    </xf>
    <xf numFmtId="0" fontId="4" fillId="3" borderId="74" xfId="0" applyFont="1" applyFill="1" applyBorder="1" applyAlignment="1">
      <alignment horizontal="right"/>
    </xf>
    <xf numFmtId="0" fontId="3" fillId="2" borderId="2" xfId="0" applyFont="1" applyFill="1" applyBorder="1"/>
    <xf numFmtId="0" fontId="31" fillId="3" borderId="2" xfId="0" applyFont="1" applyFill="1" applyBorder="1"/>
    <xf numFmtId="0" fontId="6" fillId="2" borderId="14" xfId="0" applyFont="1" applyFill="1" applyBorder="1" applyAlignment="1">
      <alignment horizontal="center"/>
    </xf>
    <xf numFmtId="0" fontId="6" fillId="2" borderId="43" xfId="0" applyFont="1" applyFill="1" applyBorder="1" applyAlignment="1">
      <alignment horizontal="center"/>
    </xf>
    <xf numFmtId="0" fontId="6" fillId="2" borderId="5" xfId="0" applyFont="1" applyFill="1" applyBorder="1" applyAlignment="1">
      <alignment horizontal="left"/>
    </xf>
    <xf numFmtId="0" fontId="3" fillId="2" borderId="75" xfId="0" applyFont="1" applyFill="1" applyBorder="1"/>
    <xf numFmtId="0" fontId="6" fillId="2" borderId="8" xfId="0" applyFont="1" applyFill="1" applyBorder="1" applyAlignment="1">
      <alignment horizontal="center"/>
    </xf>
    <xf numFmtId="0" fontId="6" fillId="2" borderId="73" xfId="0" applyFont="1" applyFill="1" applyBorder="1" applyAlignment="1">
      <alignment horizontal="center"/>
    </xf>
    <xf numFmtId="0" fontId="6" fillId="2" borderId="30" xfId="0" applyFont="1" applyFill="1" applyBorder="1" applyAlignment="1">
      <alignment horizontal="left"/>
    </xf>
    <xf numFmtId="0" fontId="3" fillId="5" borderId="4" xfId="0" applyFont="1" applyFill="1" applyBorder="1"/>
    <xf numFmtId="0" fontId="3" fillId="5" borderId="38" xfId="0" applyFont="1" applyFill="1" applyBorder="1"/>
    <xf numFmtId="9" fontId="6" fillId="5" borderId="14" xfId="0" applyNumberFormat="1" applyFont="1" applyFill="1" applyBorder="1" applyAlignment="1">
      <alignment horizontal="center"/>
    </xf>
    <xf numFmtId="9" fontId="6" fillId="5" borderId="43" xfId="0" applyNumberFormat="1" applyFont="1" applyFill="1" applyBorder="1" applyAlignment="1">
      <alignment horizontal="center"/>
    </xf>
    <xf numFmtId="9" fontId="6" fillId="5" borderId="5" xfId="0" applyNumberFormat="1" applyFont="1" applyFill="1" applyBorder="1" applyAlignment="1">
      <alignment horizontal="left"/>
    </xf>
    <xf numFmtId="9" fontId="6" fillId="5" borderId="8" xfId="0" applyNumberFormat="1" applyFont="1" applyFill="1" applyBorder="1" applyAlignment="1">
      <alignment horizontal="center"/>
    </xf>
    <xf numFmtId="9" fontId="6" fillId="5" borderId="73" xfId="0" applyNumberFormat="1" applyFont="1" applyFill="1" applyBorder="1" applyAlignment="1">
      <alignment horizontal="center"/>
    </xf>
    <xf numFmtId="0" fontId="3" fillId="5" borderId="1" xfId="0" applyFont="1" applyFill="1" applyBorder="1"/>
    <xf numFmtId="9" fontId="6" fillId="5" borderId="1" xfId="0" applyNumberFormat="1" applyFont="1" applyFill="1" applyBorder="1" applyAlignment="1">
      <alignment horizontal="center"/>
    </xf>
    <xf numFmtId="4" fontId="1" fillId="2" borderId="0" xfId="0" applyNumberFormat="1" applyFont="1" applyFill="1"/>
    <xf numFmtId="165" fontId="1" fillId="2" borderId="32" xfId="0" applyNumberFormat="1" applyFont="1" applyFill="1" applyBorder="1" applyAlignment="1">
      <alignment horizontal="center"/>
    </xf>
    <xf numFmtId="164" fontId="2" fillId="2" borderId="0" xfId="0" applyNumberFormat="1" applyFont="1" applyFill="1"/>
    <xf numFmtId="166" fontId="5" fillId="2" borderId="1" xfId="0" applyNumberFormat="1" applyFont="1" applyFill="1" applyBorder="1"/>
    <xf numFmtId="3" fontId="5" fillId="2" borderId="0" xfId="0" applyNumberFormat="1" applyFont="1" applyFill="1"/>
    <xf numFmtId="3" fontId="5" fillId="2" borderId="0" xfId="0" applyNumberFormat="1" applyFont="1" applyFill="1" applyAlignment="1">
      <alignment horizontal="center"/>
    </xf>
    <xf numFmtId="0" fontId="5" fillId="2" borderId="0" xfId="0" applyFont="1" applyFill="1" applyAlignment="1">
      <alignment horizontal="center"/>
    </xf>
    <xf numFmtId="2" fontId="5" fillId="2" borderId="0" xfId="0" applyNumberFormat="1" applyFont="1" applyFill="1" applyAlignment="1">
      <alignment horizontal="center"/>
    </xf>
    <xf numFmtId="168" fontId="5" fillId="2" borderId="0" xfId="0" applyNumberFormat="1" applyFont="1" applyFill="1" applyAlignment="1">
      <alignment horizontal="center"/>
    </xf>
    <xf numFmtId="169" fontId="5" fillId="2" borderId="0" xfId="0" applyNumberFormat="1" applyFont="1" applyFill="1" applyAlignment="1">
      <alignment horizontal="center"/>
    </xf>
    <xf numFmtId="0" fontId="5" fillId="2" borderId="32" xfId="0" applyFont="1" applyFill="1" applyBorder="1" applyAlignment="1">
      <alignment horizontal="center"/>
    </xf>
    <xf numFmtId="0" fontId="32" fillId="2" borderId="15" xfId="0" applyFont="1" applyFill="1" applyBorder="1"/>
    <xf numFmtId="0" fontId="24" fillId="0" borderId="0" xfId="0" applyFont="1"/>
    <xf numFmtId="164" fontId="32" fillId="2" borderId="1" xfId="0" applyNumberFormat="1" applyFont="1" applyFill="1" applyBorder="1"/>
    <xf numFmtId="164" fontId="33" fillId="2" borderId="0" xfId="0" applyNumberFormat="1" applyFont="1" applyFill="1"/>
    <xf numFmtId="164" fontId="33" fillId="2" borderId="1" xfId="0" applyNumberFormat="1" applyFont="1" applyFill="1" applyBorder="1"/>
    <xf numFmtId="0" fontId="25" fillId="2" borderId="1" xfId="0" applyFont="1" applyFill="1" applyBorder="1"/>
    <xf numFmtId="0" fontId="25" fillId="2" borderId="0" xfId="0" applyFont="1" applyFill="1"/>
    <xf numFmtId="0" fontId="1" fillId="0" borderId="15" xfId="0" applyFont="1" applyBorder="1"/>
    <xf numFmtId="0" fontId="12" fillId="2" borderId="76" xfId="0" applyFont="1" applyFill="1" applyBorder="1"/>
    <xf numFmtId="0" fontId="12" fillId="2" borderId="65" xfId="0" applyFont="1" applyFill="1" applyBorder="1"/>
    <xf numFmtId="169" fontId="12" fillId="2" borderId="66" xfId="0" applyNumberFormat="1" applyFont="1" applyFill="1" applyBorder="1"/>
    <xf numFmtId="169" fontId="1" fillId="2" borderId="66" xfId="0" applyNumberFormat="1" applyFont="1" applyFill="1" applyBorder="1" applyAlignment="1">
      <alignment horizontal="center"/>
    </xf>
    <xf numFmtId="164" fontId="3" fillId="2" borderId="65" xfId="0" applyNumberFormat="1" applyFont="1" applyFill="1" applyBorder="1" applyAlignment="1">
      <alignment horizontal="center"/>
    </xf>
    <xf numFmtId="164" fontId="3" fillId="2" borderId="34" xfId="0" applyNumberFormat="1" applyFont="1" applyFill="1" applyBorder="1" applyAlignment="1">
      <alignment horizontal="center"/>
    </xf>
    <xf numFmtId="0" fontId="6" fillId="6" borderId="20" xfId="0" applyFont="1" applyFill="1" applyBorder="1" applyAlignment="1">
      <alignment horizontal="center" wrapText="1"/>
    </xf>
    <xf numFmtId="0" fontId="7" fillId="0" borderId="21" xfId="0" applyFont="1" applyBorder="1"/>
    <xf numFmtId="0" fontId="7" fillId="0" borderId="22" xfId="0" applyFont="1" applyBorder="1"/>
    <xf numFmtId="0" fontId="5" fillId="6" borderId="55" xfId="0" applyFont="1" applyFill="1" applyBorder="1" applyAlignment="1">
      <alignment horizontal="center" wrapText="1"/>
    </xf>
    <xf numFmtId="0" fontId="7" fillId="0" borderId="56" xfId="0" applyFont="1" applyBorder="1"/>
    <xf numFmtId="0" fontId="7" fillId="0" borderId="57" xfId="0" applyFont="1" applyBorder="1"/>
    <xf numFmtId="0" fontId="4" fillId="14" borderId="58" xfId="0" applyFont="1" applyFill="1" applyBorder="1" applyAlignment="1">
      <alignment horizontal="left" vertical="center" wrapText="1"/>
    </xf>
    <xf numFmtId="0" fontId="7" fillId="0" borderId="59" xfId="0" applyFont="1" applyBorder="1"/>
    <xf numFmtId="0" fontId="7" fillId="0" borderId="41" xfId="0" applyFont="1" applyBorder="1"/>
    <xf numFmtId="0" fontId="6" fillId="6" borderId="21" xfId="0" applyFont="1" applyFill="1" applyBorder="1" applyAlignment="1">
      <alignment horizontal="center" wrapText="1"/>
    </xf>
    <xf numFmtId="0" fontId="6" fillId="6" borderId="23" xfId="0" applyFont="1" applyFill="1" applyBorder="1" applyAlignment="1">
      <alignment horizontal="center" wrapText="1"/>
    </xf>
    <xf numFmtId="0" fontId="7" fillId="0" borderId="23" xfId="0" applyFont="1" applyBorder="1"/>
    <xf numFmtId="0" fontId="7" fillId="0" borderId="24" xfId="0" applyFont="1" applyBorder="1"/>
    <xf numFmtId="0" fontId="1" fillId="12" borderId="7" xfId="0" applyFont="1" applyFill="1" applyBorder="1" applyAlignment="1">
      <alignment horizontal="center"/>
    </xf>
    <xf numFmtId="0" fontId="7" fillId="0" borderId="6" xfId="0" applyFont="1" applyBorder="1"/>
    <xf numFmtId="0" fontId="6" fillId="6" borderId="7" xfId="0" applyFont="1" applyFill="1" applyBorder="1" applyAlignment="1">
      <alignment horizontal="center" wrapText="1"/>
    </xf>
    <xf numFmtId="0" fontId="7" fillId="0" borderId="12" xfId="0" applyFont="1" applyBorder="1"/>
    <xf numFmtId="0" fontId="6" fillId="6" borderId="4" xfId="0" applyFont="1" applyFill="1" applyBorder="1" applyAlignment="1">
      <alignment horizontal="center" wrapText="1"/>
    </xf>
    <xf numFmtId="0" fontId="7" fillId="0" borderId="3" xfId="0" applyFont="1" applyBorder="1"/>
    <xf numFmtId="0" fontId="6" fillId="6" borderId="60" xfId="0" applyFont="1" applyFill="1" applyBorder="1" applyAlignment="1">
      <alignment horizontal="center" wrapText="1"/>
    </xf>
    <xf numFmtId="0" fontId="1" fillId="11" borderId="7" xfId="0" applyFont="1" applyFill="1" applyBorder="1" applyAlignment="1">
      <alignment horizontal="center"/>
    </xf>
    <xf numFmtId="3" fontId="36" fillId="2" borderId="70" xfId="0" applyNumberFormat="1" applyFont="1" applyFill="1" applyBorder="1" applyAlignment="1">
      <alignment horizontal="left"/>
    </xf>
    <xf numFmtId="3" fontId="34" fillId="2" borderId="70" xfId="0" applyNumberFormat="1" applyFont="1" applyFill="1" applyBorder="1" applyAlignment="1">
      <alignment horizontal="left"/>
    </xf>
    <xf numFmtId="3" fontId="36" fillId="2" borderId="0" xfId="0" applyNumberFormat="1" applyFont="1" applyFill="1"/>
    <xf numFmtId="164" fontId="37" fillId="2" borderId="70" xfId="0" applyNumberFormat="1" applyFont="1" applyFill="1" applyBorder="1"/>
    <xf numFmtId="0" fontId="35" fillId="2" borderId="5" xfId="0" applyFont="1" applyFill="1" applyBorder="1" applyAlignment="1">
      <alignment horizontal="center" vertical="center"/>
    </xf>
    <xf numFmtId="0" fontId="36" fillId="7" borderId="0" xfId="0" applyFont="1" applyFill="1" applyAlignment="1">
      <alignment horizontal="center"/>
    </xf>
  </cellXfs>
  <cellStyles count="1">
    <cellStyle name="Normal" xfId="0" builtinId="0"/>
  </cellStyles>
  <dxfs count="126">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ont>
        <color rgb="FF000000"/>
      </font>
      <fill>
        <patternFill patternType="solid">
          <fgColor rgb="FFFCE8B2"/>
          <bgColor rgb="FFFCE8B2"/>
        </patternFill>
      </fill>
    </dxf>
    <dxf>
      <fill>
        <patternFill patternType="solid">
          <fgColor rgb="FFBF9000"/>
          <bgColor rgb="FFBF9000"/>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C53929"/>
      </font>
      <fill>
        <patternFill patternType="none"/>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b/>
        <color rgb="FF0B8043"/>
      </font>
      <fill>
        <patternFill patternType="none"/>
      </fill>
    </dxf>
    <dxf>
      <font>
        <b/>
        <color rgb="FFC53929"/>
      </font>
      <fill>
        <patternFill patternType="none"/>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FF0000"/>
      </font>
      <fill>
        <patternFill patternType="solid">
          <fgColor rgb="FFFFFFFF"/>
          <bgColor rgb="FFFFFFFF"/>
        </patternFill>
      </fill>
    </dxf>
    <dxf>
      <font>
        <color rgb="FF0B8043"/>
      </font>
      <fill>
        <patternFill patternType="solid">
          <fgColor rgb="FFFFFFFF"/>
          <bgColor rgb="FFFFFFFF"/>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FF0000"/>
      </font>
      <fill>
        <patternFill patternType="solid">
          <fgColor rgb="FFFFFFFF"/>
          <bgColor rgb="FFFFFFFF"/>
        </patternFill>
      </fill>
    </dxf>
    <dxf>
      <font>
        <color rgb="FF0B8043"/>
      </font>
      <fill>
        <patternFill patternType="solid">
          <fgColor rgb="FFFFFFFF"/>
          <bgColor rgb="FFFFFFFF"/>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00000"/>
      </font>
      <fill>
        <patternFill patternType="solid">
          <fgColor rgb="FF9FC5E8"/>
          <bgColor rgb="FF9FC5E8"/>
        </patternFill>
      </fill>
    </dxf>
    <dxf>
      <font>
        <color rgb="FF000000"/>
      </font>
      <fill>
        <patternFill patternType="solid">
          <fgColor rgb="FFF3F3F3"/>
          <bgColor rgb="FFF3F3F3"/>
        </patternFill>
      </fill>
    </dxf>
    <dxf>
      <font>
        <color rgb="FF000000"/>
      </font>
      <fill>
        <patternFill patternType="solid">
          <fgColor rgb="FFF6B26B"/>
          <bgColor rgb="FFF6B26B"/>
        </patternFill>
      </fill>
    </dxf>
    <dxf>
      <font>
        <color rgb="FF000000"/>
      </font>
      <fill>
        <patternFill patternType="solid">
          <fgColor rgb="FFCFE2F3"/>
          <bgColor rgb="FFCFE2F3"/>
        </patternFill>
      </fill>
    </dxf>
    <dxf>
      <font>
        <color rgb="FF000000"/>
      </font>
      <fill>
        <patternFill patternType="solid">
          <fgColor rgb="FF93C47D"/>
          <bgColor rgb="FF93C47D"/>
        </patternFill>
      </fill>
    </dxf>
    <dxf>
      <font>
        <color rgb="FF000000"/>
      </font>
      <fill>
        <patternFill patternType="solid">
          <fgColor rgb="FFA64D79"/>
          <bgColor rgb="FFA64D79"/>
        </patternFill>
      </fill>
    </dxf>
    <dxf>
      <fill>
        <patternFill patternType="solid">
          <fgColor rgb="FFB7E1CD"/>
          <bgColor rgb="FFB7E1CD"/>
        </patternFill>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ont>
        <color rgb="FF000000"/>
      </font>
      <fill>
        <patternFill patternType="solid">
          <fgColor rgb="FFFCE8B2"/>
          <bgColor rgb="FFFCE8B2"/>
        </patternFill>
      </fill>
    </dxf>
    <dxf>
      <fill>
        <patternFill patternType="solid">
          <fgColor rgb="FFBF9000"/>
          <bgColor rgb="FFBF9000"/>
        </patternFill>
      </fill>
    </dxf>
    <dxf>
      <font>
        <color rgb="FF000000"/>
      </font>
      <fill>
        <patternFill patternType="solid">
          <fgColor rgb="FF9FC5E8"/>
          <bgColor rgb="FF9FC5E8"/>
        </patternFill>
      </fill>
    </dxf>
    <dxf>
      <font>
        <color rgb="FF000000"/>
      </font>
      <fill>
        <patternFill patternType="solid">
          <fgColor rgb="FFCCCCCC"/>
          <bgColor rgb="FFCCCCCC"/>
        </patternFill>
      </fill>
    </dxf>
    <dxf>
      <font>
        <color rgb="FF000000"/>
      </font>
      <fill>
        <patternFill patternType="solid">
          <fgColor rgb="FFFCE8B2"/>
          <bgColor rgb="FFFCE8B2"/>
        </patternFill>
      </fill>
    </dxf>
    <dxf>
      <font>
        <color rgb="FF000000"/>
      </font>
      <fill>
        <patternFill patternType="solid">
          <fgColor rgb="FFCFE2F3"/>
          <bgColor rgb="FFCFE2F3"/>
        </patternFill>
      </fill>
    </dxf>
    <dxf>
      <font>
        <color rgb="FF000000"/>
      </font>
      <fill>
        <patternFill patternType="solid">
          <fgColor rgb="FF93C47D"/>
          <bgColor rgb="FF93C47D"/>
        </patternFill>
      </fill>
    </dxf>
    <dxf>
      <font>
        <color rgb="FF000000"/>
      </font>
      <fill>
        <patternFill patternType="solid">
          <fgColor rgb="FFA64D79"/>
          <bgColor rgb="FFA64D79"/>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C53929"/>
      </font>
      <fill>
        <patternFill patternType="none"/>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b/>
        <color rgb="FF0B8043"/>
      </font>
      <fill>
        <patternFill patternType="none"/>
      </fill>
    </dxf>
    <dxf>
      <font>
        <b/>
        <color rgb="FFC53929"/>
      </font>
      <fill>
        <patternFill patternType="none"/>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s>
  <tableStyles count="23">
    <tableStyle name="ETFs-style" pivot="0" count="2" xr9:uid="{00000000-0011-0000-FFFF-FFFF00000000}">
      <tableStyleElement type="firstRowStripe" dxfId="125"/>
      <tableStyleElement type="secondRowStripe" dxfId="124"/>
    </tableStyle>
    <tableStyle name="ETFs-style 2" pivot="0" count="2" xr9:uid="{00000000-0011-0000-FFFF-FFFF01000000}">
      <tableStyleElement type="firstRowStripe" dxfId="123"/>
      <tableStyleElement type="secondRowStripe" dxfId="122"/>
    </tableStyle>
    <tableStyle name="ETFs-style 3" pivot="0" count="2" xr9:uid="{00000000-0011-0000-FFFF-FFFF02000000}">
      <tableStyleElement type="firstRowStripe" dxfId="121"/>
      <tableStyleElement type="secondRowStripe" dxfId="120"/>
    </tableStyle>
    <tableStyle name="ETFs-style 4" pivot="0" count="3" xr9:uid="{00000000-0011-0000-FFFF-FFFF03000000}">
      <tableStyleElement type="headerRow" dxfId="119"/>
      <tableStyleElement type="firstRowStripe" dxfId="118"/>
      <tableStyleElement type="secondRowStripe" dxfId="117"/>
    </tableStyle>
    <tableStyle name="ETFs-style 5" pivot="0" count="2" xr9:uid="{00000000-0011-0000-FFFF-FFFF04000000}">
      <tableStyleElement type="firstRowStripe" dxfId="116"/>
      <tableStyleElement type="secondRowStripe" dxfId="115"/>
    </tableStyle>
    <tableStyle name="ETFs-style 6" pivot="0" count="2" xr9:uid="{00000000-0011-0000-FFFF-FFFF05000000}">
      <tableStyleElement type="firstRowStripe" dxfId="114"/>
      <tableStyleElement type="secondRowStripe" dxfId="113"/>
    </tableStyle>
    <tableStyle name="ETFs-style 7" pivot="0" count="2" xr9:uid="{00000000-0011-0000-FFFF-FFFF06000000}">
      <tableStyleElement type="firstRowStripe" dxfId="112"/>
      <tableStyleElement type="secondRowStripe" dxfId="111"/>
    </tableStyle>
    <tableStyle name="ETFs-style 8" pivot="0" count="2" xr9:uid="{00000000-0011-0000-FFFF-FFFF07000000}">
      <tableStyleElement type="firstRowStripe" dxfId="110"/>
      <tableStyleElement type="secondRowStripe" dxfId="109"/>
    </tableStyle>
    <tableStyle name="ETFs-style 9" pivot="0" count="2" xr9:uid="{00000000-0011-0000-FFFF-FFFF08000000}">
      <tableStyleElement type="firstRowStripe" dxfId="108"/>
      <tableStyleElement type="secondRowStripe" dxfId="107"/>
    </tableStyle>
    <tableStyle name="ETFs-style 10" pivot="0" count="2" xr9:uid="{00000000-0011-0000-FFFF-FFFF09000000}">
      <tableStyleElement type="firstRowStripe" dxfId="106"/>
      <tableStyleElement type="secondRowStripe" dxfId="105"/>
    </tableStyle>
    <tableStyle name="ETFs-style 11" pivot="0" count="2" xr9:uid="{00000000-0011-0000-FFFF-FFFF0A000000}">
      <tableStyleElement type="firstRowStripe" dxfId="104"/>
      <tableStyleElement type="secondRowStripe" dxfId="103"/>
    </tableStyle>
    <tableStyle name="ETFs-style 12" pivot="0" count="2" xr9:uid="{00000000-0011-0000-FFFF-FFFF0B000000}">
      <tableStyleElement type="firstRowStripe" dxfId="102"/>
      <tableStyleElement type="secondRowStripe" dxfId="101"/>
    </tableStyle>
    <tableStyle name="ETF resumido-style" pivot="0" count="2" xr9:uid="{00000000-0011-0000-FFFF-FFFF0C000000}">
      <tableStyleElement type="firstRowStripe" dxfId="100"/>
      <tableStyleElement type="secondRowStripe" dxfId="99"/>
    </tableStyle>
    <tableStyle name="ETF resumido-style 2" pivot="0" count="2" xr9:uid="{00000000-0011-0000-FFFF-FFFF0D000000}">
      <tableStyleElement type="firstRowStripe" dxfId="98"/>
      <tableStyleElement type="secondRowStripe" dxfId="97"/>
    </tableStyle>
    <tableStyle name="ETF resumido-style 3" pivot="0" count="2" xr9:uid="{00000000-0011-0000-FFFF-FFFF0E000000}">
      <tableStyleElement type="firstRowStripe" dxfId="96"/>
      <tableStyleElement type="secondRowStripe" dxfId="95"/>
    </tableStyle>
    <tableStyle name="ETF resumido-style 4" pivot="0" count="3" xr9:uid="{00000000-0011-0000-FFFF-FFFF0F000000}">
      <tableStyleElement type="headerRow" dxfId="94"/>
      <tableStyleElement type="firstRowStripe" dxfId="93"/>
      <tableStyleElement type="secondRowStripe" dxfId="92"/>
    </tableStyle>
    <tableStyle name="ETF resumido-style 5" pivot="0" count="2" xr9:uid="{00000000-0011-0000-FFFF-FFFF10000000}">
      <tableStyleElement type="firstRowStripe" dxfId="91"/>
      <tableStyleElement type="secondRowStripe" dxfId="90"/>
    </tableStyle>
    <tableStyle name="ETF resumido-style 6" pivot="0" count="2" xr9:uid="{00000000-0011-0000-FFFF-FFFF11000000}">
      <tableStyleElement type="firstRowStripe" dxfId="89"/>
      <tableStyleElement type="secondRowStripe" dxfId="88"/>
    </tableStyle>
    <tableStyle name="ETF resumido-style 7" pivot="0" count="2" xr9:uid="{00000000-0011-0000-FFFF-FFFF12000000}">
      <tableStyleElement type="firstRowStripe" dxfId="87"/>
      <tableStyleElement type="secondRowStripe" dxfId="86"/>
    </tableStyle>
    <tableStyle name="ETF resumido-style 8" pivot="0" count="2" xr9:uid="{00000000-0011-0000-FFFF-FFFF13000000}">
      <tableStyleElement type="firstRowStripe" dxfId="85"/>
      <tableStyleElement type="secondRowStripe" dxfId="84"/>
    </tableStyle>
    <tableStyle name="Portafolio Discrecional-style" pivot="0" count="2" xr9:uid="{00000000-0011-0000-FFFF-FFFF14000000}">
      <tableStyleElement type="firstRowStripe" dxfId="83"/>
      <tableStyleElement type="secondRowStripe" dxfId="82"/>
    </tableStyle>
    <tableStyle name="Acciones nuevos máx 2023-style" pivot="0" count="3" xr9:uid="{00000000-0011-0000-FFFF-FFFF15000000}">
      <tableStyleElement type="headerRow" dxfId="81"/>
      <tableStyleElement type="firstRowStripe" dxfId="80"/>
      <tableStyleElement type="secondRowStripe" dxfId="79"/>
    </tableStyle>
    <tableStyle name="Acciones nuevos mínimos 2023-style" pivot="0" count="3" xr9:uid="{00000000-0011-0000-FFFF-FFFF16000000}">
      <tableStyleElement type="headerRow" dxfId="78"/>
      <tableStyleElement type="firstRowStripe" dxfId="77"/>
      <tableStyleElement type="secondRowStripe" dxfId="7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1">
                <a:solidFill>
                  <a:srgbClr val="757575"/>
                </a:solidFill>
                <a:latin typeface="+mn-lt"/>
              </a:defRPr>
            </a:pPr>
            <a:r>
              <a:rPr lang="es-UY" sz="1400" b="1">
                <a:solidFill>
                  <a:srgbClr val="757575"/>
                </a:solidFill>
                <a:latin typeface="+mn-lt"/>
              </a:rPr>
              <a:t>Tipo de empresa</a:t>
            </a:r>
          </a:p>
        </c:rich>
      </c:tx>
      <c:overlay val="0"/>
    </c:title>
    <c:autoTitleDeleted val="0"/>
    <c:view3D>
      <c:rotX val="50"/>
      <c:rotY val="0"/>
      <c:rAngAx val="1"/>
    </c:view3D>
    <c:floor>
      <c:thickness val="0"/>
    </c:floor>
    <c:sideWall>
      <c:thickness val="0"/>
    </c:sideWall>
    <c:backWall>
      <c:thickness val="0"/>
    </c:backWall>
    <c:plotArea>
      <c:layout>
        <c:manualLayout>
          <c:layoutTarget val="inner"/>
          <c:xMode val="edge"/>
          <c:yMode val="edge"/>
          <c:x val="2.2994313210848646E-2"/>
          <c:y val="0.2368054826480023"/>
          <c:w val="0.54877223680373288"/>
          <c:h val="0.63083347914843979"/>
        </c:manualLayout>
      </c:layout>
      <c:pie3DChart>
        <c:varyColors val="1"/>
        <c:ser>
          <c:idx val="0"/>
          <c:order val="0"/>
          <c:dPt>
            <c:idx val="0"/>
            <c:bubble3D val="0"/>
            <c:spPr>
              <a:solidFill>
                <a:srgbClr val="3D85C6"/>
              </a:solidFill>
            </c:spPr>
            <c:extLst>
              <c:ext xmlns:c16="http://schemas.microsoft.com/office/drawing/2014/chart" uri="{C3380CC4-5D6E-409C-BE32-E72D297353CC}">
                <c16:uniqueId val="{00000001-6FA8-4693-9243-333B34FFF3B7}"/>
              </c:ext>
            </c:extLst>
          </c:dPt>
          <c:dPt>
            <c:idx val="1"/>
            <c:bubble3D val="0"/>
            <c:spPr>
              <a:solidFill>
                <a:srgbClr val="9FC5E8"/>
              </a:solidFill>
            </c:spPr>
            <c:extLst>
              <c:ext xmlns:c16="http://schemas.microsoft.com/office/drawing/2014/chart" uri="{C3380CC4-5D6E-409C-BE32-E72D297353CC}">
                <c16:uniqueId val="{00000003-6FA8-4693-9243-333B34FFF3B7}"/>
              </c:ext>
            </c:extLst>
          </c:dPt>
          <c:dPt>
            <c:idx val="2"/>
            <c:bubble3D val="0"/>
            <c:spPr>
              <a:solidFill>
                <a:srgbClr val="F1C232"/>
              </a:solidFill>
            </c:spPr>
            <c:extLst>
              <c:ext xmlns:c16="http://schemas.microsoft.com/office/drawing/2014/chart" uri="{C3380CC4-5D6E-409C-BE32-E72D297353CC}">
                <c16:uniqueId val="{00000005-6FA8-4693-9243-333B34FFF3B7}"/>
              </c:ext>
            </c:extLst>
          </c:dPt>
          <c:dPt>
            <c:idx val="3"/>
            <c:bubble3D val="0"/>
            <c:spPr>
              <a:solidFill>
                <a:srgbClr val="57BB8A"/>
              </a:solidFill>
            </c:spPr>
            <c:extLst>
              <c:ext xmlns:c16="http://schemas.microsoft.com/office/drawing/2014/chart" uri="{C3380CC4-5D6E-409C-BE32-E72D297353CC}">
                <c16:uniqueId val="{00000007-6FA8-4693-9243-333B34FFF3B7}"/>
              </c:ext>
            </c:extLst>
          </c:dPt>
          <c:dPt>
            <c:idx val="4"/>
            <c:bubble3D val="0"/>
            <c:spPr>
              <a:solidFill>
                <a:srgbClr val="BDBDBD"/>
              </a:solidFill>
            </c:spPr>
            <c:extLst>
              <c:ext xmlns:c16="http://schemas.microsoft.com/office/drawing/2014/chart" uri="{C3380CC4-5D6E-409C-BE32-E72D297353CC}">
                <c16:uniqueId val="{00000009-6FA8-4693-9243-333B34FFF3B7}"/>
              </c:ext>
            </c:extLst>
          </c:dPt>
          <c:dLbls>
            <c:dLbl>
              <c:idx val="0"/>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1-6FA8-4693-9243-333B34FFF3B7}"/>
                </c:ext>
              </c:extLst>
            </c:dLbl>
            <c:dLbl>
              <c:idx val="1"/>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3-6FA8-4693-9243-333B34FFF3B7}"/>
                </c:ext>
              </c:extLst>
            </c:dLbl>
            <c:dLbl>
              <c:idx val="2"/>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5-6FA8-4693-9243-333B34FFF3B7}"/>
                </c:ext>
              </c:extLst>
            </c:dLbl>
            <c:dLbl>
              <c:idx val="3"/>
              <c:layout>
                <c:manualLayout>
                  <c:x val="2.4122739865850101E-2"/>
                  <c:y val="-6.4349372995042287E-2"/>
                </c:manualLayout>
              </c:layout>
              <c:spPr/>
              <c:txPr>
                <a:bodyPr/>
                <a:lstStyle/>
                <a:p>
                  <a:pPr lvl="0">
                    <a:defRPr sz="800"/>
                  </a:pPr>
                  <a:endParaRPr lang="es-UY"/>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FA8-4693-9243-333B34FFF3B7}"/>
                </c:ext>
              </c:extLst>
            </c:dLbl>
            <c:dLbl>
              <c:idx val="4"/>
              <c:layout>
                <c:manualLayout>
                  <c:x val="4.9328703703703701E-2"/>
                  <c:y val="2.2553514144065326E-2"/>
                </c:manualLayout>
              </c:layout>
              <c:spPr/>
              <c:txPr>
                <a:bodyPr/>
                <a:lstStyle/>
                <a:p>
                  <a:pPr lvl="0">
                    <a:defRPr sz="800"/>
                  </a:pPr>
                  <a:endParaRPr lang="es-UY"/>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FA8-4693-9243-333B34FFF3B7}"/>
                </c:ext>
              </c:extLst>
            </c:dLbl>
            <c:spPr>
              <a:noFill/>
              <a:ln>
                <a:noFill/>
              </a:ln>
              <a:effectLst/>
            </c:spPr>
            <c:txPr>
              <a:bodyPr wrap="square" lIns="38100" tIns="19050" rIns="38100" bIns="19050" anchor="ctr">
                <a:spAutoFit/>
              </a:bodyPr>
              <a:lstStyle/>
              <a:p>
                <a:pPr>
                  <a:defRPr sz="800"/>
                </a:pPr>
                <a:endParaRPr lang="es-UY"/>
              </a:p>
            </c:txPr>
            <c:showLegendKey val="0"/>
            <c:showVal val="1"/>
            <c:showCatName val="0"/>
            <c:showSerName val="0"/>
            <c:showPercent val="0"/>
            <c:showBubbleSize val="0"/>
            <c:showLeaderLines val="1"/>
            <c:extLst>
              <c:ext xmlns:c15="http://schemas.microsoft.com/office/drawing/2012/chart" uri="{CE6537A1-D6FC-4f65-9D91-7224C49458BB}"/>
            </c:extLst>
          </c:dLbls>
          <c:cat>
            <c:strRef>
              <c:f>'Portafolio Discrecional'!$X$55:$X$60</c:f>
              <c:strCache>
                <c:ptCount val="6"/>
                <c:pt idx="0">
                  <c:v>Alta calidad</c:v>
                </c:pt>
                <c:pt idx="1">
                  <c:v>Líder global</c:v>
                </c:pt>
                <c:pt idx="2">
                  <c:v>Atractivas Mediano plazo</c:v>
                </c:pt>
                <c:pt idx="3">
                  <c:v>Oportunidades corto plazo</c:v>
                </c:pt>
                <c:pt idx="4">
                  <c:v>Inverso</c:v>
                </c:pt>
                <c:pt idx="5">
                  <c:v>Cash</c:v>
                </c:pt>
              </c:strCache>
            </c:strRef>
          </c:cat>
          <c:val>
            <c:numRef>
              <c:f>'Portafolio Discrecional'!$Y$55:$Y$60</c:f>
              <c:numCache>
                <c:formatCode>0.0%</c:formatCode>
                <c:ptCount val="6"/>
                <c:pt idx="0">
                  <c:v>0.32837113572574972</c:v>
                </c:pt>
                <c:pt idx="1">
                  <c:v>0.12657144013755375</c:v>
                </c:pt>
                <c:pt idx="2">
                  <c:v>0.16195170271165016</c:v>
                </c:pt>
                <c:pt idx="3">
                  <c:v>0.10074167486895676</c:v>
                </c:pt>
                <c:pt idx="4">
                  <c:v>0.1093876997715745</c:v>
                </c:pt>
                <c:pt idx="5">
                  <c:v>0.17297634678451523</c:v>
                </c:pt>
              </c:numCache>
            </c:numRef>
          </c:val>
          <c:extLst>
            <c:ext xmlns:c16="http://schemas.microsoft.com/office/drawing/2014/chart" uri="{C3380CC4-5D6E-409C-BE32-E72D297353CC}">
              <c16:uniqueId val="{0000000A-6FA8-4693-9243-333B34FFF3B7}"/>
            </c:ext>
          </c:extLst>
        </c:ser>
        <c:dLbls>
          <c:showLegendKey val="0"/>
          <c:showVal val="0"/>
          <c:showCatName val="0"/>
          <c:showSerName val="0"/>
          <c:showPercent val="0"/>
          <c:showBubbleSize val="0"/>
          <c:showLeaderLines val="1"/>
        </c:dLbls>
      </c:pie3DChart>
    </c:plotArea>
    <c:legend>
      <c:legendPos val="r"/>
      <c:layout>
        <c:manualLayout>
          <c:xMode val="edge"/>
          <c:yMode val="edge"/>
          <c:x val="0.56526975794692336"/>
          <c:y val="0.27388059701492534"/>
          <c:w val="0.40523913677456985"/>
          <c:h val="0.70196092155147272"/>
        </c:manualLayout>
      </c:layout>
      <c:overlay val="0"/>
      <c:txPr>
        <a:bodyPr/>
        <a:lstStyle/>
        <a:p>
          <a:pPr lvl="0">
            <a:defRPr sz="800" b="0">
              <a:solidFill>
                <a:srgbClr val="1A1A1A"/>
              </a:solidFill>
              <a:latin typeface="+mn-lt"/>
            </a:defRPr>
          </a:pPr>
          <a:endParaRPr lang="es-UY"/>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000" b="1">
                <a:solidFill>
                  <a:srgbClr val="757575"/>
                </a:solidFill>
                <a:latin typeface="+mn-lt"/>
              </a:defRPr>
            </a:pPr>
            <a:r>
              <a:rPr lang="es-UY" sz="1000" b="1">
                <a:solidFill>
                  <a:srgbClr val="757575"/>
                </a:solidFill>
                <a:latin typeface="+mn-lt"/>
              </a:rPr>
              <a:t>Rendimiento Portafolio vs S&amp;P 500 (23-junio-2023)</a:t>
            </a:r>
          </a:p>
        </c:rich>
      </c:tx>
      <c:overlay val="0"/>
    </c:title>
    <c:autoTitleDeleted val="0"/>
    <c:plotArea>
      <c:layout/>
      <c:barChart>
        <c:barDir val="col"/>
        <c:grouping val="clustered"/>
        <c:varyColors val="1"/>
        <c:ser>
          <c:idx val="0"/>
          <c:order val="0"/>
          <c:tx>
            <c:strRef>
              <c:f>'Portafolio Discrecional'!$C$48</c:f>
              <c:strCache>
                <c:ptCount val="1"/>
                <c:pt idx="0">
                  <c:v>Rendimiento PORTAFOLIO</c:v>
                </c:pt>
              </c:strCache>
            </c:strRef>
          </c:tx>
          <c:spPr>
            <a:solidFill>
              <a:srgbClr val="4285F4"/>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Discrecional'!$D$47:$O$47</c:f>
              <c:strCache>
                <c:ptCount val="12"/>
                <c:pt idx="0">
                  <c:v>Hoy</c:v>
                </c:pt>
                <c:pt idx="1">
                  <c:v>Semanal</c:v>
                </c:pt>
                <c:pt idx="2">
                  <c:v>Jun23</c:v>
                </c:pt>
                <c:pt idx="3">
                  <c:v>3 meses</c:v>
                </c:pt>
                <c:pt idx="4">
                  <c:v>6 meses</c:v>
                </c:pt>
                <c:pt idx="5">
                  <c:v>1 año</c:v>
                </c:pt>
                <c:pt idx="6">
                  <c:v>YTD</c:v>
                </c:pt>
                <c:pt idx="7">
                  <c:v>2022</c:v>
                </c:pt>
                <c:pt idx="8">
                  <c:v>2021</c:v>
                </c:pt>
                <c:pt idx="9">
                  <c:v>2020</c:v>
                </c:pt>
                <c:pt idx="10">
                  <c:v>Desde el inicio</c:v>
                </c:pt>
                <c:pt idx="11">
                  <c:v>Desde el inicio (anual)</c:v>
                </c:pt>
              </c:strCache>
            </c:strRef>
          </c:cat>
          <c:val>
            <c:numRef>
              <c:f>'Portafolio Discrecional'!$D$48:$O$48</c:f>
              <c:numCache>
                <c:formatCode>0.0%</c:formatCode>
                <c:ptCount val="12"/>
                <c:pt idx="0">
                  <c:v>4.4516203617475459E-6</c:v>
                </c:pt>
                <c:pt idx="1">
                  <c:v>-7.370564515699507E-3</c:v>
                </c:pt>
                <c:pt idx="2">
                  <c:v>1.7629435484300494E-2</c:v>
                </c:pt>
                <c:pt idx="3">
                  <c:v>-7.7644894487748362E-3</c:v>
                </c:pt>
                <c:pt idx="4">
                  <c:v>3.344422983616413E-2</c:v>
                </c:pt>
                <c:pt idx="5">
                  <c:v>9.9243025581501776E-2</c:v>
                </c:pt>
                <c:pt idx="6">
                  <c:v>3.344422983616413E-2</c:v>
                </c:pt>
                <c:pt idx="7">
                  <c:v>-0.126</c:v>
                </c:pt>
                <c:pt idx="8">
                  <c:v>0.104</c:v>
                </c:pt>
                <c:pt idx="9">
                  <c:v>0.77100000000000002</c:v>
                </c:pt>
                <c:pt idx="10">
                  <c:v>0.76598134656142403</c:v>
                </c:pt>
                <c:pt idx="11">
                  <c:v>0.17695898099354346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BB3-43CD-9377-F3EAFB8F4A70}"/>
            </c:ext>
          </c:extLst>
        </c:ser>
        <c:ser>
          <c:idx val="1"/>
          <c:order val="1"/>
          <c:tx>
            <c:strRef>
              <c:f>'Portafolio Discrecional'!$C$49</c:f>
              <c:strCache>
                <c:ptCount val="1"/>
                <c:pt idx="0">
                  <c:v>Rendimiento S&amp;P 500</c:v>
                </c:pt>
              </c:strCache>
            </c:strRef>
          </c:tx>
          <c:spPr>
            <a:solidFill>
              <a:srgbClr val="EA4335"/>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Discrecional'!$D$47:$O$47</c:f>
              <c:strCache>
                <c:ptCount val="12"/>
                <c:pt idx="0">
                  <c:v>Hoy</c:v>
                </c:pt>
                <c:pt idx="1">
                  <c:v>Semanal</c:v>
                </c:pt>
                <c:pt idx="2">
                  <c:v>Jun23</c:v>
                </c:pt>
                <c:pt idx="3">
                  <c:v>3 meses</c:v>
                </c:pt>
                <c:pt idx="4">
                  <c:v>6 meses</c:v>
                </c:pt>
                <c:pt idx="5">
                  <c:v>1 año</c:v>
                </c:pt>
                <c:pt idx="6">
                  <c:v>YTD</c:v>
                </c:pt>
                <c:pt idx="7">
                  <c:v>2022</c:v>
                </c:pt>
                <c:pt idx="8">
                  <c:v>2021</c:v>
                </c:pt>
                <c:pt idx="9">
                  <c:v>2020</c:v>
                </c:pt>
                <c:pt idx="10">
                  <c:v>Desde el inicio</c:v>
                </c:pt>
                <c:pt idx="11">
                  <c:v>Desde el inicio (anual)</c:v>
                </c:pt>
              </c:strCache>
            </c:strRef>
          </c:cat>
          <c:val>
            <c:numRef>
              <c:f>'Portafolio Discrecional'!$D$49:$O$49</c:f>
              <c:numCache>
                <c:formatCode>0.0%</c:formatCode>
                <c:ptCount val="12"/>
                <c:pt idx="0">
                  <c:v>0</c:v>
                </c:pt>
                <c:pt idx="1">
                  <c:v>-1.4221999726937606E-2</c:v>
                </c:pt>
                <c:pt idx="2">
                  <c:v>3.6759602728251739E-2</c:v>
                </c:pt>
                <c:pt idx="3">
                  <c:v>9.2612676233952751E-2</c:v>
                </c:pt>
                <c:pt idx="4">
                  <c:v>0.13584163607760891</c:v>
                </c:pt>
                <c:pt idx="5">
                  <c:v>0.13631832966110569</c:v>
                </c:pt>
                <c:pt idx="6">
                  <c:v>0.13278246999450882</c:v>
                </c:pt>
                <c:pt idx="7">
                  <c:v>-0.19500000000000001</c:v>
                </c:pt>
                <c:pt idx="8">
                  <c:v>0.27</c:v>
                </c:pt>
                <c:pt idx="9">
                  <c:v>0.16200000000000001</c:v>
                </c:pt>
                <c:pt idx="10">
                  <c:v>0.34571238382710523</c:v>
                </c:pt>
                <c:pt idx="11">
                  <c:v>8.8864251932015526E-2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ABB3-43CD-9377-F3EAFB8F4A70}"/>
            </c:ext>
          </c:extLst>
        </c:ser>
        <c:dLbls>
          <c:showLegendKey val="0"/>
          <c:showVal val="0"/>
          <c:showCatName val="0"/>
          <c:showSerName val="0"/>
          <c:showPercent val="0"/>
          <c:showBubbleSize val="0"/>
        </c:dLbls>
        <c:gapWidth val="150"/>
        <c:axId val="1727456787"/>
        <c:axId val="1302722504"/>
      </c:barChart>
      <c:catAx>
        <c:axId val="1727456787"/>
        <c:scaling>
          <c:orientation val="minMax"/>
        </c:scaling>
        <c:delete val="0"/>
        <c:axPos val="b"/>
        <c:title>
          <c:tx>
            <c:rich>
              <a:bodyPr/>
              <a:lstStyle/>
              <a:p>
                <a:pPr lvl="0">
                  <a:defRPr b="0">
                    <a:solidFill>
                      <a:srgbClr val="000000"/>
                    </a:solidFill>
                    <a:latin typeface="+mn-lt"/>
                  </a:defRPr>
                </a:pPr>
                <a:endParaRPr lang="es-UY"/>
              </a:p>
            </c:rich>
          </c:tx>
          <c:overlay val="0"/>
        </c:title>
        <c:numFmt formatCode="General" sourceLinked="1"/>
        <c:majorTickMark val="cross"/>
        <c:minorTickMark val="none"/>
        <c:tickLblPos val="nextTo"/>
        <c:txPr>
          <a:bodyPr/>
          <a:lstStyle/>
          <a:p>
            <a:pPr lvl="0">
              <a:defRPr b="0">
                <a:solidFill>
                  <a:srgbClr val="000000"/>
                </a:solidFill>
                <a:latin typeface="+mn-lt"/>
              </a:defRPr>
            </a:pPr>
            <a:endParaRPr lang="es-UY"/>
          </a:p>
        </c:txPr>
        <c:crossAx val="1302722504"/>
        <c:crosses val="autoZero"/>
        <c:auto val="1"/>
        <c:lblAlgn val="ctr"/>
        <c:lblOffset val="100"/>
        <c:noMultiLvlLbl val="1"/>
      </c:catAx>
      <c:valAx>
        <c:axId val="130272250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UY"/>
              </a:p>
            </c:rich>
          </c:tx>
          <c:overlay val="0"/>
        </c:title>
        <c:numFmt formatCode="0.0%" sourceLinked="1"/>
        <c:majorTickMark val="none"/>
        <c:minorTickMark val="none"/>
        <c:tickLblPos val="nextTo"/>
        <c:spPr>
          <a:ln>
            <a:solidFill/>
          </a:ln>
        </c:spPr>
        <c:txPr>
          <a:bodyPr/>
          <a:lstStyle/>
          <a:p>
            <a:pPr lvl="0">
              <a:defRPr b="0">
                <a:solidFill>
                  <a:srgbClr val="000000"/>
                </a:solidFill>
                <a:latin typeface="+mn-lt"/>
              </a:defRPr>
            </a:pPr>
            <a:endParaRPr lang="es-UY"/>
          </a:p>
        </c:txPr>
        <c:crossAx val="1727456787"/>
        <c:crosses val="autoZero"/>
        <c:crossBetween val="between"/>
      </c:valAx>
    </c:plotArea>
    <c:legend>
      <c:legendPos val="b"/>
      <c:overlay val="0"/>
      <c:txPr>
        <a:bodyPr/>
        <a:lstStyle/>
        <a:p>
          <a:pPr lvl="0">
            <a:defRPr b="0">
              <a:solidFill>
                <a:srgbClr val="1A1A1A"/>
              </a:solidFill>
              <a:latin typeface="+mn-lt"/>
            </a:defRPr>
          </a:pPr>
          <a:endParaRPr lang="es-UY"/>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22</xdr:col>
      <xdr:colOff>60960</xdr:colOff>
      <xdr:row>44</xdr:row>
      <xdr:rowOff>182880</xdr:rowOff>
    </xdr:from>
    <xdr:ext cx="2743200" cy="1714500"/>
    <xdr:graphicFrame macro="">
      <xdr:nvGraphicFramePr>
        <xdr:cNvPr id="838650337" name="Chart 1" title="Chart">
          <a:extLst>
            <a:ext uri="{FF2B5EF4-FFF2-40B4-BE49-F238E27FC236}">
              <a16:creationId xmlns:a16="http://schemas.microsoft.com/office/drawing/2014/main" id="{00000000-0008-0000-0200-0000E1C9FC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150495</xdr:colOff>
      <xdr:row>50</xdr:row>
      <xdr:rowOff>160020</xdr:rowOff>
    </xdr:from>
    <xdr:ext cx="4410075" cy="2733675"/>
    <xdr:graphicFrame macro="">
      <xdr:nvGraphicFramePr>
        <xdr:cNvPr id="1974195972" name="Chart 2" title="Gráfico">
          <a:extLst>
            <a:ext uri="{FF2B5EF4-FFF2-40B4-BE49-F238E27FC236}">
              <a16:creationId xmlns:a16="http://schemas.microsoft.com/office/drawing/2014/main" id="{00000000-0008-0000-0200-000004D7AB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B55" headerRowCount="0">
  <tableColumns count="1">
    <tableColumn id="1" xr3:uid="{00000000-0010-0000-1400-000001000000}" name="Column1"/>
  </tableColumns>
  <tableStyleInfo name="Portafolio Discrecional-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22" displayName="Table_22" ref="Q3:U39" headerRowCount="0">
  <tableColumns count="5">
    <tableColumn id="1" xr3:uid="{00000000-0010-0000-1500-000001000000}" name="Column1"/>
    <tableColumn id="2" xr3:uid="{00000000-0010-0000-1500-000002000000}" name="Column2"/>
    <tableColumn id="3" xr3:uid="{00000000-0010-0000-1500-000003000000}" name="Column3"/>
    <tableColumn id="4" xr3:uid="{00000000-0010-0000-1500-000004000000}" name="Column4"/>
    <tableColumn id="5" xr3:uid="{00000000-0010-0000-1500-000005000000}" name="Column5"/>
  </tableColumns>
  <tableStyleInfo name="Acciones nuevos máx 2023-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A925"/>
  <sheetViews>
    <sheetView tabSelected="1" workbookViewId="0">
      <pane xSplit="2" ySplit="2" topLeftCell="C7" activePane="bottomRight" state="frozen"/>
      <selection pane="topRight" activeCell="C1" sqref="C1"/>
      <selection pane="bottomLeft" activeCell="A3" sqref="A3"/>
      <selection pane="bottomRight" activeCell="E47" sqref="E47"/>
    </sheetView>
  </sheetViews>
  <sheetFormatPr baseColWidth="10" defaultColWidth="12.6640625" defaultRowHeight="15" customHeight="1" x14ac:dyDescent="0.25"/>
  <cols>
    <col min="1" max="1" width="4.109375" customWidth="1"/>
    <col min="2" max="2" width="10.109375" customWidth="1"/>
    <col min="3" max="3" width="23.6640625" customWidth="1"/>
    <col min="4" max="4" width="8.77734375" customWidth="1"/>
    <col min="5" max="5" width="13" customWidth="1"/>
    <col min="6" max="6" width="11.109375" customWidth="1"/>
    <col min="7" max="7" width="10.6640625" customWidth="1"/>
    <col min="8" max="8" width="9.44140625" customWidth="1"/>
    <col min="9" max="9" width="7" customWidth="1"/>
    <col min="10" max="12" width="7.88671875" customWidth="1"/>
    <col min="13" max="13" width="8.5546875" customWidth="1"/>
    <col min="14" max="16" width="7.88671875" customWidth="1"/>
    <col min="17" max="17" width="9" customWidth="1"/>
    <col min="18" max="18" width="7.109375" customWidth="1"/>
    <col min="19" max="21" width="7.6640625" customWidth="1"/>
    <col min="22" max="22" width="6.88671875" customWidth="1"/>
    <col min="23" max="23" width="8.109375" customWidth="1"/>
    <col min="24" max="24" width="10.109375" customWidth="1"/>
    <col min="25" max="27" width="9" customWidth="1"/>
    <col min="28" max="28" width="18.77734375" customWidth="1"/>
    <col min="29" max="29" width="8.33203125" customWidth="1"/>
    <col min="30" max="30" width="9.44140625" customWidth="1"/>
    <col min="31" max="31" width="12.44140625" customWidth="1"/>
    <col min="34" max="34" width="69.21875" hidden="1" customWidth="1"/>
    <col min="35" max="35" width="167.33203125" hidden="1" customWidth="1"/>
    <col min="36" max="36" width="6.33203125" customWidth="1"/>
    <col min="37" max="37" width="8" customWidth="1"/>
    <col min="38" max="38" width="14.44140625" customWidth="1"/>
    <col min="39" max="64" width="8" customWidth="1"/>
  </cols>
  <sheetData>
    <row r="1" spans="1:79" ht="15.75" customHeight="1" x14ac:dyDescent="0.25">
      <c r="A1" s="31"/>
      <c r="B1" s="31"/>
      <c r="C1" s="449" t="s">
        <v>34</v>
      </c>
      <c r="D1" s="450"/>
      <c r="E1" s="450"/>
      <c r="F1" s="450"/>
      <c r="G1" s="450"/>
      <c r="H1" s="450"/>
      <c r="I1" s="451"/>
      <c r="J1" s="458" t="s">
        <v>35</v>
      </c>
      <c r="K1" s="450"/>
      <c r="L1" s="450"/>
      <c r="M1" s="450"/>
      <c r="N1" s="450"/>
      <c r="O1" s="450"/>
      <c r="P1" s="450"/>
      <c r="Q1" s="450"/>
      <c r="R1" s="450"/>
      <c r="S1" s="450"/>
      <c r="T1" s="450"/>
      <c r="U1" s="451"/>
      <c r="V1" s="449" t="s">
        <v>36</v>
      </c>
      <c r="W1" s="450"/>
      <c r="X1" s="450"/>
      <c r="Y1" s="450"/>
      <c r="Z1" s="450"/>
      <c r="AA1" s="451"/>
      <c r="AB1" s="459" t="s">
        <v>37</v>
      </c>
      <c r="AC1" s="460"/>
      <c r="AD1" s="461"/>
      <c r="AE1" s="35" t="s">
        <v>38</v>
      </c>
      <c r="AF1" s="34"/>
      <c r="AG1" s="34"/>
      <c r="AH1" s="36"/>
      <c r="AI1" s="36"/>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row>
    <row r="2" spans="1:79" ht="48" x14ac:dyDescent="0.25">
      <c r="A2" s="37"/>
      <c r="B2" s="38" t="s">
        <v>0</v>
      </c>
      <c r="C2" s="39" t="s">
        <v>1</v>
      </c>
      <c r="D2" s="38" t="s">
        <v>39</v>
      </c>
      <c r="E2" s="38" t="s">
        <v>2</v>
      </c>
      <c r="F2" s="38" t="s">
        <v>40</v>
      </c>
      <c r="G2" s="38" t="s">
        <v>41</v>
      </c>
      <c r="H2" s="38" t="s">
        <v>42</v>
      </c>
      <c r="I2" s="38" t="s">
        <v>43</v>
      </c>
      <c r="J2" s="40" t="s">
        <v>3</v>
      </c>
      <c r="K2" s="40" t="s">
        <v>44</v>
      </c>
      <c r="L2" s="40" t="s">
        <v>45</v>
      </c>
      <c r="M2" s="40" t="s">
        <v>46</v>
      </c>
      <c r="N2" s="40" t="s">
        <v>47</v>
      </c>
      <c r="O2" s="40" t="s">
        <v>48</v>
      </c>
      <c r="P2" s="40" t="s">
        <v>49</v>
      </c>
      <c r="Q2" s="40" t="s">
        <v>50</v>
      </c>
      <c r="R2" s="40" t="s">
        <v>51</v>
      </c>
      <c r="S2" s="41" t="s">
        <v>52</v>
      </c>
      <c r="T2" s="41" t="s">
        <v>53</v>
      </c>
      <c r="U2" s="41" t="s">
        <v>54</v>
      </c>
      <c r="V2" s="42" t="s">
        <v>4</v>
      </c>
      <c r="W2" s="38" t="s">
        <v>55</v>
      </c>
      <c r="X2" s="38" t="s">
        <v>56</v>
      </c>
      <c r="Y2" s="38" t="s">
        <v>57</v>
      </c>
      <c r="Z2" s="38" t="s">
        <v>58</v>
      </c>
      <c r="AA2" s="38" t="s">
        <v>59</v>
      </c>
      <c r="AB2" s="43" t="s">
        <v>60</v>
      </c>
      <c r="AC2" s="43" t="s">
        <v>61</v>
      </c>
      <c r="AD2" s="43" t="s">
        <v>62</v>
      </c>
      <c r="AE2" s="43" t="s">
        <v>63</v>
      </c>
      <c r="AF2" s="43" t="s">
        <v>64</v>
      </c>
      <c r="AG2" s="43" t="s">
        <v>65</v>
      </c>
      <c r="AH2" s="44" t="s">
        <v>66</v>
      </c>
      <c r="AI2" s="44" t="s">
        <v>67</v>
      </c>
      <c r="AJ2" s="45"/>
      <c r="AK2" s="45"/>
      <c r="AL2" s="45"/>
      <c r="AM2" s="45"/>
      <c r="AN2" s="45"/>
      <c r="AO2" s="45"/>
      <c r="AP2" s="45"/>
      <c r="AQ2" s="45"/>
      <c r="AR2" s="45"/>
      <c r="AS2" s="45"/>
      <c r="AT2" s="45"/>
      <c r="AU2" s="45"/>
      <c r="AV2" s="45"/>
      <c r="AW2" s="45"/>
      <c r="AX2" s="45"/>
      <c r="AY2" s="45"/>
      <c r="AZ2" s="6" t="s">
        <v>68</v>
      </c>
      <c r="BA2" s="46" t="s">
        <v>69</v>
      </c>
      <c r="BC2" s="6" t="s">
        <v>70</v>
      </c>
      <c r="BD2" s="37"/>
      <c r="BE2" s="37"/>
      <c r="BF2" s="37"/>
      <c r="BG2" s="37"/>
      <c r="BH2" s="37"/>
      <c r="BI2" s="37"/>
      <c r="BJ2" s="37"/>
      <c r="BK2" s="37"/>
      <c r="BL2" s="37"/>
      <c r="BM2" s="37"/>
      <c r="BN2" s="37"/>
      <c r="BO2" s="37"/>
      <c r="BP2" s="37"/>
      <c r="BQ2" s="37"/>
      <c r="BR2" s="37"/>
    </row>
    <row r="3" spans="1:79" ht="13.2" x14ac:dyDescent="0.25">
      <c r="A3" s="47">
        <v>1</v>
      </c>
      <c r="B3" s="1" t="s">
        <v>71</v>
      </c>
      <c r="C3" s="470" t="str">
        <f ca="1">IFERROR(__xludf.DUMMYFUNCTION("GoogleFinance(B3,""name"")"),"Philip Morris International Inc.")</f>
        <v>Philip Morris International Inc.</v>
      </c>
      <c r="D3" s="49">
        <f ca="1">IFERROR(__xludf.DUMMYFUNCTION("GoogleFinance(B3,""marketcap"")/1000000"),149476.575836)</f>
        <v>149476.575836</v>
      </c>
      <c r="E3" s="50" t="s">
        <v>16</v>
      </c>
      <c r="F3" s="50" t="s">
        <v>72</v>
      </c>
      <c r="G3" s="51">
        <v>44558</v>
      </c>
      <c r="H3" s="3">
        <v>0.04</v>
      </c>
      <c r="I3" s="12">
        <f ca="1">N3/$M$44</f>
        <v>4.0691707444177931E-2</v>
      </c>
      <c r="J3" s="52">
        <f ca="1">IFERROR(__xludf.DUMMYFUNCTION("GOOGLEFINANCE(B3)"),96.3)</f>
        <v>96.3</v>
      </c>
      <c r="K3" s="53">
        <v>93.97</v>
      </c>
      <c r="L3" s="54">
        <f>21+2100/96.53</f>
        <v>42.754894851341547</v>
      </c>
      <c r="M3" s="55">
        <f>L3*K3</f>
        <v>4017.6774691805649</v>
      </c>
      <c r="N3" s="56">
        <f ca="1">J3*L3</f>
        <v>4117.2963741841904</v>
      </c>
      <c r="O3" s="56">
        <f ca="1">N3-M3</f>
        <v>99.618905003625514</v>
      </c>
      <c r="P3" s="57">
        <f ca="1">J3/K3-1</f>
        <v>2.4795147387464134E-2</v>
      </c>
      <c r="Q3" s="58">
        <f ca="1">TODAY()-G3</f>
        <v>546</v>
      </c>
      <c r="R3" s="59">
        <v>82</v>
      </c>
      <c r="S3" s="57">
        <f t="shared" ref="S3:S5" ca="1" si="0">R3/J3-1</f>
        <v>-0.14849428868120451</v>
      </c>
      <c r="T3" s="50">
        <v>122</v>
      </c>
      <c r="U3" s="60">
        <f ca="1">T3/J3-1</f>
        <v>0.26687435098650059</v>
      </c>
      <c r="V3" s="10">
        <v>0</v>
      </c>
      <c r="W3" s="57">
        <v>1.4859310780904078E-2</v>
      </c>
      <c r="X3" s="57">
        <v>6.9881124319519872E-2</v>
      </c>
      <c r="Y3" s="57">
        <v>3.9956803455723611E-2</v>
      </c>
      <c r="Z3" s="57">
        <v>-6.2134787689910542E-2</v>
      </c>
      <c r="AA3" s="57">
        <v>-4.8512992787273945E-2</v>
      </c>
      <c r="AB3" s="61" t="s">
        <v>73</v>
      </c>
      <c r="AC3" s="62" t="s">
        <v>74</v>
      </c>
      <c r="AD3" s="62" t="s">
        <v>75</v>
      </c>
      <c r="AE3" s="63" t="s">
        <v>76</v>
      </c>
      <c r="AF3" s="63" t="s">
        <v>77</v>
      </c>
      <c r="AG3" s="63" t="s">
        <v>78</v>
      </c>
      <c r="AH3" s="64"/>
      <c r="AI3" s="65" t="s">
        <v>79</v>
      </c>
      <c r="AJ3" s="3"/>
      <c r="AK3" s="3"/>
      <c r="AL3" s="3"/>
      <c r="AM3" s="3" t="str">
        <f ca="1">IFERROR(__xludf.DUMMYFUNCTION("GoogleFinance(B3,""price"",DATE(2023,6,16))"),"Date")</f>
        <v>Date</v>
      </c>
      <c r="AN3" s="31" t="str">
        <f ca="1">IFERROR(__xludf.DUMMYFUNCTION("""COMPUTED_VALUE"""),"Close")</f>
        <v>Close</v>
      </c>
      <c r="AO3" s="3" t="str">
        <f ca="1">IFERROR(__xludf.DUMMYFUNCTION("GoogleFinance(B3,""price"",DATE(2023,5,31))"),"Date")</f>
        <v>Date</v>
      </c>
      <c r="AP3" s="31" t="str">
        <f ca="1">IFERROR(__xludf.DUMMYFUNCTION("""COMPUTED_VALUE"""),"Close")</f>
        <v>Close</v>
      </c>
      <c r="AQ3" s="3" t="str">
        <f ca="1">IFERROR(__xludf.DUMMYFUNCTION("GoogleFinance(B3,""price"",today()-91)"),"#N/A")</f>
        <v>#N/A</v>
      </c>
      <c r="AR3" s="31"/>
      <c r="AS3" s="3" t="str">
        <f ca="1">IFERROR(__xludf.DUMMYFUNCTION("GoogleFinance(B3,""price"",today()-182)"),"#N/A")</f>
        <v>#N/A</v>
      </c>
      <c r="AT3" s="31"/>
      <c r="AU3" s="3" t="str">
        <f ca="1">IFERROR(__xludf.DUMMYFUNCTION("GoogleFinance(B3,""price"",DATE(2022,12,30))"),"Date")</f>
        <v>Date</v>
      </c>
      <c r="AV3" s="31" t="str">
        <f ca="1">IFERROR(__xludf.DUMMYFUNCTION("""COMPUTED_VALUE"""),"Close")</f>
        <v>Close</v>
      </c>
      <c r="AW3" s="6"/>
      <c r="AX3" s="6"/>
      <c r="AY3" s="6"/>
      <c r="AZ3" s="6"/>
      <c r="BC3" s="6"/>
      <c r="BI3" s="6"/>
      <c r="BJ3" s="6"/>
      <c r="BK3" s="6"/>
      <c r="BL3" s="6"/>
      <c r="BM3" s="6"/>
      <c r="BN3" s="6"/>
      <c r="BO3" s="6"/>
      <c r="BP3" s="6"/>
      <c r="BQ3" s="6"/>
      <c r="BR3" s="6"/>
    </row>
    <row r="4" spans="1:79" ht="13.2" hidden="1" x14ac:dyDescent="0.25">
      <c r="A4" s="47">
        <v>1</v>
      </c>
      <c r="B4" s="1"/>
      <c r="C4" s="48"/>
      <c r="D4" s="49"/>
      <c r="E4" s="50"/>
      <c r="F4" s="50"/>
      <c r="G4" s="66"/>
      <c r="H4" s="3"/>
      <c r="I4" s="67"/>
      <c r="J4" s="52"/>
      <c r="K4" s="53"/>
      <c r="L4" s="50"/>
      <c r="M4" s="50"/>
      <c r="N4" s="68"/>
      <c r="O4" s="69"/>
      <c r="P4" s="69"/>
      <c r="Q4" s="70"/>
      <c r="R4" s="71"/>
      <c r="S4" s="57" t="e">
        <f t="shared" si="0"/>
        <v>#DIV/0!</v>
      </c>
      <c r="T4" s="57"/>
      <c r="U4" s="60"/>
      <c r="V4" s="10" t="e">
        <v>#N/A</v>
      </c>
      <c r="W4" s="57" t="e">
        <v>#VALUE!</v>
      </c>
      <c r="X4" s="57" t="e">
        <v>#VALUE!</v>
      </c>
      <c r="Y4" s="57" t="e">
        <v>#VALUE!</v>
      </c>
      <c r="Z4" s="57" t="e">
        <v>#VALUE!</v>
      </c>
      <c r="AA4" s="57" t="e">
        <v>#VALUE!</v>
      </c>
      <c r="AB4" s="17"/>
      <c r="AC4" s="4"/>
      <c r="AD4" s="4"/>
      <c r="AE4" s="4"/>
      <c r="AF4" s="4"/>
      <c r="AG4" s="4"/>
      <c r="AH4" s="4"/>
      <c r="AI4" s="72"/>
      <c r="AJ4" s="3"/>
      <c r="AK4" s="3"/>
      <c r="AL4" s="3"/>
      <c r="AM4" s="51">
        <f ca="1">IFERROR(__xludf.DUMMYFUNCTION("""COMPUTED_VALUE"""),45093.6666666666)</f>
        <v>45093.666666666599</v>
      </c>
      <c r="AN4" s="31">
        <f ca="1">IFERROR(__xludf.DUMMYFUNCTION("""COMPUTED_VALUE"""),94.89)</f>
        <v>94.89</v>
      </c>
      <c r="AO4" s="51">
        <f ca="1">IFERROR(__xludf.DUMMYFUNCTION("""COMPUTED_VALUE"""),45077.6666666666)</f>
        <v>45077.666666666599</v>
      </c>
      <c r="AP4" s="31">
        <f ca="1">IFERROR(__xludf.DUMMYFUNCTION("""COMPUTED_VALUE"""),90.01)</f>
        <v>90.01</v>
      </c>
      <c r="AQ4" s="51"/>
      <c r="AR4" s="31"/>
      <c r="AS4" s="51"/>
      <c r="AT4" s="31"/>
      <c r="AU4" s="51">
        <f ca="1">IFERROR(__xludf.DUMMYFUNCTION("""COMPUTED_VALUE"""),44925.6666666666)</f>
        <v>44925.666666666599</v>
      </c>
      <c r="AV4" s="31">
        <f ca="1">IFERROR(__xludf.DUMMYFUNCTION("""COMPUTED_VALUE"""),101.21)</f>
        <v>101.21</v>
      </c>
      <c r="AW4" s="6"/>
      <c r="AX4" s="6"/>
      <c r="AY4" s="73" t="s">
        <v>80</v>
      </c>
      <c r="AZ4" s="71">
        <v>4.65E-2</v>
      </c>
      <c r="BA4" s="71">
        <v>-1.0200000000000001E-2</v>
      </c>
      <c r="BI4" s="6"/>
      <c r="BJ4" s="6"/>
      <c r="BK4" s="6"/>
      <c r="BL4" s="6"/>
      <c r="BM4" s="6"/>
      <c r="BN4" s="6"/>
      <c r="BO4" s="6"/>
      <c r="BP4" s="6"/>
      <c r="BQ4" s="6"/>
      <c r="BR4" s="6"/>
    </row>
    <row r="5" spans="1:79" ht="13.2" x14ac:dyDescent="0.25">
      <c r="A5" s="47">
        <f t="shared" ref="A5:A9" si="1">A3+1</f>
        <v>2</v>
      </c>
      <c r="B5" s="1" t="s">
        <v>81</v>
      </c>
      <c r="C5" s="470" t="str">
        <f ca="1">IFERROR(__xludf.DUMMYFUNCTION("GoogleFinance(B5,""name"")"),"Coca-Cola Co")</f>
        <v>Coca-Cola Co</v>
      </c>
      <c r="D5" s="49">
        <f ca="1">IFERROR(__xludf.DUMMYFUNCTION("GoogleFinance(B5,""marketcap"")/1000000"),264664.115699)</f>
        <v>264664.11569900002</v>
      </c>
      <c r="E5" s="50" t="s">
        <v>16</v>
      </c>
      <c r="F5" s="50" t="s">
        <v>82</v>
      </c>
      <c r="G5" s="51">
        <v>44868</v>
      </c>
      <c r="H5" s="3">
        <v>0.02</v>
      </c>
      <c r="I5" s="12">
        <f ca="1">N5/$M$44</f>
        <v>4.1190049861992872E-2</v>
      </c>
      <c r="J5" s="52">
        <f ca="1">IFERROR(__xludf.DUMMYFUNCTION("GOOGLEFINANCE(B5)"),61.2)</f>
        <v>61.2</v>
      </c>
      <c r="K5" s="53">
        <f>(58.6+60.23)/2</f>
        <v>59.414999999999999</v>
      </c>
      <c r="L5" s="54">
        <v>68.099999999999994</v>
      </c>
      <c r="M5" s="55">
        <f>L5*K5</f>
        <v>4046.1614999999997</v>
      </c>
      <c r="N5" s="56">
        <f ca="1">J5*L5</f>
        <v>4167.72</v>
      </c>
      <c r="O5" s="56">
        <f ca="1">N5-M5</f>
        <v>121.55850000000055</v>
      </c>
      <c r="P5" s="57">
        <f ca="1">J5/K5-1</f>
        <v>3.0042918454935785E-2</v>
      </c>
      <c r="Q5" s="58">
        <f ca="1">TODAY()-G5</f>
        <v>236</v>
      </c>
      <c r="R5" s="59">
        <v>53.9</v>
      </c>
      <c r="S5" s="57">
        <f t="shared" ca="1" si="0"/>
        <v>-0.11928104575163401</v>
      </c>
      <c r="T5" s="50">
        <v>72</v>
      </c>
      <c r="U5" s="60">
        <f ca="1">T5/J5-1</f>
        <v>0.17647058823529416</v>
      </c>
      <c r="V5" s="10">
        <v>-2.0000000000000001E-4</v>
      </c>
      <c r="W5" s="57">
        <v>-7.6212096643424321E-3</v>
      </c>
      <c r="X5" s="57">
        <v>2.581293999329537E-2</v>
      </c>
      <c r="Y5" s="57">
        <v>-2.4449877750610804E-3</v>
      </c>
      <c r="Z5" s="57">
        <v>-4.6877433421585235E-2</v>
      </c>
      <c r="AA5" s="57">
        <v>-3.7887124665933025E-2</v>
      </c>
      <c r="AB5" s="61" t="s">
        <v>73</v>
      </c>
      <c r="AC5" s="62" t="s">
        <v>74</v>
      </c>
      <c r="AD5" s="62" t="s">
        <v>74</v>
      </c>
      <c r="AE5" s="63" t="s">
        <v>76</v>
      </c>
      <c r="AF5" s="63" t="s">
        <v>77</v>
      </c>
      <c r="AG5" s="63" t="s">
        <v>78</v>
      </c>
      <c r="AH5" s="74"/>
      <c r="AI5" s="75" t="s">
        <v>83</v>
      </c>
      <c r="AJ5" s="3"/>
      <c r="AK5" s="3"/>
      <c r="AL5" s="3"/>
      <c r="AM5" s="3" t="str">
        <f ca="1">IFERROR(__xludf.DUMMYFUNCTION("GoogleFinance(B5,""price"",DATE(2023,6,16))"),"Date")</f>
        <v>Date</v>
      </c>
      <c r="AN5" s="31" t="str">
        <f ca="1">IFERROR(__xludf.DUMMYFUNCTION("""COMPUTED_VALUE"""),"Close")</f>
        <v>Close</v>
      </c>
      <c r="AO5" s="3" t="str">
        <f ca="1">IFERROR(__xludf.DUMMYFUNCTION("GoogleFinance(B5,""price"",DATE(2023,5,31))"),"Date")</f>
        <v>Date</v>
      </c>
      <c r="AP5" s="31" t="str">
        <f ca="1">IFERROR(__xludf.DUMMYFUNCTION("""COMPUTED_VALUE"""),"Close")</f>
        <v>Close</v>
      </c>
      <c r="AQ5" s="3" t="str">
        <f ca="1">IFERROR(__xludf.DUMMYFUNCTION("GoogleFinance(B5,""price"",today()-91)"),"#N/A")</f>
        <v>#N/A</v>
      </c>
      <c r="AR5" s="31"/>
      <c r="AS5" s="3" t="str">
        <f ca="1">IFERROR(__xludf.DUMMYFUNCTION("GoogleFinance(B5,""price"",today()-182)"),"#N/A")</f>
        <v>#N/A</v>
      </c>
      <c r="AT5" s="31"/>
      <c r="AU5" s="3" t="str">
        <f ca="1">IFERROR(__xludf.DUMMYFUNCTION("GoogleFinance(B5,""price"",DATE(2022,12,30))"),"Date")</f>
        <v>Date</v>
      </c>
      <c r="AV5" s="31" t="str">
        <f ca="1">IFERROR(__xludf.DUMMYFUNCTION("""COMPUTED_VALUE"""),"Close")</f>
        <v>Close</v>
      </c>
      <c r="AW5" s="6"/>
      <c r="AX5" s="6"/>
      <c r="BI5" s="6"/>
      <c r="BJ5" s="6"/>
      <c r="BK5" s="6"/>
      <c r="BL5" s="6"/>
      <c r="BM5" s="6"/>
      <c r="BN5" s="6"/>
      <c r="BO5" s="6"/>
      <c r="BP5" s="6"/>
      <c r="BQ5" s="6"/>
      <c r="BR5" s="6"/>
    </row>
    <row r="6" spans="1:79" ht="13.2" hidden="1" x14ac:dyDescent="0.25">
      <c r="A6" s="47">
        <f t="shared" si="1"/>
        <v>2</v>
      </c>
      <c r="B6" s="1"/>
      <c r="C6" s="48"/>
      <c r="D6" s="49"/>
      <c r="E6" s="50"/>
      <c r="F6" s="50"/>
      <c r="G6" s="66"/>
      <c r="H6" s="3"/>
      <c r="I6" s="67"/>
      <c r="J6" s="52"/>
      <c r="K6" s="53"/>
      <c r="L6" s="50"/>
      <c r="M6" s="50"/>
      <c r="N6" s="68"/>
      <c r="O6" s="76"/>
      <c r="P6" s="77"/>
      <c r="Q6" s="70"/>
      <c r="R6" s="71"/>
      <c r="S6" s="57"/>
      <c r="T6" s="57"/>
      <c r="U6" s="60"/>
      <c r="V6" s="10" t="e">
        <v>#N/A</v>
      </c>
      <c r="W6" s="57" t="e">
        <v>#VALUE!</v>
      </c>
      <c r="X6" s="57" t="e">
        <v>#VALUE!</v>
      </c>
      <c r="Y6" s="57" t="e">
        <v>#VALUE!</v>
      </c>
      <c r="Z6" s="57" t="e">
        <v>#VALUE!</v>
      </c>
      <c r="AA6" s="57" t="e">
        <v>#VALUE!</v>
      </c>
      <c r="AB6" s="17"/>
      <c r="AC6" s="4"/>
      <c r="AD6" s="4"/>
      <c r="AE6" s="4"/>
      <c r="AF6" s="4"/>
      <c r="AG6" s="4"/>
      <c r="AH6" s="4"/>
      <c r="AI6" s="72"/>
      <c r="AJ6" s="3"/>
      <c r="AK6" s="3"/>
      <c r="AL6" s="3"/>
      <c r="AM6" s="51">
        <f ca="1">IFERROR(__xludf.DUMMYFUNCTION("""COMPUTED_VALUE"""),45093.6666666666)</f>
        <v>45093.666666666599</v>
      </c>
      <c r="AN6" s="31">
        <f ca="1">IFERROR(__xludf.DUMMYFUNCTION("""COMPUTED_VALUE"""),61.67)</f>
        <v>61.67</v>
      </c>
      <c r="AO6" s="51">
        <f ca="1">IFERROR(__xludf.DUMMYFUNCTION("""COMPUTED_VALUE"""),45077.6666666666)</f>
        <v>45077.666666666599</v>
      </c>
      <c r="AP6" s="31">
        <f ca="1">IFERROR(__xludf.DUMMYFUNCTION("""COMPUTED_VALUE"""),59.66)</f>
        <v>59.66</v>
      </c>
      <c r="AQ6" s="51"/>
      <c r="AR6" s="31"/>
      <c r="AS6" s="51"/>
      <c r="AT6" s="31"/>
      <c r="AU6" s="51">
        <f ca="1">IFERROR(__xludf.DUMMYFUNCTION("""COMPUTED_VALUE"""),44925.6666666666)</f>
        <v>44925.666666666599</v>
      </c>
      <c r="AV6" s="31">
        <f ca="1">IFERROR(__xludf.DUMMYFUNCTION("""COMPUTED_VALUE"""),63.61)</f>
        <v>63.61</v>
      </c>
      <c r="AW6" s="6"/>
      <c r="AX6" s="6"/>
      <c r="BI6" s="6"/>
      <c r="BJ6" s="6"/>
      <c r="BK6" s="6"/>
      <c r="BL6" s="6"/>
      <c r="BM6" s="6"/>
      <c r="BN6" s="6"/>
      <c r="BO6" s="6"/>
      <c r="BP6" s="6"/>
      <c r="BQ6" s="6"/>
      <c r="BR6" s="6"/>
    </row>
    <row r="7" spans="1:79" ht="13.2" x14ac:dyDescent="0.25">
      <c r="A7" s="47">
        <f t="shared" si="1"/>
        <v>3</v>
      </c>
      <c r="B7" s="1" t="s">
        <v>84</v>
      </c>
      <c r="C7" s="470" t="str">
        <f ca="1">IFERROR(__xludf.DUMMYFUNCTION("GoogleFinance(B7,""name"")"),"PepsiCo, Inc.")</f>
        <v>PepsiCo, Inc.</v>
      </c>
      <c r="D7" s="49">
        <f ca="1">IFERROR(__xludf.DUMMYFUNCTION("GoogleFinance(B7,""marketcap"")/1000000"),256347.16053)</f>
        <v>256347.16052999999</v>
      </c>
      <c r="E7" s="50" t="s">
        <v>16</v>
      </c>
      <c r="F7" s="50" t="s">
        <v>82</v>
      </c>
      <c r="G7" s="51">
        <v>44868</v>
      </c>
      <c r="H7" s="3">
        <v>0.02</v>
      </c>
      <c r="I7" s="12">
        <f ca="1">N7/$M$44</f>
        <v>4.0685850117535984E-2</v>
      </c>
      <c r="J7" s="52">
        <f ca="1">IFERROR(__xludf.DUMMYFUNCTION("GOOGLEFINANCE(B7)"),186.07)</f>
        <v>186.07</v>
      </c>
      <c r="K7" s="53">
        <f>M7/L7</f>
        <v>177.72161680951064</v>
      </c>
      <c r="L7" s="54">
        <f>2000/177.7+2000/184</f>
        <v>22.124489246654107</v>
      </c>
      <c r="M7" s="55">
        <v>3932</v>
      </c>
      <c r="N7" s="56">
        <f ca="1">J7*L7</f>
        <v>4116.7037141249293</v>
      </c>
      <c r="O7" s="56">
        <f ca="1">N7-M7</f>
        <v>184.70371412492932</v>
      </c>
      <c r="P7" s="57">
        <f ca="1">J7/K7-1</f>
        <v>4.6974494945302592E-2</v>
      </c>
      <c r="Q7" s="58">
        <f ca="1">TODAY()-G7</f>
        <v>236</v>
      </c>
      <c r="R7" s="59">
        <v>166</v>
      </c>
      <c r="S7" s="57">
        <f ca="1">R7/J7-1</f>
        <v>-0.10786263234266669</v>
      </c>
      <c r="T7" s="50">
        <v>200</v>
      </c>
      <c r="U7" s="60">
        <f ca="1">T7/J7-1</f>
        <v>7.4864298382329331E-2</v>
      </c>
      <c r="V7" s="10">
        <v>0</v>
      </c>
      <c r="W7" s="57">
        <v>1.6125564394764424E-4</v>
      </c>
      <c r="X7" s="57">
        <v>2.0400329037565168E-2</v>
      </c>
      <c r="Y7" s="57">
        <v>3.6659423923338208E-2</v>
      </c>
      <c r="Z7" s="57">
        <v>1.6387174304910657E-2</v>
      </c>
      <c r="AA7" s="57">
        <v>2.9945754455883877E-2</v>
      </c>
      <c r="AB7" s="61" t="s">
        <v>73</v>
      </c>
      <c r="AC7" s="62" t="s">
        <v>74</v>
      </c>
      <c r="AD7" s="62" t="s">
        <v>74</v>
      </c>
      <c r="AE7" s="63" t="s">
        <v>76</v>
      </c>
      <c r="AF7" s="63" t="s">
        <v>85</v>
      </c>
      <c r="AG7" s="63" t="s">
        <v>78</v>
      </c>
      <c r="AH7" s="74"/>
      <c r="AI7" s="75" t="s">
        <v>86</v>
      </c>
      <c r="AJ7" s="3"/>
      <c r="AK7" s="3"/>
      <c r="AL7" s="3"/>
      <c r="AM7" s="3" t="str">
        <f ca="1">IFERROR(__xludf.DUMMYFUNCTION("GoogleFinance(B7,""price"",DATE(2023,6,16))"),"Date")</f>
        <v>Date</v>
      </c>
      <c r="AN7" s="31" t="str">
        <f ca="1">IFERROR(__xludf.DUMMYFUNCTION("""COMPUTED_VALUE"""),"Close")</f>
        <v>Close</v>
      </c>
      <c r="AO7" s="3" t="str">
        <f ca="1">IFERROR(__xludf.DUMMYFUNCTION("GoogleFinance(B7,""price"",DATE(2023,5,31))"),"Date")</f>
        <v>Date</v>
      </c>
      <c r="AP7" s="31" t="str">
        <f ca="1">IFERROR(__xludf.DUMMYFUNCTION("""COMPUTED_VALUE"""),"Close")</f>
        <v>Close</v>
      </c>
      <c r="AQ7" s="3" t="str">
        <f ca="1">IFERROR(__xludf.DUMMYFUNCTION("GoogleFinance(B7,""price"",today()-91)"),"#N/A")</f>
        <v>#N/A</v>
      </c>
      <c r="AR7" s="31"/>
      <c r="AS7" s="3" t="str">
        <f ca="1">IFERROR(__xludf.DUMMYFUNCTION("GoogleFinance(B7,""price"",today()-182)"),"#N/A")</f>
        <v>#N/A</v>
      </c>
      <c r="AT7" s="31"/>
      <c r="AU7" s="3" t="str">
        <f ca="1">IFERROR(__xludf.DUMMYFUNCTION("GoogleFinance(B7,""price"",DATE(2022,12,30))"),"Date")</f>
        <v>Date</v>
      </c>
      <c r="AV7" s="31" t="str">
        <f ca="1">IFERROR(__xludf.DUMMYFUNCTION("""COMPUTED_VALUE"""),"Close")</f>
        <v>Close</v>
      </c>
      <c r="AW7" s="6"/>
      <c r="AX7" s="6"/>
      <c r="BI7" s="6"/>
      <c r="BJ7" s="6"/>
      <c r="BK7" s="6"/>
      <c r="BL7" s="6"/>
      <c r="BM7" s="6"/>
      <c r="BN7" s="6"/>
      <c r="BO7" s="6"/>
      <c r="BP7" s="6"/>
      <c r="BQ7" s="6"/>
      <c r="BR7" s="6"/>
    </row>
    <row r="8" spans="1:79" ht="13.2" hidden="1" x14ac:dyDescent="0.25">
      <c r="A8" s="47">
        <f t="shared" si="1"/>
        <v>3</v>
      </c>
      <c r="B8" s="1"/>
      <c r="C8" s="48"/>
      <c r="D8" s="49"/>
      <c r="E8" s="50"/>
      <c r="F8" s="50"/>
      <c r="G8" s="51"/>
      <c r="H8" s="3"/>
      <c r="I8" s="67"/>
      <c r="J8" s="52"/>
      <c r="K8" s="53"/>
      <c r="L8" s="50"/>
      <c r="M8" s="50"/>
      <c r="N8" s="68"/>
      <c r="O8" s="76"/>
      <c r="P8" s="77"/>
      <c r="Q8" s="70"/>
      <c r="R8" s="71"/>
      <c r="S8" s="57"/>
      <c r="T8" s="57"/>
      <c r="U8" s="60"/>
      <c r="V8" s="10" t="e">
        <v>#N/A</v>
      </c>
      <c r="W8" s="57" t="e">
        <v>#REF!</v>
      </c>
      <c r="X8" s="57" t="e">
        <v>#REF!</v>
      </c>
      <c r="Y8" s="57" t="e">
        <v>#REF!</v>
      </c>
      <c r="Z8" s="57" t="e">
        <v>#REF!</v>
      </c>
      <c r="AA8" s="57" t="e">
        <v>#REF!</v>
      </c>
      <c r="AB8" s="17"/>
      <c r="AC8" s="4"/>
      <c r="AD8" s="4"/>
      <c r="AE8" s="4"/>
      <c r="AF8" s="4"/>
      <c r="AG8" s="4"/>
      <c r="AH8" s="4"/>
      <c r="AI8" s="72"/>
      <c r="AJ8" s="3"/>
      <c r="AK8" s="3"/>
      <c r="AL8" s="3"/>
      <c r="AM8" s="51">
        <f ca="1">IFERROR(__xludf.DUMMYFUNCTION("""COMPUTED_VALUE"""),45093.6666666666)</f>
        <v>45093.666666666599</v>
      </c>
      <c r="AN8" s="31">
        <f ca="1">IFERROR(__xludf.DUMMYFUNCTION("""COMPUTED_VALUE"""),186.04)</f>
        <v>186.04</v>
      </c>
      <c r="AO8" s="51">
        <f ca="1">IFERROR(__xludf.DUMMYFUNCTION("""COMPUTED_VALUE"""),45077.6666666666)</f>
        <v>45077.666666666599</v>
      </c>
      <c r="AP8" s="31">
        <f ca="1">IFERROR(__xludf.DUMMYFUNCTION("""COMPUTED_VALUE"""),182.35)</f>
        <v>182.35</v>
      </c>
      <c r="AQ8" s="51"/>
      <c r="AR8" s="31"/>
      <c r="AS8" s="51"/>
      <c r="AT8" s="31"/>
      <c r="AU8" s="51">
        <f ca="1">IFERROR(__xludf.DUMMYFUNCTION("""COMPUTED_VALUE"""),44925.6666666666)</f>
        <v>44925.666666666599</v>
      </c>
      <c r="AV8" s="31">
        <f ca="1">IFERROR(__xludf.DUMMYFUNCTION("""COMPUTED_VALUE"""),180.66)</f>
        <v>180.66</v>
      </c>
      <c r="AW8" s="6"/>
      <c r="AX8" s="6"/>
      <c r="BI8" s="6"/>
      <c r="BJ8" s="6"/>
      <c r="BK8" s="6"/>
      <c r="BL8" s="6"/>
      <c r="BM8" s="6"/>
      <c r="BN8" s="6"/>
      <c r="BO8" s="6"/>
      <c r="BP8" s="6"/>
      <c r="BQ8" s="6"/>
      <c r="BR8" s="6"/>
    </row>
    <row r="9" spans="1:79" ht="13.2" x14ac:dyDescent="0.25">
      <c r="A9" s="47">
        <f t="shared" si="1"/>
        <v>4</v>
      </c>
      <c r="B9" s="31" t="s">
        <v>87</v>
      </c>
      <c r="C9" s="470" t="str">
        <f ca="1">IFERROR(__xludf.DUMMYFUNCTION("GoogleFinance(B9,""name"")"),"Kroger Co")</f>
        <v>Kroger Co</v>
      </c>
      <c r="D9" s="49">
        <f ca="1">IFERROR(__xludf.DUMMYFUNCTION("GoogleFinance(B9,""marketcap"")/1000000"),33112.296737)</f>
        <v>33112.296736999997</v>
      </c>
      <c r="E9" s="50" t="s">
        <v>16</v>
      </c>
      <c r="F9" s="50" t="s">
        <v>82</v>
      </c>
      <c r="G9" s="51">
        <v>44916</v>
      </c>
      <c r="H9" s="3">
        <v>0.04</v>
      </c>
      <c r="I9" s="12">
        <f ca="1">N9/$M$44</f>
        <v>4.1090953603798906E-2</v>
      </c>
      <c r="J9" s="52">
        <f ca="1">IFERROR(__xludf.DUMMYFUNCTION("GOOGLEFINANCE(B9)"),46.14)</f>
        <v>46.14</v>
      </c>
      <c r="K9" s="53">
        <v>44.39</v>
      </c>
      <c r="L9" s="54">
        <f>4000/K9</f>
        <v>90.11038522189682</v>
      </c>
      <c r="M9" s="55">
        <f>L9*K9</f>
        <v>4000</v>
      </c>
      <c r="N9" s="56">
        <f ca="1">J9*L9</f>
        <v>4157.6931741383196</v>
      </c>
      <c r="O9" s="56">
        <f ca="1">N9-M9</f>
        <v>157.69317413831959</v>
      </c>
      <c r="P9" s="57">
        <f ca="1">J9/K9-1</f>
        <v>3.9423293534579962E-2</v>
      </c>
      <c r="Q9" s="58">
        <f ca="1">TODAY()-G9</f>
        <v>188</v>
      </c>
      <c r="R9" s="59">
        <v>41</v>
      </c>
      <c r="S9" s="57">
        <f ca="1">R9/J9-1</f>
        <v>-0.11140008669267443</v>
      </c>
      <c r="T9" s="50">
        <v>56</v>
      </c>
      <c r="U9" s="60">
        <f ca="1">T9/J9-1</f>
        <v>0.21369744256610312</v>
      </c>
      <c r="V9" s="10">
        <v>2.0000000000000001E-4</v>
      </c>
      <c r="W9" s="57">
        <v>-6.4977257959719648E-4</v>
      </c>
      <c r="X9" s="57">
        <v>1.7868960953011381E-2</v>
      </c>
      <c r="Y9" s="57">
        <v>-5.120296113510181E-2</v>
      </c>
      <c r="Z9" s="57">
        <v>4.1349292709467189E-3</v>
      </c>
      <c r="AA9" s="57">
        <v>3.49932705248992E-2</v>
      </c>
      <c r="AB9" s="61" t="s">
        <v>73</v>
      </c>
      <c r="AC9" s="62" t="s">
        <v>74</v>
      </c>
      <c r="AD9" s="62" t="s">
        <v>75</v>
      </c>
      <c r="AE9" s="63" t="s">
        <v>76</v>
      </c>
      <c r="AF9" s="63" t="s">
        <v>85</v>
      </c>
      <c r="AG9" s="63" t="s">
        <v>78</v>
      </c>
      <c r="AH9" s="74"/>
      <c r="AI9" s="65" t="s">
        <v>88</v>
      </c>
      <c r="AJ9" s="3"/>
      <c r="AK9" s="3"/>
      <c r="AL9" s="3"/>
      <c r="AM9" s="3" t="str">
        <f ca="1">IFERROR(__xludf.DUMMYFUNCTION("GoogleFinance(B9,""price"",DATE(2023,6,16))"),"Date")</f>
        <v>Date</v>
      </c>
      <c r="AN9" s="31" t="str">
        <f ca="1">IFERROR(__xludf.DUMMYFUNCTION("""COMPUTED_VALUE"""),"Close")</f>
        <v>Close</v>
      </c>
      <c r="AO9" s="3" t="str">
        <f ca="1">IFERROR(__xludf.DUMMYFUNCTION("GoogleFinance(B9,""price"",DATE(2023,5,31))"),"Date")</f>
        <v>Date</v>
      </c>
      <c r="AP9" s="31" t="str">
        <f ca="1">IFERROR(__xludf.DUMMYFUNCTION("""COMPUTED_VALUE"""),"Close")</f>
        <v>Close</v>
      </c>
      <c r="AQ9" s="3" t="str">
        <f ca="1">IFERROR(__xludf.DUMMYFUNCTION("GoogleFinance(B9,""price"",today()-91)"),"#N/A")</f>
        <v>#N/A</v>
      </c>
      <c r="AR9" s="31"/>
      <c r="AS9" s="3" t="str">
        <f ca="1">IFERROR(__xludf.DUMMYFUNCTION("GoogleFinance(B9,""price"",today()-182)"),"#N/A")</f>
        <v>#N/A</v>
      </c>
      <c r="AT9" s="31"/>
      <c r="AU9" s="3" t="str">
        <f ca="1">IFERROR(__xludf.DUMMYFUNCTION("GoogleFinance(B9,""price"",DATE(2022,12,30))"),"Date")</f>
        <v>Date</v>
      </c>
      <c r="AV9" s="31" t="str">
        <f ca="1">IFERROR(__xludf.DUMMYFUNCTION("""COMPUTED_VALUE"""),"Close")</f>
        <v>Close</v>
      </c>
      <c r="AW9" s="6"/>
      <c r="AX9" s="6"/>
      <c r="BI9" s="6"/>
      <c r="BJ9" s="6"/>
      <c r="BK9" s="6"/>
      <c r="BL9" s="6"/>
      <c r="BM9" s="6"/>
      <c r="BN9" s="6"/>
      <c r="BO9" s="6"/>
      <c r="BP9" s="6"/>
      <c r="BQ9" s="6"/>
      <c r="BR9" s="6"/>
    </row>
    <row r="10" spans="1:79" ht="13.2" hidden="1" x14ac:dyDescent="0.25">
      <c r="A10" s="47" t="e">
        <f>#REF!+1</f>
        <v>#REF!</v>
      </c>
      <c r="B10" s="1"/>
      <c r="C10" s="48"/>
      <c r="D10" s="49"/>
      <c r="E10" s="50"/>
      <c r="F10" s="50"/>
      <c r="G10" s="51"/>
      <c r="H10" s="3"/>
      <c r="I10" s="67"/>
      <c r="J10" s="52"/>
      <c r="K10" s="53"/>
      <c r="L10" s="50"/>
      <c r="M10" s="50"/>
      <c r="N10" s="68"/>
      <c r="O10" s="76"/>
      <c r="P10" s="77"/>
      <c r="Q10" s="70"/>
      <c r="R10" s="71"/>
      <c r="S10" s="57"/>
      <c r="T10" s="57"/>
      <c r="U10" s="60"/>
      <c r="V10" s="10" t="e">
        <v>#N/A</v>
      </c>
      <c r="W10" s="57" t="e">
        <v>#REF!</v>
      </c>
      <c r="X10" s="57" t="e">
        <v>#REF!</v>
      </c>
      <c r="Y10" s="57" t="e">
        <v>#REF!</v>
      </c>
      <c r="Z10" s="57" t="e">
        <v>#REF!</v>
      </c>
      <c r="AA10" s="57" t="e">
        <v>#REF!</v>
      </c>
      <c r="AB10" s="17"/>
      <c r="AC10" s="4"/>
      <c r="AD10" s="4"/>
      <c r="AE10" s="4"/>
      <c r="AF10" s="4"/>
      <c r="AG10" s="4"/>
      <c r="AH10" s="4"/>
      <c r="AI10" s="72"/>
      <c r="AJ10" s="3"/>
      <c r="AK10" s="3"/>
      <c r="AL10" s="3"/>
      <c r="AM10" s="51">
        <f ca="1">IFERROR(__xludf.DUMMYFUNCTION("""COMPUTED_VALUE"""),45093.6666666666)</f>
        <v>45093.666666666599</v>
      </c>
      <c r="AN10" s="31">
        <f ca="1">IFERROR(__xludf.DUMMYFUNCTION("""COMPUTED_VALUE"""),46.17)</f>
        <v>46.17</v>
      </c>
      <c r="AO10" s="51">
        <f ca="1">IFERROR(__xludf.DUMMYFUNCTION("""COMPUTED_VALUE"""),45077.6666666666)</f>
        <v>45077.666666666599</v>
      </c>
      <c r="AP10" s="31">
        <f ca="1">IFERROR(__xludf.DUMMYFUNCTION("""COMPUTED_VALUE"""),45.33)</f>
        <v>45.33</v>
      </c>
      <c r="AQ10" s="51"/>
      <c r="AR10" s="31"/>
      <c r="AS10" s="51"/>
      <c r="AT10" s="31"/>
      <c r="AU10" s="51">
        <f ca="1">IFERROR(__xludf.DUMMYFUNCTION("""COMPUTED_VALUE"""),44925.6666666666)</f>
        <v>44925.666666666599</v>
      </c>
      <c r="AV10" s="31">
        <f ca="1">IFERROR(__xludf.DUMMYFUNCTION("""COMPUTED_VALUE"""),44.58)</f>
        <v>44.58</v>
      </c>
      <c r="AW10" s="6"/>
      <c r="AX10" s="6"/>
      <c r="BI10" s="6"/>
      <c r="BJ10" s="6"/>
      <c r="BK10" s="6"/>
      <c r="BL10" s="6"/>
      <c r="BM10" s="6"/>
      <c r="BN10" s="6"/>
      <c r="BO10" s="6"/>
      <c r="BP10" s="6"/>
      <c r="BQ10" s="6"/>
      <c r="BR10" s="6"/>
    </row>
    <row r="11" spans="1:79" ht="13.2" x14ac:dyDescent="0.25">
      <c r="A11" s="47">
        <f>A9+1</f>
        <v>5</v>
      </c>
      <c r="B11" s="1" t="s">
        <v>89</v>
      </c>
      <c r="C11" s="470" t="str">
        <f ca="1">IFERROR(__xludf.DUMMYFUNCTION("GoogleFinance(B11,""name"")"),"Regeneron Pharmaceuticals Inc")</f>
        <v>Regeneron Pharmaceuticals Inc</v>
      </c>
      <c r="D11" s="49">
        <f ca="1">IFERROR(__xludf.DUMMYFUNCTION("GoogleFinance(B11,""marketcap"")/1000000"),85544.332103)</f>
        <v>85544.332102999993</v>
      </c>
      <c r="E11" s="50" t="s">
        <v>15</v>
      </c>
      <c r="F11" s="50" t="s">
        <v>90</v>
      </c>
      <c r="G11" s="51">
        <v>45044</v>
      </c>
      <c r="H11" s="3">
        <v>0.04</v>
      </c>
      <c r="I11" s="12">
        <f ca="1">N11/$M$44</f>
        <v>4.1613264548965669E-2</v>
      </c>
      <c r="J11" s="52">
        <f ca="1">IFERROR(__xludf.DUMMYFUNCTION("GOOGLEFINANCE(B11)"),779.73)</f>
        <v>779.73</v>
      </c>
      <c r="K11" s="53">
        <v>803</v>
      </c>
      <c r="L11" s="54">
        <v>5.4</v>
      </c>
      <c r="M11" s="55">
        <f>L11*K11</f>
        <v>4336.2000000000007</v>
      </c>
      <c r="N11" s="56">
        <f ca="1">J11*L11</f>
        <v>4210.5420000000004</v>
      </c>
      <c r="O11" s="56">
        <f ca="1">N11-M11</f>
        <v>-125.65800000000036</v>
      </c>
      <c r="P11" s="57">
        <f ca="1">J11/K11-1</f>
        <v>-2.8978829389788241E-2</v>
      </c>
      <c r="Q11" s="58">
        <f ca="1">TODAY()-G11</f>
        <v>60</v>
      </c>
      <c r="R11" s="59">
        <v>720</v>
      </c>
      <c r="S11" s="57">
        <f ca="1">R11/J11-1</f>
        <v>-7.66034396521873E-2</v>
      </c>
      <c r="T11" s="50">
        <v>1100</v>
      </c>
      <c r="U11" s="60">
        <f ca="1">T11/J11-1</f>
        <v>0.41074474497582503</v>
      </c>
      <c r="V11" s="10">
        <v>0</v>
      </c>
      <c r="W11" s="57">
        <v>-4.2398314283889071E-3</v>
      </c>
      <c r="X11" s="57">
        <v>6.0049486105824279E-2</v>
      </c>
      <c r="Y11" s="57">
        <v>-4.9584963615753042E-2</v>
      </c>
      <c r="Z11" s="57">
        <v>9.6127082308287148E-2</v>
      </c>
      <c r="AA11" s="57">
        <v>8.0721839526535444E-2</v>
      </c>
      <c r="AB11" s="61" t="s">
        <v>73</v>
      </c>
      <c r="AC11" s="62" t="s">
        <v>74</v>
      </c>
      <c r="AD11" s="62" t="s">
        <v>74</v>
      </c>
      <c r="AE11" s="63" t="s">
        <v>76</v>
      </c>
      <c r="AF11" s="63" t="s">
        <v>85</v>
      </c>
      <c r="AG11" s="63" t="s">
        <v>78</v>
      </c>
      <c r="AH11" s="74"/>
      <c r="AI11" s="65" t="s">
        <v>91</v>
      </c>
      <c r="AJ11" s="3"/>
      <c r="AK11" s="3"/>
      <c r="AL11" s="3"/>
      <c r="AM11" s="3" t="str">
        <f ca="1">IFERROR(__xludf.DUMMYFUNCTION("GoogleFinance(B11,""price"",DATE(2023,6,16))"),"Date")</f>
        <v>Date</v>
      </c>
      <c r="AN11" s="31" t="str">
        <f ca="1">IFERROR(__xludf.DUMMYFUNCTION("""COMPUTED_VALUE"""),"Close")</f>
        <v>Close</v>
      </c>
      <c r="AO11" s="3" t="str">
        <f ca="1">IFERROR(__xludf.DUMMYFUNCTION("GoogleFinance(B11,""price"",DATE(2023,5,31))"),"Date")</f>
        <v>Date</v>
      </c>
      <c r="AP11" s="31" t="str">
        <f ca="1">IFERROR(__xludf.DUMMYFUNCTION("""COMPUTED_VALUE"""),"Close")</f>
        <v>Close</v>
      </c>
      <c r="AQ11" s="3" t="str">
        <f ca="1">IFERROR(__xludf.DUMMYFUNCTION("GoogleFinance(B11,""price"",today()-91)"),"#N/A")</f>
        <v>#N/A</v>
      </c>
      <c r="AR11" s="31"/>
      <c r="AS11" s="3" t="str">
        <f ca="1">IFERROR(__xludf.DUMMYFUNCTION("GoogleFinance(B11,""price"",today()-182)"),"#N/A")</f>
        <v>#N/A</v>
      </c>
      <c r="AT11" s="31"/>
      <c r="AU11" s="3" t="str">
        <f ca="1">IFERROR(__xludf.DUMMYFUNCTION("GoogleFinance(B11,""price"",DATE(2022,12,30))"),"Date")</f>
        <v>Date</v>
      </c>
      <c r="AV11" s="31" t="str">
        <f ca="1">IFERROR(__xludf.DUMMYFUNCTION("""COMPUTED_VALUE"""),"Close")</f>
        <v>Close</v>
      </c>
      <c r="AW11" s="6"/>
      <c r="AX11" s="6"/>
      <c r="BI11" s="6"/>
      <c r="BJ11" s="6"/>
      <c r="BK11" s="6"/>
      <c r="BL11" s="6"/>
      <c r="BM11" s="6"/>
      <c r="BN11" s="6"/>
      <c r="BO11" s="6"/>
      <c r="BP11" s="6"/>
      <c r="BQ11" s="6"/>
      <c r="BR11" s="6"/>
    </row>
    <row r="12" spans="1:79" ht="15.75" hidden="1" customHeight="1" x14ac:dyDescent="0.25">
      <c r="A12" s="47"/>
      <c r="B12" s="6"/>
      <c r="C12" s="78"/>
      <c r="D12" s="79"/>
      <c r="E12" s="80"/>
      <c r="F12" s="80"/>
      <c r="G12" s="51"/>
      <c r="H12" s="3"/>
      <c r="I12" s="81"/>
      <c r="J12" s="52"/>
      <c r="K12" s="53"/>
      <c r="L12" s="50"/>
      <c r="M12" s="50"/>
      <c r="N12" s="68"/>
      <c r="O12" s="76"/>
      <c r="P12" s="77"/>
      <c r="Q12" s="70"/>
      <c r="R12" s="71"/>
      <c r="S12" s="57"/>
      <c r="T12" s="57"/>
      <c r="U12" s="60"/>
      <c r="V12" s="10" t="e">
        <v>#N/A</v>
      </c>
      <c r="W12" s="57" t="e">
        <v>#VALUE!</v>
      </c>
      <c r="X12" s="57" t="e">
        <v>#VALUE!</v>
      </c>
      <c r="Y12" s="57" t="e">
        <v>#VALUE!</v>
      </c>
      <c r="Z12" s="57" t="e">
        <v>#VALUE!</v>
      </c>
      <c r="AA12" s="57" t="e">
        <v>#VALUE!</v>
      </c>
      <c r="AB12" s="17"/>
      <c r="AC12" s="4"/>
      <c r="AD12" s="4"/>
      <c r="AE12" s="4"/>
      <c r="AF12" s="4"/>
      <c r="AG12" s="4"/>
      <c r="AH12" s="4"/>
      <c r="AI12" s="72"/>
      <c r="AJ12" s="8"/>
      <c r="AK12" s="8"/>
      <c r="AL12" s="8"/>
      <c r="AM12" s="51">
        <f ca="1">IFERROR(__xludf.DUMMYFUNCTION("""COMPUTED_VALUE"""),45093.6666666666)</f>
        <v>45093.666666666599</v>
      </c>
      <c r="AN12" s="5">
        <f ca="1">IFERROR(__xludf.DUMMYFUNCTION("""COMPUTED_VALUE"""),783.05)</f>
        <v>783.05</v>
      </c>
      <c r="AO12" s="51">
        <f ca="1">IFERROR(__xludf.DUMMYFUNCTION("""COMPUTED_VALUE"""),45077.6666666666)</f>
        <v>45077.666666666599</v>
      </c>
      <c r="AP12" s="5">
        <f ca="1">IFERROR(__xludf.DUMMYFUNCTION("""COMPUTED_VALUE"""),735.56)</f>
        <v>735.56</v>
      </c>
      <c r="AQ12" s="51"/>
      <c r="AR12" s="31"/>
      <c r="AS12" s="51"/>
      <c r="AT12" s="31"/>
      <c r="AU12" s="51">
        <f ca="1">IFERROR(__xludf.DUMMYFUNCTION("""COMPUTED_VALUE"""),44925.6666666666)</f>
        <v>44925.666666666599</v>
      </c>
      <c r="AV12" s="5">
        <f ca="1">IFERROR(__xludf.DUMMYFUNCTION("""COMPUTED_VALUE"""),721.49)</f>
        <v>721.49</v>
      </c>
      <c r="AW12" s="6"/>
      <c r="AX12" s="6"/>
      <c r="BI12" s="6"/>
      <c r="BJ12" s="6"/>
      <c r="BK12" s="6"/>
      <c r="BL12" s="6"/>
      <c r="BM12" s="6"/>
      <c r="BN12" s="6"/>
      <c r="BO12" s="6"/>
      <c r="BP12" s="6"/>
      <c r="BQ12" s="6"/>
      <c r="BR12" s="6"/>
      <c r="BS12" s="33"/>
      <c r="BT12" s="33"/>
      <c r="BU12" s="33"/>
      <c r="BV12" s="33"/>
      <c r="BW12" s="33"/>
      <c r="BX12" s="33"/>
      <c r="BY12" s="33"/>
      <c r="BZ12" s="33"/>
      <c r="CA12" s="33"/>
    </row>
    <row r="13" spans="1:79" ht="13.2" x14ac:dyDescent="0.25">
      <c r="A13" s="47">
        <f t="shared" ref="A13:A15" si="2">A11+1</f>
        <v>6</v>
      </c>
      <c r="B13" s="1" t="s">
        <v>92</v>
      </c>
      <c r="C13" s="470" t="str">
        <f ca="1">IFERROR(__xludf.DUMMYFUNCTION("GoogleFinance(B13,""name"")"),"Johnson &amp; Johnson")</f>
        <v>Johnson &amp; Johnson</v>
      </c>
      <c r="D13" s="49">
        <f ca="1">IFERROR(__xludf.DUMMYFUNCTION("GoogleFinance(B13,""marketcap"")/1000000"),430038.325737)</f>
        <v>430038.32573699998</v>
      </c>
      <c r="E13" s="50" t="s">
        <v>15</v>
      </c>
      <c r="F13" s="50" t="s">
        <v>93</v>
      </c>
      <c r="G13" s="51">
        <v>45033</v>
      </c>
      <c r="H13" s="3">
        <v>0.04</v>
      </c>
      <c r="I13" s="12">
        <f ca="1">N13/$M$44</f>
        <v>4.4975084676266867E-2</v>
      </c>
      <c r="J13" s="52">
        <f ca="1">IFERROR(__xludf.DUMMYFUNCTION("GOOGLEFINANCE(B13)"),165.48)</f>
        <v>165.48</v>
      </c>
      <c r="K13" s="53">
        <v>161.65</v>
      </c>
      <c r="L13" s="54">
        <v>27.5</v>
      </c>
      <c r="M13" s="55">
        <f>L13*K13</f>
        <v>4445.375</v>
      </c>
      <c r="N13" s="56">
        <f ca="1">J13*L13</f>
        <v>4550.7</v>
      </c>
      <c r="O13" s="56">
        <f ca="1">N13-M13</f>
        <v>105.32499999999982</v>
      </c>
      <c r="P13" s="57">
        <f ca="1">J13/K13-1</f>
        <v>2.3693164243736353E-2</v>
      </c>
      <c r="Q13" s="58">
        <f ca="1">TODAY()-G13</f>
        <v>71</v>
      </c>
      <c r="R13" s="59">
        <v>149.80000000000001</v>
      </c>
      <c r="S13" s="57">
        <f ca="1">R13/J13-1</f>
        <v>-9.4754653130287525E-2</v>
      </c>
      <c r="T13" s="50">
        <v>195</v>
      </c>
      <c r="U13" s="60">
        <f ca="1">T13/J13-1</f>
        <v>0.17839013778100088</v>
      </c>
      <c r="V13" s="10">
        <v>1E-4</v>
      </c>
      <c r="W13" s="57">
        <v>7.6112768678073817E-3</v>
      </c>
      <c r="X13" s="57">
        <v>6.7199793628272886E-2</v>
      </c>
      <c r="Y13" s="57">
        <v>7.9452054794520333E-2</v>
      </c>
      <c r="Z13" s="57">
        <v>-6.7350504424280144E-2</v>
      </c>
      <c r="AA13" s="57">
        <v>-6.3232380413246636E-2</v>
      </c>
      <c r="AB13" s="61" t="s">
        <v>73</v>
      </c>
      <c r="AC13" s="62" t="s">
        <v>74</v>
      </c>
      <c r="AD13" s="62" t="s">
        <v>75</v>
      </c>
      <c r="AE13" s="63" t="s">
        <v>76</v>
      </c>
      <c r="AF13" s="63" t="s">
        <v>85</v>
      </c>
      <c r="AG13" s="63" t="s">
        <v>78</v>
      </c>
      <c r="AH13" s="74"/>
      <c r="AI13" s="65" t="s">
        <v>94</v>
      </c>
      <c r="AJ13" s="3"/>
      <c r="AK13" s="3"/>
      <c r="AL13" s="3"/>
      <c r="AM13" s="3" t="str">
        <f ca="1">IFERROR(__xludf.DUMMYFUNCTION("GoogleFinance(B13,""price"",DATE(2023,6,16))"),"Date")</f>
        <v>Date</v>
      </c>
      <c r="AN13" s="31" t="str">
        <f ca="1">IFERROR(__xludf.DUMMYFUNCTION("""COMPUTED_VALUE"""),"Close")</f>
        <v>Close</v>
      </c>
      <c r="AO13" s="3" t="str">
        <f ca="1">IFERROR(__xludf.DUMMYFUNCTION("GoogleFinance(B13,""price"",DATE(2023,5,31))"),"Date")</f>
        <v>Date</v>
      </c>
      <c r="AP13" s="31" t="str">
        <f ca="1">IFERROR(__xludf.DUMMYFUNCTION("""COMPUTED_VALUE"""),"Close")</f>
        <v>Close</v>
      </c>
      <c r="AQ13" s="3" t="str">
        <f ca="1">IFERROR(__xludf.DUMMYFUNCTION("GoogleFinance(B13,""price"",today()-91)"),"#N/A")</f>
        <v>#N/A</v>
      </c>
      <c r="AR13" s="31"/>
      <c r="AS13" s="3" t="str">
        <f ca="1">IFERROR(__xludf.DUMMYFUNCTION("GoogleFinance(B13,""price"",today()-182)"),"#N/A")</f>
        <v>#N/A</v>
      </c>
      <c r="AT13" s="31"/>
      <c r="AU13" s="3" t="str">
        <f ca="1">IFERROR(__xludf.DUMMYFUNCTION("GoogleFinance(B13,""price"",DATE(2022,12,30))"),"Date")</f>
        <v>Date</v>
      </c>
      <c r="AV13" s="31" t="str">
        <f ca="1">IFERROR(__xludf.DUMMYFUNCTION("""COMPUTED_VALUE"""),"Close")</f>
        <v>Close</v>
      </c>
      <c r="AW13" s="6"/>
      <c r="AX13" s="6"/>
      <c r="BI13" s="6"/>
      <c r="BJ13" s="6"/>
      <c r="BK13" s="6"/>
      <c r="BL13" s="6"/>
      <c r="BM13" s="6"/>
      <c r="BN13" s="6"/>
      <c r="BO13" s="6"/>
      <c r="BP13" s="6"/>
      <c r="BQ13" s="6"/>
      <c r="BR13" s="6"/>
    </row>
    <row r="14" spans="1:79" ht="15.75" hidden="1" customHeight="1" x14ac:dyDescent="0.25">
      <c r="A14" s="47">
        <f t="shared" si="2"/>
        <v>1</v>
      </c>
      <c r="B14" s="82"/>
      <c r="C14" s="83"/>
      <c r="D14" s="84"/>
      <c r="E14" s="85"/>
      <c r="F14" s="85"/>
      <c r="G14" s="51"/>
      <c r="H14" s="3"/>
      <c r="I14" s="86"/>
      <c r="J14" s="52"/>
      <c r="K14" s="53"/>
      <c r="L14" s="50"/>
      <c r="M14" s="50"/>
      <c r="N14" s="68"/>
      <c r="O14" s="76"/>
      <c r="P14" s="77"/>
      <c r="Q14" s="70"/>
      <c r="R14" s="71"/>
      <c r="S14" s="57"/>
      <c r="T14" s="57"/>
      <c r="U14" s="60"/>
      <c r="V14" s="10" t="e">
        <v>#N/A</v>
      </c>
      <c r="W14" s="57" t="e">
        <v>#REF!</v>
      </c>
      <c r="X14" s="57" t="e">
        <v>#REF!</v>
      </c>
      <c r="Y14" s="57" t="e">
        <v>#REF!</v>
      </c>
      <c r="Z14" s="57" t="e">
        <v>#REF!</v>
      </c>
      <c r="AA14" s="57" t="e">
        <v>#REF!</v>
      </c>
      <c r="AB14" s="17"/>
      <c r="AC14" s="4"/>
      <c r="AD14" s="4"/>
      <c r="AE14" s="4"/>
      <c r="AF14" s="4"/>
      <c r="AG14" s="4"/>
      <c r="AH14" s="4"/>
      <c r="AI14" s="72"/>
      <c r="AJ14" s="87"/>
      <c r="AK14" s="87"/>
      <c r="AL14" s="87"/>
      <c r="AM14" s="51">
        <f ca="1">IFERROR(__xludf.DUMMYFUNCTION("""COMPUTED_VALUE"""),45093.6666666666)</f>
        <v>45093.666666666599</v>
      </c>
      <c r="AN14" s="5">
        <f ca="1">IFERROR(__xludf.DUMMYFUNCTION("""COMPUTED_VALUE"""),164.23)</f>
        <v>164.23</v>
      </c>
      <c r="AO14" s="51">
        <f ca="1">IFERROR(__xludf.DUMMYFUNCTION("""COMPUTED_VALUE"""),45077.6666666666)</f>
        <v>45077.666666666599</v>
      </c>
      <c r="AP14" s="5">
        <f ca="1">IFERROR(__xludf.DUMMYFUNCTION("""COMPUTED_VALUE"""),155.06)</f>
        <v>155.06</v>
      </c>
      <c r="AQ14" s="51"/>
      <c r="AR14" s="31"/>
      <c r="AS14" s="51"/>
      <c r="AT14" s="31"/>
      <c r="AU14" s="51">
        <f ca="1">IFERROR(__xludf.DUMMYFUNCTION("""COMPUTED_VALUE"""),44925.6666666666)</f>
        <v>44925.666666666599</v>
      </c>
      <c r="AV14" s="5">
        <f ca="1">IFERROR(__xludf.DUMMYFUNCTION("""COMPUTED_VALUE"""),176.65)</f>
        <v>176.65</v>
      </c>
      <c r="AW14" s="6"/>
      <c r="AX14" s="6"/>
      <c r="BI14" s="82"/>
      <c r="BJ14" s="82"/>
      <c r="BK14" s="82"/>
      <c r="BL14" s="82"/>
      <c r="BM14" s="82"/>
      <c r="BN14" s="82"/>
      <c r="BO14" s="82"/>
      <c r="BP14" s="82"/>
      <c r="BQ14" s="82"/>
      <c r="BR14" s="82"/>
      <c r="BS14" s="88"/>
      <c r="BT14" s="88"/>
      <c r="BU14" s="88"/>
      <c r="BV14" s="88"/>
      <c r="BW14" s="88"/>
      <c r="BX14" s="88"/>
      <c r="BY14" s="88"/>
      <c r="BZ14" s="88"/>
      <c r="CA14" s="88"/>
    </row>
    <row r="15" spans="1:79" ht="13.2" x14ac:dyDescent="0.25">
      <c r="A15" s="47">
        <f t="shared" si="2"/>
        <v>7</v>
      </c>
      <c r="B15" s="9" t="s">
        <v>17</v>
      </c>
      <c r="C15" s="471" t="str">
        <f ca="1">IFERROR(__xludf.DUMMYFUNCTION("GoogleFinance(B15,""name"")"),"Utilities Select Sector SPDR Fund")</f>
        <v>Utilities Select Sector SPDR Fund</v>
      </c>
      <c r="D15" s="90">
        <f ca="1">IFERROR(__xludf.DUMMYFUNCTION("GoogleFinance(B15,""marketcap"")/1000000"),11124.948514)</f>
        <v>11124.948514</v>
      </c>
      <c r="E15" s="91" t="s">
        <v>95</v>
      </c>
      <c r="F15" s="91" t="s">
        <v>95</v>
      </c>
      <c r="G15" s="92">
        <v>44729</v>
      </c>
      <c r="H15" s="57">
        <v>0.1</v>
      </c>
      <c r="I15" s="60">
        <f ca="1">N15/$M$44</f>
        <v>7.8124225473011497E-2</v>
      </c>
      <c r="J15" s="93">
        <f ca="1">IFERROR(__xludf.DUMMYFUNCTION("GOOGLEFINANCE(B15)"),65.03)</f>
        <v>65.03</v>
      </c>
      <c r="K15" s="94">
        <f>M15/L15</f>
        <v>67.474795630470965</v>
      </c>
      <c r="L15" s="95">
        <f>60+4200/68.23</f>
        <v>121.55650007328154</v>
      </c>
      <c r="M15" s="96">
        <f>4002+4200</f>
        <v>8202</v>
      </c>
      <c r="N15" s="97">
        <f ca="1">J15*L15</f>
        <v>7904.8191997654985</v>
      </c>
      <c r="O15" s="97">
        <f ca="1">N15-M15</f>
        <v>-297.18080023450148</v>
      </c>
      <c r="P15" s="57">
        <f ca="1">J15/K15-1</f>
        <v>-3.6232723754511365E-2</v>
      </c>
      <c r="Q15" s="98">
        <f ca="1">TODAY()-G15</f>
        <v>375</v>
      </c>
      <c r="R15" s="99">
        <v>60</v>
      </c>
      <c r="S15" s="57">
        <f ca="1">R15/J15-1</f>
        <v>-7.7348915884976166E-2</v>
      </c>
      <c r="T15" s="91">
        <v>78</v>
      </c>
      <c r="U15" s="60">
        <f ca="1">T15/J15-1</f>
        <v>0.19944640934953095</v>
      </c>
      <c r="V15" s="10">
        <v>0</v>
      </c>
      <c r="W15" s="57">
        <v>-3.372956909361069E-2</v>
      </c>
      <c r="X15" s="57">
        <v>1.5401201293701039E-3</v>
      </c>
      <c r="Y15" s="57">
        <v>-1.1251330393796444E-2</v>
      </c>
      <c r="Z15" s="57">
        <v>-8.8577435178696429E-2</v>
      </c>
      <c r="AA15" s="57">
        <v>-7.7588652482269538E-2</v>
      </c>
      <c r="AB15" s="61" t="s">
        <v>73</v>
      </c>
      <c r="AC15" s="100" t="s">
        <v>74</v>
      </c>
      <c r="AD15" s="100" t="s">
        <v>74</v>
      </c>
      <c r="AE15" s="101" t="s">
        <v>76</v>
      </c>
      <c r="AF15" s="101" t="s">
        <v>85</v>
      </c>
      <c r="AG15" s="101" t="s">
        <v>78</v>
      </c>
      <c r="AH15" s="102"/>
      <c r="AI15" s="75" t="s">
        <v>96</v>
      </c>
      <c r="AJ15" s="57"/>
      <c r="AK15" s="57"/>
      <c r="AL15" s="57"/>
      <c r="AM15" s="3" t="str">
        <f ca="1">IFERROR(__xludf.DUMMYFUNCTION("GoogleFinance(B15,""price"",DATE(2023,6,16))"),"Date")</f>
        <v>Date</v>
      </c>
      <c r="AN15" s="31" t="str">
        <f ca="1">IFERROR(__xludf.DUMMYFUNCTION("""COMPUTED_VALUE"""),"Close")</f>
        <v>Close</v>
      </c>
      <c r="AO15" s="3" t="str">
        <f ca="1">IFERROR(__xludf.DUMMYFUNCTION("GoogleFinance(B15,""price"",DATE(2023,5,31))"),"Date")</f>
        <v>Date</v>
      </c>
      <c r="AP15" s="103" t="str">
        <f ca="1">IFERROR(__xludf.DUMMYFUNCTION("""COMPUTED_VALUE"""),"Close")</f>
        <v>Close</v>
      </c>
      <c r="AQ15" s="57" t="str">
        <f ca="1">IFERROR(__xludf.DUMMYFUNCTION("GoogleFinance(B15,""price"",today()-91)"),"#N/A")</f>
        <v>#N/A</v>
      </c>
      <c r="AR15" s="103"/>
      <c r="AS15" s="57" t="str">
        <f ca="1">IFERROR(__xludf.DUMMYFUNCTION("GoogleFinance(B15,""price"",today()-182)"),"#N/A")</f>
        <v>#N/A</v>
      </c>
      <c r="AT15" s="103"/>
      <c r="AU15" s="57" t="str">
        <f ca="1">IFERROR(__xludf.DUMMYFUNCTION("GoogleFinance(B15,""price"",DATE(2022,12,30))"),"Date")</f>
        <v>Date</v>
      </c>
      <c r="AV15" s="103" t="str">
        <f ca="1">IFERROR(__xludf.DUMMYFUNCTION("""COMPUTED_VALUE"""),"Close")</f>
        <v>Close</v>
      </c>
      <c r="AW15" s="104"/>
      <c r="AX15" s="104"/>
      <c r="AY15" s="105"/>
      <c r="AZ15" s="105"/>
      <c r="BA15" s="105"/>
      <c r="BB15" s="105"/>
      <c r="BC15" s="105"/>
      <c r="BD15" s="105"/>
      <c r="BE15" s="105"/>
      <c r="BF15" s="105"/>
      <c r="BG15" s="105"/>
      <c r="BH15" s="105"/>
      <c r="BI15" s="104"/>
      <c r="BJ15" s="104"/>
      <c r="BK15" s="104"/>
      <c r="BL15" s="104"/>
      <c r="BM15" s="104"/>
      <c r="BN15" s="104"/>
      <c r="BO15" s="104"/>
      <c r="BP15" s="104"/>
      <c r="BQ15" s="104"/>
      <c r="BR15" s="104"/>
      <c r="BS15" s="105"/>
      <c r="BT15" s="105"/>
      <c r="BU15" s="105"/>
      <c r="BV15" s="105"/>
      <c r="BW15" s="105"/>
      <c r="BX15" s="105"/>
      <c r="BY15" s="105"/>
      <c r="BZ15" s="105"/>
      <c r="CA15" s="105"/>
    </row>
    <row r="16" spans="1:79" ht="13.2" hidden="1" x14ac:dyDescent="0.25">
      <c r="A16" s="106" t="e">
        <f>#REF!+1</f>
        <v>#REF!</v>
      </c>
      <c r="B16" s="1"/>
      <c r="C16" s="48"/>
      <c r="D16" s="49"/>
      <c r="E16" s="50"/>
      <c r="F16" s="50"/>
      <c r="G16" s="51"/>
      <c r="H16" s="3"/>
      <c r="I16" s="67"/>
      <c r="J16" s="52"/>
      <c r="K16" s="53"/>
      <c r="L16" s="50"/>
      <c r="M16" s="50"/>
      <c r="N16" s="68"/>
      <c r="O16" s="76"/>
      <c r="P16" s="77"/>
      <c r="Q16" s="70"/>
      <c r="R16" s="71"/>
      <c r="S16" s="57"/>
      <c r="T16" s="57"/>
      <c r="U16" s="60"/>
      <c r="V16" s="10" t="e">
        <v>#N/A</v>
      </c>
      <c r="W16" s="57" t="e">
        <v>#REF!</v>
      </c>
      <c r="X16" s="57" t="e">
        <v>#REF!</v>
      </c>
      <c r="Y16" s="57" t="e">
        <v>#REF!</v>
      </c>
      <c r="Z16" s="57" t="e">
        <v>#REF!</v>
      </c>
      <c r="AA16" s="57" t="e">
        <v>#REF!</v>
      </c>
      <c r="AB16" s="17"/>
      <c r="AC16" s="4"/>
      <c r="AD16" s="4"/>
      <c r="AE16" s="4"/>
      <c r="AF16" s="4"/>
      <c r="AG16" s="4"/>
      <c r="AH16" s="4"/>
      <c r="AI16" s="72"/>
      <c r="AJ16" s="3"/>
      <c r="AK16" s="3"/>
      <c r="AL16" s="3"/>
      <c r="AM16" s="51">
        <f ca="1">IFERROR(__xludf.DUMMYFUNCTION("""COMPUTED_VALUE"""),45093.6666666666)</f>
        <v>45093.666666666599</v>
      </c>
      <c r="AN16" s="31">
        <f ca="1">IFERROR(__xludf.DUMMYFUNCTION("""COMPUTED_VALUE"""),67.3)</f>
        <v>67.3</v>
      </c>
      <c r="AO16" s="51">
        <f ca="1">IFERROR(__xludf.DUMMYFUNCTION("""COMPUTED_VALUE"""),45077.6666666666)</f>
        <v>45077.666666666599</v>
      </c>
      <c r="AP16" s="31">
        <f ca="1">IFERROR(__xludf.DUMMYFUNCTION("""COMPUTED_VALUE"""),64.93)</f>
        <v>64.930000000000007</v>
      </c>
      <c r="AQ16" s="51"/>
      <c r="AR16" s="31"/>
      <c r="AS16" s="51"/>
      <c r="AT16" s="31"/>
      <c r="AU16" s="51">
        <f ca="1">IFERROR(__xludf.DUMMYFUNCTION("""COMPUTED_VALUE"""),44925.6666666666)</f>
        <v>44925.666666666599</v>
      </c>
      <c r="AV16" s="31">
        <f ca="1">IFERROR(__xludf.DUMMYFUNCTION("""COMPUTED_VALUE"""),70.5)</f>
        <v>70.5</v>
      </c>
      <c r="AW16" s="6"/>
      <c r="AX16" s="6"/>
      <c r="BI16" s="6"/>
      <c r="BJ16" s="6"/>
      <c r="BK16" s="6"/>
      <c r="BL16" s="6"/>
      <c r="BM16" s="6"/>
      <c r="BN16" s="6"/>
      <c r="BO16" s="6"/>
      <c r="BP16" s="6"/>
      <c r="BQ16" s="6"/>
      <c r="BR16" s="6"/>
    </row>
    <row r="17" spans="1:79" ht="13.2" x14ac:dyDescent="0.25">
      <c r="A17" s="47">
        <f t="shared" ref="A17:A20" si="3">A15+1</f>
        <v>8</v>
      </c>
      <c r="B17" s="1" t="s">
        <v>97</v>
      </c>
      <c r="C17" s="470" t="str">
        <f ca="1">IFERROR(__xludf.DUMMYFUNCTION("GoogleFinance(B17,""name"")"),"JPMorgan Chase &amp; Co")</f>
        <v>JPMorgan Chase &amp; Co</v>
      </c>
      <c r="D17" s="49">
        <f ca="1">IFERROR(__xludf.DUMMYFUNCTION("GoogleFinance(B17,""marketcap"")/1000000"),405759.706636)</f>
        <v>405759.70663600002</v>
      </c>
      <c r="E17" s="50" t="s">
        <v>13</v>
      </c>
      <c r="F17" s="50" t="s">
        <v>19</v>
      </c>
      <c r="G17" s="51">
        <v>45000</v>
      </c>
      <c r="H17" s="3">
        <v>0.02</v>
      </c>
      <c r="I17" s="12">
        <f ca="1">N17/$M$44</f>
        <v>4.1175060502510005E-2</v>
      </c>
      <c r="J17" s="52">
        <f ca="1">IFERROR(__xludf.DUMMYFUNCTION("GOOGLEFINANCE(B17)"),138.85)</f>
        <v>138.85</v>
      </c>
      <c r="K17" s="53">
        <f>M17/L17</f>
        <v>133.97737818896675</v>
      </c>
      <c r="L17" s="54">
        <f>2020/127.6+2000/141.1</f>
        <v>30.005065439704609</v>
      </c>
      <c r="M17" s="55">
        <v>4020</v>
      </c>
      <c r="N17" s="56">
        <f ca="1">J17*L17</f>
        <v>4166.203336302985</v>
      </c>
      <c r="O17" s="56">
        <f ca="1">N17-M17</f>
        <v>146.20333630298501</v>
      </c>
      <c r="P17" s="57">
        <f ca="1">J17/K17-1</f>
        <v>3.6368989130095564E-2</v>
      </c>
      <c r="Q17" s="58">
        <f ca="1">TODAY()-G17</f>
        <v>104</v>
      </c>
      <c r="R17" s="59">
        <v>123</v>
      </c>
      <c r="S17" s="57">
        <f ca="1">R17/J17-1</f>
        <v>-0.11415196254951387</v>
      </c>
      <c r="T17" s="50">
        <v>156</v>
      </c>
      <c r="U17" s="60">
        <f ca="1">T17/J17-1</f>
        <v>0.12351458408354343</v>
      </c>
      <c r="V17" s="10">
        <v>-1E-4</v>
      </c>
      <c r="W17" s="57">
        <v>-3.078319140025132E-2</v>
      </c>
      <c r="X17" s="57">
        <v>2.3137572765455694E-2</v>
      </c>
      <c r="Y17" s="57">
        <v>8.0628842711494952E-2</v>
      </c>
      <c r="Z17" s="57">
        <v>5.3969940792469862E-2</v>
      </c>
      <c r="AA17" s="57">
        <v>3.5421327367636035E-2</v>
      </c>
      <c r="AB17" s="61" t="s">
        <v>75</v>
      </c>
      <c r="AC17" s="62" t="s">
        <v>74</v>
      </c>
      <c r="AD17" s="62" t="s">
        <v>75</v>
      </c>
      <c r="AE17" s="63" t="s">
        <v>98</v>
      </c>
      <c r="AF17" s="63" t="s">
        <v>85</v>
      </c>
      <c r="AG17" s="63" t="s">
        <v>99</v>
      </c>
      <c r="AH17" s="74"/>
      <c r="AI17" s="75" t="s">
        <v>100</v>
      </c>
      <c r="AJ17" s="3"/>
      <c r="AK17" s="3"/>
      <c r="AL17" s="3"/>
      <c r="AM17" s="3" t="str">
        <f ca="1">IFERROR(__xludf.DUMMYFUNCTION("GoogleFinance(B17,""price"",DATE(2023,6,16))"),"Date")</f>
        <v>Date</v>
      </c>
      <c r="AN17" s="31" t="str">
        <f ca="1">IFERROR(__xludf.DUMMYFUNCTION("""COMPUTED_VALUE"""),"Close")</f>
        <v>Close</v>
      </c>
      <c r="AO17" s="3" t="str">
        <f ca="1">IFERROR(__xludf.DUMMYFUNCTION("GoogleFinance(B17,""price"",DATE(2023,5,31))"),"#N/A")</f>
        <v>#N/A</v>
      </c>
      <c r="AP17" s="31" t="s">
        <v>6</v>
      </c>
      <c r="AQ17" s="3" t="str">
        <f ca="1">IFERROR(__xludf.DUMMYFUNCTION("GoogleFinance(B17,""price"",today()-91)"),"#N/A")</f>
        <v>#N/A</v>
      </c>
      <c r="AR17" s="31"/>
      <c r="AS17" s="3" t="str">
        <f ca="1">IFERROR(__xludf.DUMMYFUNCTION("GoogleFinance(B17,""price"",today()-182)"),"#N/A")</f>
        <v>#N/A</v>
      </c>
      <c r="AT17" s="31"/>
      <c r="AU17" s="3" t="str">
        <f ca="1">IFERROR(__xludf.DUMMYFUNCTION("GoogleFinance(B17,""price"",DATE(2022,12,30))"),"#N/A")</f>
        <v>#N/A</v>
      </c>
      <c r="AV17" s="31" t="s">
        <v>6</v>
      </c>
      <c r="AW17" s="6"/>
      <c r="AX17" s="6"/>
      <c r="BI17" s="6"/>
      <c r="BJ17" s="6"/>
      <c r="BK17" s="6"/>
      <c r="BL17" s="6"/>
      <c r="BM17" s="6"/>
      <c r="BN17" s="6"/>
      <c r="BO17" s="6"/>
      <c r="BP17" s="6"/>
      <c r="BQ17" s="6"/>
      <c r="BR17" s="6"/>
    </row>
    <row r="18" spans="1:79" ht="13.2" hidden="1" x14ac:dyDescent="0.25">
      <c r="A18" s="47" t="e">
        <f t="shared" si="3"/>
        <v>#REF!</v>
      </c>
      <c r="B18" s="1"/>
      <c r="C18" s="48"/>
      <c r="D18" s="49"/>
      <c r="E18" s="50"/>
      <c r="F18" s="50"/>
      <c r="G18" s="51"/>
      <c r="H18" s="3"/>
      <c r="I18" s="67"/>
      <c r="J18" s="52"/>
      <c r="K18" s="53"/>
      <c r="L18" s="50"/>
      <c r="M18" s="50"/>
      <c r="N18" s="68"/>
      <c r="O18" s="76"/>
      <c r="P18" s="77"/>
      <c r="Q18" s="70"/>
      <c r="R18" s="71"/>
      <c r="S18" s="57"/>
      <c r="T18" s="57"/>
      <c r="U18" s="60"/>
      <c r="V18" s="10" t="e">
        <v>#N/A</v>
      </c>
      <c r="W18" s="57" t="e">
        <v>#REF!</v>
      </c>
      <c r="X18" s="57" t="e">
        <v>#REF!</v>
      </c>
      <c r="Y18" s="57" t="e">
        <v>#REF!</v>
      </c>
      <c r="Z18" s="57" t="e">
        <v>#REF!</v>
      </c>
      <c r="AA18" s="57" t="e">
        <v>#REF!</v>
      </c>
      <c r="AB18" s="17"/>
      <c r="AC18" s="4"/>
      <c r="AD18" s="4"/>
      <c r="AE18" s="4"/>
      <c r="AF18" s="4"/>
      <c r="AG18" s="4"/>
      <c r="AH18" s="4"/>
      <c r="AI18" s="72"/>
      <c r="AJ18" s="3"/>
      <c r="AK18" s="3"/>
      <c r="AL18" s="3"/>
      <c r="AM18" s="51">
        <f ca="1">IFERROR(__xludf.DUMMYFUNCTION("""COMPUTED_VALUE"""),45093.6666666666)</f>
        <v>45093.666666666599</v>
      </c>
      <c r="AN18" s="31">
        <f ca="1">IFERROR(__xludf.DUMMYFUNCTION("""COMPUTED_VALUE"""),143.26)</f>
        <v>143.26</v>
      </c>
      <c r="AO18" s="51">
        <v>45077.666666666672</v>
      </c>
      <c r="AP18" s="31">
        <v>135.71</v>
      </c>
      <c r="AQ18" s="51"/>
      <c r="AR18" s="31"/>
      <c r="AS18" s="51"/>
      <c r="AT18" s="31"/>
      <c r="AU18" s="51">
        <v>44925.666666666672</v>
      </c>
      <c r="AV18" s="31">
        <v>134.1</v>
      </c>
      <c r="AW18" s="6"/>
      <c r="AX18" s="6"/>
      <c r="BF18" s="6"/>
      <c r="BG18" s="6"/>
      <c r="BH18" s="6"/>
      <c r="BI18" s="6"/>
      <c r="BJ18" s="6"/>
      <c r="BK18" s="6"/>
      <c r="BL18" s="6"/>
      <c r="BM18" s="6"/>
      <c r="BN18" s="6"/>
      <c r="BO18" s="6"/>
      <c r="BP18" s="6"/>
      <c r="BQ18" s="6"/>
      <c r="BR18" s="6"/>
    </row>
    <row r="19" spans="1:79" ht="13.2" x14ac:dyDescent="0.25">
      <c r="A19" s="106">
        <f t="shared" si="3"/>
        <v>9</v>
      </c>
      <c r="B19" s="30" t="s">
        <v>101</v>
      </c>
      <c r="C19" s="107" t="str">
        <f ca="1">IFERROR(__xludf.DUMMYFUNCTION("GoogleFinance(B19,""name"")"),"Cigna Group")</f>
        <v>Cigna Group</v>
      </c>
      <c r="D19" s="108">
        <f ca="1">IFERROR(__xludf.DUMMYFUNCTION("GoogleFinance(B19,""marketcap"")/1000000"),81320.475975)</f>
        <v>81320.475974999994</v>
      </c>
      <c r="E19" s="109" t="s">
        <v>15</v>
      </c>
      <c r="F19" s="109" t="s">
        <v>102</v>
      </c>
      <c r="G19" s="110">
        <v>45098</v>
      </c>
      <c r="H19" s="111">
        <v>0.04</v>
      </c>
      <c r="I19" s="112">
        <f ca="1">N19/$M$44</f>
        <v>4.492844442296634E-2</v>
      </c>
      <c r="J19" s="113">
        <f ca="1">IFERROR(__xludf.DUMMYFUNCTION("GOOGLEFINANCE(B19)"),274.85)</f>
        <v>274.85000000000002</v>
      </c>
      <c r="K19" s="114">
        <v>272.07</v>
      </c>
      <c r="L19" s="115">
        <f>4500/K19</f>
        <v>16.539861065167052</v>
      </c>
      <c r="M19" s="116">
        <v>4500</v>
      </c>
      <c r="N19" s="117">
        <f ca="1">J19*L19</f>
        <v>4545.9808137611644</v>
      </c>
      <c r="O19" s="117">
        <f ca="1">N19-M19</f>
        <v>45.980813761164427</v>
      </c>
      <c r="P19" s="118">
        <f ca="1">J19/K19-1</f>
        <v>1.0217958613592204E-2</v>
      </c>
      <c r="Q19" s="119">
        <f ca="1">TODAY()-G19</f>
        <v>6</v>
      </c>
      <c r="R19" s="120">
        <v>248</v>
      </c>
      <c r="S19" s="118">
        <f ca="1">R19/J19-1</f>
        <v>-9.7689648899399795E-2</v>
      </c>
      <c r="T19" s="109">
        <v>310</v>
      </c>
      <c r="U19" s="121">
        <f ca="1">T19/J19-1</f>
        <v>0.12788793887575034</v>
      </c>
      <c r="V19" s="122">
        <v>0</v>
      </c>
      <c r="W19" s="118">
        <v>2.2393334077298155E-2</v>
      </c>
      <c r="X19" s="118">
        <v>0.11090901742047632</v>
      </c>
      <c r="Y19" s="118">
        <v>4.9927419970968279E-2</v>
      </c>
      <c r="Z19" s="118">
        <v>-0.17734211313977855</v>
      </c>
      <c r="AA19" s="118">
        <v>-0.1704895273736946</v>
      </c>
      <c r="AB19" s="474" t="s">
        <v>73</v>
      </c>
      <c r="AC19" s="124" t="s">
        <v>74</v>
      </c>
      <c r="AD19" s="124" t="s">
        <v>75</v>
      </c>
      <c r="AE19" s="125" t="s">
        <v>98</v>
      </c>
      <c r="AF19" s="125" t="s">
        <v>85</v>
      </c>
      <c r="AG19" s="125" t="s">
        <v>99</v>
      </c>
      <c r="AH19" s="126"/>
      <c r="AI19" s="127" t="s">
        <v>100</v>
      </c>
      <c r="AJ19" s="111"/>
      <c r="AK19" s="111"/>
      <c r="AL19" s="111"/>
      <c r="AM19" s="3" t="str">
        <f ca="1">IFERROR(__xludf.DUMMYFUNCTION("GoogleFinance(B19,""price"",DATE(2023,6,16))"),"Date")</f>
        <v>Date</v>
      </c>
      <c r="AN19" s="128" t="str">
        <f ca="1">IFERROR(__xludf.DUMMYFUNCTION("""COMPUTED_VALUE"""),"Close")</f>
        <v>Close</v>
      </c>
      <c r="AO19" s="111" t="str">
        <f ca="1">IFERROR(__xludf.DUMMYFUNCTION("GoogleFinance(B19,""price"",DATE(2023,5,31))"),"Date")</f>
        <v>Date</v>
      </c>
      <c r="AP19" s="128" t="str">
        <f ca="1">IFERROR(__xludf.DUMMYFUNCTION("""COMPUTED_VALUE"""),"Close")</f>
        <v>Close</v>
      </c>
      <c r="AQ19" s="111" t="str">
        <f ca="1">IFERROR(__xludf.DUMMYFUNCTION("GoogleFinance(B19,""price"",today()-91)"),"#N/A")</f>
        <v>#N/A</v>
      </c>
      <c r="AR19" s="128"/>
      <c r="AS19" s="111" t="str">
        <f ca="1">IFERROR(__xludf.DUMMYFUNCTION("GoogleFinance(B19,""price"",today()-182)"),"#N/A")</f>
        <v>#N/A</v>
      </c>
      <c r="AT19" s="128"/>
      <c r="AU19" s="111" t="str">
        <f ca="1">IFERROR(__xludf.DUMMYFUNCTION("GoogleFinance(B19,""price"",DATE(2022,12,30))"),"Date")</f>
        <v>Date</v>
      </c>
      <c r="AV19" s="128" t="str">
        <f ca="1">IFERROR(__xludf.DUMMYFUNCTION("""COMPUTED_VALUE"""),"Close")</f>
        <v>Close</v>
      </c>
      <c r="AW19" s="82"/>
      <c r="AX19" s="82"/>
      <c r="AY19" s="129"/>
      <c r="AZ19" s="129"/>
      <c r="BA19" s="129"/>
      <c r="BB19" s="129"/>
      <c r="BC19" s="129"/>
      <c r="BD19" s="129"/>
      <c r="BE19" s="129"/>
      <c r="BF19" s="129"/>
      <c r="BG19" s="129"/>
      <c r="BH19" s="129"/>
      <c r="BI19" s="82"/>
      <c r="BJ19" s="82"/>
      <c r="BK19" s="82"/>
      <c r="BL19" s="82"/>
      <c r="BM19" s="82"/>
      <c r="BN19" s="82"/>
      <c r="BO19" s="82"/>
      <c r="BP19" s="82"/>
      <c r="BQ19" s="82"/>
      <c r="BR19" s="82"/>
      <c r="BS19" s="129"/>
      <c r="BT19" s="129"/>
      <c r="BU19" s="129"/>
      <c r="BV19" s="129"/>
      <c r="BW19" s="129"/>
      <c r="BX19" s="129"/>
      <c r="BY19" s="129"/>
      <c r="BZ19" s="129"/>
      <c r="CA19" s="129"/>
    </row>
    <row r="20" spans="1:79" ht="13.2" hidden="1" x14ac:dyDescent="0.25">
      <c r="A20" s="47" t="e">
        <f t="shared" si="3"/>
        <v>#REF!</v>
      </c>
      <c r="B20" s="1"/>
      <c r="C20" s="48"/>
      <c r="D20" s="49"/>
      <c r="E20" s="50"/>
      <c r="F20" s="50"/>
      <c r="G20" s="51"/>
      <c r="H20" s="3"/>
      <c r="I20" s="67"/>
      <c r="J20" s="52"/>
      <c r="K20" s="53"/>
      <c r="L20" s="50"/>
      <c r="M20" s="50"/>
      <c r="N20" s="68"/>
      <c r="O20" s="76"/>
      <c r="P20" s="77"/>
      <c r="Q20" s="70"/>
      <c r="R20" s="71"/>
      <c r="S20" s="57"/>
      <c r="T20" s="57"/>
      <c r="U20" s="60"/>
      <c r="V20" s="10" t="e">
        <v>#N/A</v>
      </c>
      <c r="W20" s="57" t="e">
        <v>#REF!</v>
      </c>
      <c r="X20" s="57" t="e">
        <v>#REF!</v>
      </c>
      <c r="Y20" s="57" t="e">
        <v>#REF!</v>
      </c>
      <c r="Z20" s="57" t="e">
        <v>#REF!</v>
      </c>
      <c r="AA20" s="57" t="e">
        <v>#REF!</v>
      </c>
      <c r="AB20" s="17"/>
      <c r="AC20" s="4"/>
      <c r="AD20" s="4"/>
      <c r="AE20" s="4"/>
      <c r="AF20" s="4"/>
      <c r="AG20" s="4"/>
      <c r="AH20" s="4"/>
      <c r="AI20" s="72"/>
      <c r="AJ20" s="3"/>
      <c r="AK20" s="3"/>
      <c r="AL20" s="3"/>
      <c r="AM20" s="51">
        <f ca="1">IFERROR(__xludf.DUMMYFUNCTION("""COMPUTED_VALUE"""),45093.6666666666)</f>
        <v>45093.666666666599</v>
      </c>
      <c r="AN20" s="31">
        <f ca="1">IFERROR(__xludf.DUMMYFUNCTION("""COMPUTED_VALUE"""),268.83)</f>
        <v>268.83</v>
      </c>
      <c r="AO20" s="51">
        <f ca="1">IFERROR(__xludf.DUMMYFUNCTION("""COMPUTED_VALUE"""),45077.6666666666)</f>
        <v>45077.666666666599</v>
      </c>
      <c r="AP20" s="31">
        <f ca="1">IFERROR(__xludf.DUMMYFUNCTION("""COMPUTED_VALUE"""),247.41)</f>
        <v>247.41</v>
      </c>
      <c r="AQ20" s="51"/>
      <c r="AR20" s="31"/>
      <c r="AS20" s="51"/>
      <c r="AT20" s="31"/>
      <c r="AU20" s="51">
        <f ca="1">IFERROR(__xludf.DUMMYFUNCTION("""COMPUTED_VALUE"""),44925.6666666666)</f>
        <v>44925.666666666599</v>
      </c>
      <c r="AV20" s="31">
        <f ca="1">IFERROR(__xludf.DUMMYFUNCTION("""COMPUTED_VALUE"""),331.34)</f>
        <v>331.34</v>
      </c>
      <c r="AW20" s="6"/>
      <c r="AX20" s="6"/>
      <c r="BF20" s="6"/>
      <c r="BG20" s="6"/>
      <c r="BH20" s="6"/>
      <c r="BI20" s="6"/>
      <c r="BJ20" s="6"/>
      <c r="BK20" s="6"/>
      <c r="BL20" s="6"/>
      <c r="BM20" s="6"/>
      <c r="BN20" s="6"/>
      <c r="BO20" s="6"/>
      <c r="BP20" s="6"/>
      <c r="BQ20" s="6"/>
      <c r="BR20" s="6"/>
    </row>
    <row r="21" spans="1:79" ht="13.2" x14ac:dyDescent="0.25">
      <c r="A21" s="47">
        <f>A17+1</f>
        <v>9</v>
      </c>
      <c r="B21" s="1" t="s">
        <v>103</v>
      </c>
      <c r="C21" s="470" t="str">
        <f ca="1">IFERROR(__xludf.DUMMYFUNCTION("GoogleFinance(B21,""name"")"),"Pfizer Inc.")</f>
        <v>Pfizer Inc.</v>
      </c>
      <c r="D21" s="49">
        <f ca="1">IFERROR(__xludf.DUMMYFUNCTION("GoogleFinance(B21,""marketcap"")/1000000"),216215.177192)</f>
        <v>216215.177192</v>
      </c>
      <c r="E21" s="50" t="s">
        <v>15</v>
      </c>
      <c r="F21" s="50" t="s">
        <v>104</v>
      </c>
      <c r="G21" s="51">
        <v>45079</v>
      </c>
      <c r="H21" s="3">
        <v>0.04</v>
      </c>
      <c r="I21" s="12">
        <f ca="1">N21/$M$44</f>
        <v>4.0467935212077408E-2</v>
      </c>
      <c r="J21" s="52">
        <f ca="1">IFERROR(__xludf.DUMMYFUNCTION("GOOGLEFINANCE(B21)"),38.3)</f>
        <v>38.299999999999997</v>
      </c>
      <c r="K21" s="53">
        <v>38.35</v>
      </c>
      <c r="L21" s="54">
        <f>4100/K21</f>
        <v>106.91003911342894</v>
      </c>
      <c r="M21" s="55">
        <v>4100</v>
      </c>
      <c r="N21" s="56">
        <f ca="1">J21*L21</f>
        <v>4094.6544980443282</v>
      </c>
      <c r="O21" s="56">
        <f ca="1">N21-M21</f>
        <v>-5.3455019556718071</v>
      </c>
      <c r="P21" s="57">
        <f ca="1">J21/K21-1</f>
        <v>-1.3037809647979959E-3</v>
      </c>
      <c r="Q21" s="58">
        <f ca="1">TODAY()-G21</f>
        <v>25</v>
      </c>
      <c r="R21" s="59">
        <v>35</v>
      </c>
      <c r="S21" s="57">
        <f ca="1">R21/J21-1</f>
        <v>-8.6161879895561344E-2</v>
      </c>
      <c r="T21" s="50">
        <v>48</v>
      </c>
      <c r="U21" s="60">
        <f ca="1">T21/J21-1</f>
        <v>0.25326370757180161</v>
      </c>
      <c r="V21" s="10">
        <v>0</v>
      </c>
      <c r="W21" s="57">
        <v>-4.3934098851722503E-2</v>
      </c>
      <c r="X21" s="57">
        <v>7.3645449763279913E-3</v>
      </c>
      <c r="Y21" s="57">
        <v>-4.7737444057682765E-2</v>
      </c>
      <c r="Z21" s="57">
        <v>-0.25092900449833766</v>
      </c>
      <c r="AA21" s="57">
        <v>-0.25253708040593292</v>
      </c>
      <c r="AB21" s="61" t="s">
        <v>73</v>
      </c>
      <c r="AC21" s="62" t="s">
        <v>74</v>
      </c>
      <c r="AD21" s="62" t="s">
        <v>75</v>
      </c>
      <c r="AE21" s="63" t="s">
        <v>98</v>
      </c>
      <c r="AF21" s="63" t="s">
        <v>85</v>
      </c>
      <c r="AG21" s="63" t="s">
        <v>99</v>
      </c>
      <c r="AH21" s="74"/>
      <c r="AI21" s="75" t="s">
        <v>100</v>
      </c>
      <c r="AJ21" s="3"/>
      <c r="AK21" s="3"/>
      <c r="AL21" s="3"/>
      <c r="AM21" s="3" t="str">
        <f ca="1">IFERROR(__xludf.DUMMYFUNCTION("GoogleFinance(B21,""price"",DATE(2023,6,16))"),"Loading...")</f>
        <v>Loading...</v>
      </c>
      <c r="AN21" s="31" t="s">
        <v>6</v>
      </c>
      <c r="AO21" s="3" t="str">
        <f ca="1">IFERROR(__xludf.DUMMYFUNCTION("GoogleFinance(B21,""price"",DATE(2023,5,31))"),"Date")</f>
        <v>Date</v>
      </c>
      <c r="AP21" s="31" t="str">
        <f ca="1">IFERROR(__xludf.DUMMYFUNCTION("""COMPUTED_VALUE"""),"Close")</f>
        <v>Close</v>
      </c>
      <c r="AQ21" s="3" t="str">
        <f ca="1">IFERROR(__xludf.DUMMYFUNCTION("GoogleFinance(B21,""price"",today()-91)"),"#N/A")</f>
        <v>#N/A</v>
      </c>
      <c r="AR21" s="31"/>
      <c r="AS21" s="3" t="str">
        <f ca="1">IFERROR(__xludf.DUMMYFUNCTION("GoogleFinance(B21,""price"",today()-182)"),"#N/A")</f>
        <v>#N/A</v>
      </c>
      <c r="AT21" s="31"/>
      <c r="AU21" s="3" t="str">
        <f ca="1">IFERROR(__xludf.DUMMYFUNCTION("GoogleFinance(B21,""price"",DATE(2022,12,30))"),"Date")</f>
        <v>Date</v>
      </c>
      <c r="AV21" s="31" t="str">
        <f ca="1">IFERROR(__xludf.DUMMYFUNCTION("""COMPUTED_VALUE"""),"Close")</f>
        <v>Close</v>
      </c>
      <c r="AW21" s="6"/>
      <c r="AX21" s="6"/>
      <c r="BI21" s="6"/>
      <c r="BJ21" s="6"/>
      <c r="BK21" s="6"/>
      <c r="BL21" s="6"/>
      <c r="BM21" s="6"/>
      <c r="BN21" s="6"/>
      <c r="BO21" s="6"/>
      <c r="BP21" s="6"/>
      <c r="BQ21" s="6"/>
      <c r="BR21" s="6"/>
    </row>
    <row r="22" spans="1:79" ht="13.2" hidden="1" x14ac:dyDescent="0.25">
      <c r="A22" s="47"/>
      <c r="B22" s="1"/>
      <c r="C22" s="48"/>
      <c r="D22" s="49"/>
      <c r="E22" s="50"/>
      <c r="F22" s="50"/>
      <c r="G22" s="51"/>
      <c r="H22" s="3"/>
      <c r="I22" s="67"/>
      <c r="J22" s="52"/>
      <c r="K22" s="53"/>
      <c r="L22" s="50"/>
      <c r="M22" s="50"/>
      <c r="N22" s="68"/>
      <c r="O22" s="76"/>
      <c r="P22" s="77"/>
      <c r="Q22" s="70"/>
      <c r="R22" s="71"/>
      <c r="S22" s="57"/>
      <c r="T22" s="57"/>
      <c r="U22" s="60"/>
      <c r="V22" s="10" t="e">
        <v>#N/A</v>
      </c>
      <c r="W22" s="57" t="e">
        <v>#REF!</v>
      </c>
      <c r="X22" s="57" t="e">
        <v>#REF!</v>
      </c>
      <c r="Y22" s="57" t="e">
        <v>#REF!</v>
      </c>
      <c r="Z22" s="57" t="e">
        <v>#REF!</v>
      </c>
      <c r="AA22" s="57" t="e">
        <v>#REF!</v>
      </c>
      <c r="AB22" s="17"/>
      <c r="AC22" s="4"/>
      <c r="AD22" s="4"/>
      <c r="AE22" s="4"/>
      <c r="AF22" s="4"/>
      <c r="AG22" s="4"/>
      <c r="AH22" s="4"/>
      <c r="AI22" s="72"/>
      <c r="AJ22" s="3"/>
      <c r="AK22" s="3"/>
      <c r="AL22" s="3"/>
      <c r="AM22" s="51">
        <v>45093.666666666672</v>
      </c>
      <c r="AN22" s="31">
        <v>40.06</v>
      </c>
      <c r="AO22" s="51">
        <f ca="1">IFERROR(__xludf.DUMMYFUNCTION("""COMPUTED_VALUE"""),45077.6666666666)</f>
        <v>45077.666666666599</v>
      </c>
      <c r="AP22" s="31">
        <f ca="1">IFERROR(__xludf.DUMMYFUNCTION("""COMPUTED_VALUE"""),38.02)</f>
        <v>38.020000000000003</v>
      </c>
      <c r="AQ22" s="51"/>
      <c r="AR22" s="31"/>
      <c r="AS22" s="51"/>
      <c r="AT22" s="31"/>
      <c r="AU22" s="51">
        <f ca="1">IFERROR(__xludf.DUMMYFUNCTION("""COMPUTED_VALUE"""),44925.6666666666)</f>
        <v>44925.666666666599</v>
      </c>
      <c r="AV22" s="31">
        <f ca="1">IFERROR(__xludf.DUMMYFUNCTION("""COMPUTED_VALUE"""),51.24)</f>
        <v>51.24</v>
      </c>
      <c r="AW22" s="6"/>
      <c r="AX22" s="6"/>
      <c r="BF22" s="6"/>
      <c r="BG22" s="6"/>
      <c r="BH22" s="6"/>
      <c r="BI22" s="6"/>
      <c r="BJ22" s="6"/>
      <c r="BK22" s="6"/>
      <c r="BL22" s="6"/>
      <c r="BM22" s="6"/>
      <c r="BN22" s="6"/>
      <c r="BO22" s="6"/>
      <c r="BP22" s="6"/>
      <c r="BQ22" s="6"/>
      <c r="BR22" s="6"/>
    </row>
    <row r="23" spans="1:79" ht="13.2" x14ac:dyDescent="0.25">
      <c r="A23" s="47">
        <f>A21+1</f>
        <v>10</v>
      </c>
      <c r="B23" s="9" t="s">
        <v>105</v>
      </c>
      <c r="C23" s="471" t="str">
        <f ca="1">IFERROR(__xludf.DUMMYFUNCTION("GoogleFinance(B23,""name"")"),"Lockheed Martin Corp")</f>
        <v>Lockheed Martin Corp</v>
      </c>
      <c r="D23" s="90">
        <f ca="1">IFERROR(__xludf.DUMMYFUNCTION("GoogleFinance(B23,""marketcap"")/1000000"),116915.798175)</f>
        <v>116915.798175</v>
      </c>
      <c r="E23" s="91" t="s">
        <v>10</v>
      </c>
      <c r="F23" s="91" t="s">
        <v>106</v>
      </c>
      <c r="G23" s="92">
        <v>44826</v>
      </c>
      <c r="H23" s="57">
        <v>0.04</v>
      </c>
      <c r="I23" s="60">
        <f ca="1">N23/$M$44</f>
        <v>2.0429581610742251E-2</v>
      </c>
      <c r="J23" s="93">
        <f ca="1">IFERROR(__xludf.DUMMYFUNCTION("GOOGLEFINANCE(B23)"),459.36)</f>
        <v>459.36</v>
      </c>
      <c r="K23" s="94">
        <v>422.3</v>
      </c>
      <c r="L23" s="95">
        <v>4.5</v>
      </c>
      <c r="M23" s="96">
        <f>L23*K23</f>
        <v>1900.3500000000001</v>
      </c>
      <c r="N23" s="97">
        <f ca="1">J23*L23</f>
        <v>2067.12</v>
      </c>
      <c r="O23" s="97">
        <f ca="1">N23-M23</f>
        <v>166.76999999999975</v>
      </c>
      <c r="P23" s="57">
        <f ca="1">J23/K23-1</f>
        <v>8.7757518351882613E-2</v>
      </c>
      <c r="Q23" s="98">
        <f ca="1">TODAY()-G23</f>
        <v>278</v>
      </c>
      <c r="R23" s="99">
        <v>370</v>
      </c>
      <c r="S23" s="57">
        <f ca="1">R23/J23-1</f>
        <v>-0.19453152211772906</v>
      </c>
      <c r="T23" s="91">
        <v>540</v>
      </c>
      <c r="U23" s="60">
        <f ca="1">T23/J23-1</f>
        <v>0.17554858934169282</v>
      </c>
      <c r="V23" s="71">
        <v>-2.0000000000000001E-4</v>
      </c>
      <c r="W23" s="57">
        <v>4.1379009952735579E-4</v>
      </c>
      <c r="X23" s="57">
        <v>3.4571293439336959E-2</v>
      </c>
      <c r="Y23" s="57">
        <v>-2.9637296943323621E-2</v>
      </c>
      <c r="Z23" s="57">
        <v>-5.3841400617919644E-2</v>
      </c>
      <c r="AA23" s="57">
        <v>-5.5766819461859463E-2</v>
      </c>
      <c r="AB23" s="130" t="s">
        <v>73</v>
      </c>
      <c r="AC23" s="100" t="s">
        <v>75</v>
      </c>
      <c r="AD23" s="100" t="s">
        <v>74</v>
      </c>
      <c r="AE23" s="101" t="s">
        <v>107</v>
      </c>
      <c r="AF23" s="101" t="s">
        <v>77</v>
      </c>
      <c r="AG23" s="101" t="s">
        <v>78</v>
      </c>
      <c r="AH23" s="102"/>
      <c r="AI23" s="65" t="s">
        <v>108</v>
      </c>
      <c r="AJ23" s="57"/>
      <c r="AK23" s="57"/>
      <c r="AL23" s="57"/>
      <c r="AM23" s="3" t="str">
        <f ca="1">IFERROR(__xludf.DUMMYFUNCTION("GoogleFinance(B23,""price"",DATE(2023,6,16))"),"Loading...")</f>
        <v>Loading...</v>
      </c>
      <c r="AN23" s="31" t="s">
        <v>6</v>
      </c>
      <c r="AO23" s="3" t="str">
        <f ca="1">IFERROR(__xludf.DUMMYFUNCTION("GoogleFinance(B23,""price"",DATE(2023,5,31))"),"Date")</f>
        <v>Date</v>
      </c>
      <c r="AP23" s="31" t="str">
        <f ca="1">IFERROR(__xludf.DUMMYFUNCTION("""COMPUTED_VALUE"""),"Close")</f>
        <v>Close</v>
      </c>
      <c r="AQ23" s="3" t="str">
        <f ca="1">IFERROR(__xludf.DUMMYFUNCTION("GoogleFinance(B23,""price"",today()-91)"),"#N/A")</f>
        <v>#N/A</v>
      </c>
      <c r="AR23" s="31"/>
      <c r="AS23" s="3" t="str">
        <f ca="1">IFERROR(__xludf.DUMMYFUNCTION("GoogleFinance(B23,""price"",today()-182)"),"#N/A")</f>
        <v>#N/A</v>
      </c>
      <c r="AT23" s="31"/>
      <c r="AU23" s="3" t="str">
        <f ca="1">IFERROR(__xludf.DUMMYFUNCTION("GoogleFinance(B23,""price"",DATE(2022,12,30))"),"Date")</f>
        <v>Date</v>
      </c>
      <c r="AV23" s="31" t="str">
        <f ca="1">IFERROR(__xludf.DUMMYFUNCTION("""COMPUTED_VALUE"""),"Close")</f>
        <v>Close</v>
      </c>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5"/>
      <c r="BT23" s="105"/>
      <c r="BU23" s="105"/>
      <c r="BV23" s="105"/>
      <c r="BW23" s="105"/>
      <c r="BX23" s="105"/>
      <c r="BY23" s="105"/>
      <c r="BZ23" s="105"/>
      <c r="CA23" s="105"/>
    </row>
    <row r="24" spans="1:79" ht="13.2" hidden="1" x14ac:dyDescent="0.25">
      <c r="A24" s="47"/>
      <c r="B24" s="1"/>
      <c r="C24" s="48"/>
      <c r="D24" s="49"/>
      <c r="E24" s="50"/>
      <c r="F24" s="50"/>
      <c r="G24" s="51"/>
      <c r="H24" s="3"/>
      <c r="I24" s="67"/>
      <c r="J24" s="52"/>
      <c r="K24" s="53"/>
      <c r="L24" s="50"/>
      <c r="M24" s="50"/>
      <c r="N24" s="68"/>
      <c r="O24" s="76"/>
      <c r="P24" s="77"/>
      <c r="Q24" s="70"/>
      <c r="R24" s="71"/>
      <c r="S24" s="57"/>
      <c r="T24" s="57"/>
      <c r="U24" s="60"/>
      <c r="V24" s="10" t="e">
        <v>#N/A</v>
      </c>
      <c r="W24" s="57" t="e">
        <v>#VALUE!</v>
      </c>
      <c r="X24" s="57" t="e">
        <v>#VALUE!</v>
      </c>
      <c r="Y24" s="57" t="e">
        <v>#VALUE!</v>
      </c>
      <c r="Z24" s="57" t="e">
        <v>#VALUE!</v>
      </c>
      <c r="AA24" s="57" t="e">
        <v>#VALUE!</v>
      </c>
      <c r="AB24" s="17"/>
      <c r="AC24" s="4"/>
      <c r="AD24" s="4"/>
      <c r="AE24" s="4"/>
      <c r="AF24" s="4"/>
      <c r="AG24" s="4"/>
      <c r="AH24" s="4"/>
      <c r="AI24" s="72"/>
      <c r="AJ24" s="3"/>
      <c r="AK24" s="3"/>
      <c r="AL24" s="3"/>
      <c r="AM24" s="51">
        <v>45093.666666666672</v>
      </c>
      <c r="AN24" s="31">
        <v>459.17</v>
      </c>
      <c r="AO24" s="51">
        <f ca="1">IFERROR(__xludf.DUMMYFUNCTION("""COMPUTED_VALUE"""),45077.6666666666)</f>
        <v>45077.666666666599</v>
      </c>
      <c r="AP24" s="31">
        <f ca="1">IFERROR(__xludf.DUMMYFUNCTION("""COMPUTED_VALUE"""),444.01)</f>
        <v>444.01</v>
      </c>
      <c r="AQ24" s="51"/>
      <c r="AR24" s="31"/>
      <c r="AS24" s="51"/>
      <c r="AT24" s="31"/>
      <c r="AU24" s="51">
        <f ca="1">IFERROR(__xludf.DUMMYFUNCTION("""COMPUTED_VALUE"""),44925.6666666666)</f>
        <v>44925.666666666599</v>
      </c>
      <c r="AV24" s="31">
        <f ca="1">IFERROR(__xludf.DUMMYFUNCTION("""COMPUTED_VALUE"""),486.49)</f>
        <v>486.49</v>
      </c>
      <c r="AW24" s="6"/>
      <c r="AX24" s="6"/>
      <c r="AY24" s="6"/>
      <c r="AZ24" s="6"/>
      <c r="BA24" s="6"/>
      <c r="BB24" s="6"/>
      <c r="BC24" s="6"/>
      <c r="BD24" s="6"/>
      <c r="BE24" s="6"/>
      <c r="BF24" s="6"/>
      <c r="BG24" s="6"/>
      <c r="BH24" s="6"/>
      <c r="BI24" s="6"/>
      <c r="BJ24" s="6"/>
      <c r="BK24" s="6"/>
      <c r="BL24" s="6"/>
      <c r="BM24" s="6"/>
      <c r="BN24" s="6"/>
      <c r="BO24" s="6"/>
      <c r="BP24" s="6"/>
      <c r="BQ24" s="6"/>
      <c r="BR24" s="6"/>
    </row>
    <row r="25" spans="1:79" ht="13.2" x14ac:dyDescent="0.25">
      <c r="A25" s="47">
        <f t="shared" ref="A25:A28" si="4">A23+1</f>
        <v>11</v>
      </c>
      <c r="B25" s="1" t="s">
        <v>109</v>
      </c>
      <c r="C25" s="470" t="str">
        <f ca="1">IFERROR(__xludf.DUMMYFUNCTION("GoogleFinance(B25,""name"")"),"Raytheon Technologies Corp")</f>
        <v>Raytheon Technologies Corp</v>
      </c>
      <c r="D25" s="49">
        <f ca="1">IFERROR(__xludf.DUMMYFUNCTION("GoogleFinance(B25,""marketcap"")/1000000"),141599.17966)</f>
        <v>141599.17965999999</v>
      </c>
      <c r="E25" s="50" t="s">
        <v>10</v>
      </c>
      <c r="F25" s="50" t="s">
        <v>106</v>
      </c>
      <c r="G25" s="51">
        <v>44946</v>
      </c>
      <c r="H25" s="3">
        <v>0.04</v>
      </c>
      <c r="I25" s="12">
        <f ca="1">N25/$M$44</f>
        <v>2.0443383795397757E-2</v>
      </c>
      <c r="J25" s="52">
        <f ca="1">IFERROR(__xludf.DUMMYFUNCTION("GOOGLEFINANCE(B25)"),96.91)</f>
        <v>96.91</v>
      </c>
      <c r="K25" s="53">
        <v>93.7</v>
      </c>
      <c r="L25" s="54">
        <f>2000/93.7</f>
        <v>21.34471718249733</v>
      </c>
      <c r="M25" s="55">
        <f>L25*K25</f>
        <v>2000</v>
      </c>
      <c r="N25" s="56">
        <f ca="1">J25*L25</f>
        <v>2068.5165421558163</v>
      </c>
      <c r="O25" s="56">
        <f ca="1">N25-M25</f>
        <v>68.516542155816296</v>
      </c>
      <c r="P25" s="57">
        <f ca="1">J25/K25-1</f>
        <v>3.4258271077908242E-2</v>
      </c>
      <c r="Q25" s="58">
        <f ca="1">TODAY()-G25</f>
        <v>158</v>
      </c>
      <c r="R25" s="59">
        <v>84.75</v>
      </c>
      <c r="S25" s="57">
        <f ca="1">R25/J25-1</f>
        <v>-0.12547724693014128</v>
      </c>
      <c r="T25" s="50">
        <v>120</v>
      </c>
      <c r="U25" s="60">
        <f ca="1">T25/J25-1</f>
        <v>0.23826230523165837</v>
      </c>
      <c r="V25" s="10">
        <v>4.0000000000000002E-4</v>
      </c>
      <c r="W25" s="57">
        <v>-8.491917331696297E-3</v>
      </c>
      <c r="X25" s="57">
        <v>5.1769047102235621E-2</v>
      </c>
      <c r="Y25" s="57">
        <v>0</v>
      </c>
      <c r="Z25" s="57">
        <v>-2.7593818984547491E-2</v>
      </c>
      <c r="AA25" s="57">
        <v>-3.9734443123266017E-2</v>
      </c>
      <c r="AB25" s="130" t="s">
        <v>73</v>
      </c>
      <c r="AC25" s="62" t="s">
        <v>75</v>
      </c>
      <c r="AD25" s="62" t="s">
        <v>74</v>
      </c>
      <c r="AE25" s="63" t="s">
        <v>107</v>
      </c>
      <c r="AF25" s="101" t="s">
        <v>85</v>
      </c>
      <c r="AG25" s="63" t="s">
        <v>78</v>
      </c>
      <c r="AH25" s="74"/>
      <c r="AI25" s="75" t="s">
        <v>110</v>
      </c>
      <c r="AJ25" s="3"/>
      <c r="AK25" s="3"/>
      <c r="AL25" s="3"/>
      <c r="AM25" s="3" t="str">
        <f ca="1">IFERROR(__xludf.DUMMYFUNCTION("GoogleFinance(B25,""price"",DATE(2023,6,16))"),"Loading...")</f>
        <v>Loading...</v>
      </c>
      <c r="AN25" s="31" t="s">
        <v>6</v>
      </c>
      <c r="AO25" s="3" t="str">
        <f ca="1">IFERROR(__xludf.DUMMYFUNCTION("GoogleFinance(B25,""price"",DATE(2023,5,31))"),"Date")</f>
        <v>Date</v>
      </c>
      <c r="AP25" s="31" t="str">
        <f ca="1">IFERROR(__xludf.DUMMYFUNCTION("""COMPUTED_VALUE"""),"Close")</f>
        <v>Close</v>
      </c>
      <c r="AQ25" s="3" t="str">
        <f ca="1">IFERROR(__xludf.DUMMYFUNCTION("GoogleFinance(B25,""price"",today()-91)"),"#N/A")</f>
        <v>#N/A</v>
      </c>
      <c r="AR25" s="31"/>
      <c r="AS25" s="3" t="str">
        <f ca="1">IFERROR(__xludf.DUMMYFUNCTION("GoogleFinance(B25,""price"",today()-182)"),"#N/A")</f>
        <v>#N/A</v>
      </c>
      <c r="AT25" s="31"/>
      <c r="AU25" s="3" t="str">
        <f ca="1">IFERROR(__xludf.DUMMYFUNCTION("GoogleFinance(B25,""price"",DATE(2022,12,30))"),"Date")</f>
        <v>Date</v>
      </c>
      <c r="AV25" s="31" t="str">
        <f ca="1">IFERROR(__xludf.DUMMYFUNCTION("""COMPUTED_VALUE"""),"Close")</f>
        <v>Close</v>
      </c>
      <c r="AW25" s="6"/>
      <c r="AX25" s="6"/>
      <c r="AY25" s="6"/>
      <c r="AZ25" s="6"/>
      <c r="BA25" s="6"/>
      <c r="BB25" s="6"/>
      <c r="BC25" s="6"/>
      <c r="BD25" s="6"/>
      <c r="BE25" s="6"/>
      <c r="BF25" s="6"/>
      <c r="BG25" s="6"/>
      <c r="BH25" s="6"/>
      <c r="BI25" s="6"/>
      <c r="BJ25" s="6"/>
      <c r="BK25" s="6"/>
      <c r="BL25" s="6"/>
      <c r="BM25" s="6"/>
      <c r="BN25" s="6"/>
      <c r="BO25" s="6"/>
      <c r="BP25" s="6"/>
      <c r="BQ25" s="6"/>
      <c r="BR25" s="6"/>
    </row>
    <row r="26" spans="1:79" ht="13.2" hidden="1" x14ac:dyDescent="0.25">
      <c r="A26" s="47">
        <f t="shared" si="4"/>
        <v>1</v>
      </c>
      <c r="B26" s="1"/>
      <c r="C26" s="48"/>
      <c r="D26" s="49"/>
      <c r="E26" s="50"/>
      <c r="F26" s="50"/>
      <c r="G26" s="51"/>
      <c r="H26" s="3"/>
      <c r="I26" s="67"/>
      <c r="J26" s="52"/>
      <c r="K26" s="53"/>
      <c r="L26" s="50"/>
      <c r="M26" s="50"/>
      <c r="N26" s="68"/>
      <c r="O26" s="76"/>
      <c r="P26" s="77"/>
      <c r="Q26" s="70"/>
      <c r="R26" s="71"/>
      <c r="S26" s="57"/>
      <c r="T26" s="57"/>
      <c r="U26" s="60"/>
      <c r="V26" s="10" t="e">
        <v>#N/A</v>
      </c>
      <c r="W26" s="57" t="e">
        <v>#VALUE!</v>
      </c>
      <c r="X26" s="57" t="e">
        <v>#VALUE!</v>
      </c>
      <c r="Y26" s="57" t="e">
        <v>#VALUE!</v>
      </c>
      <c r="Z26" s="57" t="e">
        <v>#VALUE!</v>
      </c>
      <c r="AA26" s="57" t="e">
        <v>#VALUE!</v>
      </c>
      <c r="AB26" s="17"/>
      <c r="AC26" s="4"/>
      <c r="AD26" s="4"/>
      <c r="AE26" s="4"/>
      <c r="AF26" s="4"/>
      <c r="AG26" s="4"/>
      <c r="AH26" s="4"/>
      <c r="AI26" s="72"/>
      <c r="AJ26" s="3"/>
      <c r="AK26" s="3"/>
      <c r="AL26" s="3"/>
      <c r="AM26" s="51">
        <v>45093.666666666672</v>
      </c>
      <c r="AN26" s="31">
        <v>97.74</v>
      </c>
      <c r="AO26" s="51">
        <f ca="1">IFERROR(__xludf.DUMMYFUNCTION("""COMPUTED_VALUE"""),45077.6666666666)</f>
        <v>45077.666666666599</v>
      </c>
      <c r="AP26" s="31">
        <f ca="1">IFERROR(__xludf.DUMMYFUNCTION("""COMPUTED_VALUE"""),92.14)</f>
        <v>92.14</v>
      </c>
      <c r="AQ26" s="51"/>
      <c r="AR26" s="31"/>
      <c r="AS26" s="51"/>
      <c r="AT26" s="31"/>
      <c r="AU26" s="51">
        <f ca="1">IFERROR(__xludf.DUMMYFUNCTION("""COMPUTED_VALUE"""),44925.6666666666)</f>
        <v>44925.666666666599</v>
      </c>
      <c r="AV26" s="31">
        <f ca="1">IFERROR(__xludf.DUMMYFUNCTION("""COMPUTED_VALUE"""),100.92)</f>
        <v>100.92</v>
      </c>
      <c r="AW26" s="6"/>
      <c r="AX26" s="6"/>
      <c r="AY26" s="6"/>
      <c r="AZ26" s="6"/>
      <c r="BA26" s="6"/>
      <c r="BB26" s="6"/>
      <c r="BC26" s="6"/>
      <c r="BD26" s="6"/>
      <c r="BE26" s="6"/>
      <c r="BF26" s="6"/>
      <c r="BG26" s="6"/>
      <c r="BH26" s="6"/>
      <c r="BI26" s="6"/>
      <c r="BJ26" s="6"/>
      <c r="BK26" s="6"/>
      <c r="BL26" s="6"/>
      <c r="BM26" s="6"/>
      <c r="BN26" s="6"/>
      <c r="BO26" s="6"/>
      <c r="BP26" s="6"/>
      <c r="BQ26" s="6"/>
      <c r="BR26" s="6"/>
    </row>
    <row r="27" spans="1:79" ht="13.2" x14ac:dyDescent="0.25">
      <c r="A27" s="47">
        <f t="shared" si="4"/>
        <v>12</v>
      </c>
      <c r="B27" s="1" t="s">
        <v>111</v>
      </c>
      <c r="C27" s="470" t="str">
        <f ca="1">IFERROR(__xludf.DUMMYFUNCTION("GoogleFinance(B27,""name"")"),"Pioneer Natural Resources Co")</f>
        <v>Pioneer Natural Resources Co</v>
      </c>
      <c r="D27" s="49">
        <f ca="1">IFERROR(__xludf.DUMMYFUNCTION("GoogleFinance(B27,""marketcap"")/1000000"),46433.895285)</f>
        <v>46433.895284999999</v>
      </c>
      <c r="E27" s="50" t="s">
        <v>14</v>
      </c>
      <c r="F27" s="50" t="s">
        <v>112</v>
      </c>
      <c r="G27" s="131">
        <v>45093</v>
      </c>
      <c r="H27" s="3">
        <v>0.03</v>
      </c>
      <c r="I27" s="12">
        <f ca="1">N27/$M$44</f>
        <v>3.3652437113898308E-2</v>
      </c>
      <c r="J27" s="52">
        <f ca="1">IFERROR(__xludf.DUMMYFUNCTION("GOOGLEFINANCE(B27)"),198.66)</f>
        <v>198.66</v>
      </c>
      <c r="K27" s="53">
        <v>204.2</v>
      </c>
      <c r="L27" s="54">
        <f>3500/204.2</f>
        <v>17.140058765915771</v>
      </c>
      <c r="M27" s="55">
        <f>L27*K27</f>
        <v>3500.0000000000005</v>
      </c>
      <c r="N27" s="56">
        <f ca="1">J27*L27</f>
        <v>3405.044074436827</v>
      </c>
      <c r="O27" s="56">
        <f ca="1">N27-M27</f>
        <v>-94.955925563173423</v>
      </c>
      <c r="P27" s="57">
        <f ca="1">J27/K27-1</f>
        <v>-2.7130264446620922E-2</v>
      </c>
      <c r="Q27" s="58">
        <f ca="1">TODAY()-G27</f>
        <v>11</v>
      </c>
      <c r="R27" s="59">
        <v>175</v>
      </c>
      <c r="S27" s="57">
        <f ca="1">R27/J27-1</f>
        <v>-0.11909795630725861</v>
      </c>
      <c r="T27" s="50">
        <v>280</v>
      </c>
      <c r="U27" s="60">
        <f ca="1">T27/J27-1</f>
        <v>0.40944326990838631</v>
      </c>
      <c r="V27" s="10">
        <v>0</v>
      </c>
      <c r="W27" s="57">
        <v>-3.9361702127659659E-2</v>
      </c>
      <c r="X27" s="57">
        <v>-3.9109506618532075E-3</v>
      </c>
      <c r="Y27" s="57">
        <v>2.1808455920172776E-2</v>
      </c>
      <c r="Z27" s="57">
        <v>-0.14196864337234916</v>
      </c>
      <c r="AA27" s="57">
        <v>-0.13017207408380393</v>
      </c>
      <c r="AB27" s="130" t="s">
        <v>73</v>
      </c>
      <c r="AC27" s="62" t="s">
        <v>75</v>
      </c>
      <c r="AD27" s="62" t="s">
        <v>74</v>
      </c>
      <c r="AE27" s="63" t="s">
        <v>107</v>
      </c>
      <c r="AF27" s="101" t="s">
        <v>85</v>
      </c>
      <c r="AG27" s="63" t="s">
        <v>78</v>
      </c>
      <c r="AH27" s="74"/>
      <c r="AI27" s="75" t="s">
        <v>110</v>
      </c>
      <c r="AJ27" s="3"/>
      <c r="AK27" s="3"/>
      <c r="AL27" s="3"/>
      <c r="AM27" s="3" t="str">
        <f ca="1">IFERROR(__xludf.DUMMYFUNCTION("GoogleFinance(B27,""price"",DATE(2023,6,16))"),"Loading...")</f>
        <v>Loading...</v>
      </c>
      <c r="AN27" s="31" t="s">
        <v>6</v>
      </c>
      <c r="AO27" s="3" t="str">
        <f ca="1">IFERROR(__xludf.DUMMYFUNCTION("GoogleFinance(B27,""price"",DATE(2023,5,31))"),"Date")</f>
        <v>Date</v>
      </c>
      <c r="AP27" s="31" t="str">
        <f ca="1">IFERROR(__xludf.DUMMYFUNCTION("""COMPUTED_VALUE"""),"Close")</f>
        <v>Close</v>
      </c>
      <c r="AQ27" s="3" t="str">
        <f ca="1">IFERROR(__xludf.DUMMYFUNCTION("GoogleFinance(B27,""price"",today()-91)"),"#N/A")</f>
        <v>#N/A</v>
      </c>
      <c r="AR27" s="31"/>
      <c r="AS27" s="3" t="str">
        <f ca="1">IFERROR(__xludf.DUMMYFUNCTION("GoogleFinance(B27,""price"",today()-182)"),"#N/A")</f>
        <v>#N/A</v>
      </c>
      <c r="AT27" s="31"/>
      <c r="AU27" s="3" t="str">
        <f ca="1">IFERROR(__xludf.DUMMYFUNCTION("GoogleFinance(B27,""price"",DATE(2022,12,30))"),"Date")</f>
        <v>Date</v>
      </c>
      <c r="AV27" s="31" t="str">
        <f ca="1">IFERROR(__xludf.DUMMYFUNCTION("""COMPUTED_VALUE"""),"Close")</f>
        <v>Close</v>
      </c>
      <c r="AW27" s="6"/>
      <c r="AX27" s="6"/>
      <c r="AY27" s="6"/>
      <c r="AZ27" s="6"/>
      <c r="BA27" s="6"/>
      <c r="BB27" s="6"/>
      <c r="BC27" s="6"/>
      <c r="BD27" s="6"/>
      <c r="BE27" s="6"/>
      <c r="BF27" s="6"/>
      <c r="BG27" s="6"/>
      <c r="BH27" s="6"/>
      <c r="BI27" s="6"/>
      <c r="BJ27" s="6"/>
      <c r="BK27" s="6"/>
      <c r="BL27" s="6"/>
      <c r="BM27" s="6"/>
      <c r="BN27" s="6"/>
      <c r="BO27" s="6"/>
      <c r="BP27" s="6"/>
      <c r="BQ27" s="6"/>
      <c r="BR27" s="6"/>
    </row>
    <row r="28" spans="1:79" ht="13.2" hidden="1" x14ac:dyDescent="0.25">
      <c r="A28" s="106">
        <f t="shared" si="4"/>
        <v>2</v>
      </c>
      <c r="B28" s="30"/>
      <c r="C28" s="107"/>
      <c r="D28" s="108"/>
      <c r="E28" s="109"/>
      <c r="F28" s="109"/>
      <c r="G28" s="110"/>
      <c r="H28" s="111"/>
      <c r="I28" s="132"/>
      <c r="J28" s="113"/>
      <c r="K28" s="114"/>
      <c r="L28" s="109"/>
      <c r="M28" s="109"/>
      <c r="N28" s="133"/>
      <c r="O28" s="134"/>
      <c r="P28" s="135"/>
      <c r="Q28" s="136"/>
      <c r="R28" s="137"/>
      <c r="S28" s="118"/>
      <c r="T28" s="118"/>
      <c r="U28" s="121"/>
      <c r="V28" s="122" t="e">
        <v>#N/A</v>
      </c>
      <c r="W28" s="118" t="e">
        <v>#VALUE!</v>
      </c>
      <c r="X28" s="118" t="e">
        <v>#VALUE!</v>
      </c>
      <c r="Y28" s="118" t="e">
        <v>#VALUE!</v>
      </c>
      <c r="Z28" s="118" t="e">
        <v>#VALUE!</v>
      </c>
      <c r="AA28" s="118" t="e">
        <v>#VALUE!</v>
      </c>
      <c r="AB28" s="138"/>
      <c r="AC28" s="139"/>
      <c r="AD28" s="139"/>
      <c r="AE28" s="139"/>
      <c r="AF28" s="139"/>
      <c r="AG28" s="139"/>
      <c r="AH28" s="139"/>
      <c r="AI28" s="140"/>
      <c r="AJ28" s="111"/>
      <c r="AK28" s="111"/>
      <c r="AL28" s="111"/>
      <c r="AM28" s="110">
        <v>45093.666666666672</v>
      </c>
      <c r="AN28" s="128">
        <v>206.8</v>
      </c>
      <c r="AO28" s="110">
        <f ca="1">IFERROR(__xludf.DUMMYFUNCTION("""COMPUTED_VALUE"""),45077.6666666666)</f>
        <v>45077.666666666599</v>
      </c>
      <c r="AP28" s="128">
        <f ca="1">IFERROR(__xludf.DUMMYFUNCTION("""COMPUTED_VALUE"""),199.44)</f>
        <v>199.44</v>
      </c>
      <c r="AQ28" s="110"/>
      <c r="AR28" s="128"/>
      <c r="AS28" s="110"/>
      <c r="AT28" s="128"/>
      <c r="AU28" s="110">
        <f ca="1">IFERROR(__xludf.DUMMYFUNCTION("""COMPUTED_VALUE"""),44925.6666666666)</f>
        <v>44925.666666666599</v>
      </c>
      <c r="AV28" s="128">
        <f ca="1">IFERROR(__xludf.DUMMYFUNCTION("""COMPUTED_VALUE"""),228.39)</f>
        <v>228.39</v>
      </c>
      <c r="AW28" s="82"/>
      <c r="AX28" s="82"/>
      <c r="AY28" s="82"/>
      <c r="AZ28" s="82"/>
      <c r="BA28" s="82"/>
      <c r="BB28" s="82"/>
      <c r="BC28" s="82"/>
      <c r="BD28" s="82"/>
      <c r="BE28" s="82"/>
      <c r="BF28" s="82"/>
      <c r="BG28" s="82"/>
      <c r="BH28" s="82"/>
      <c r="BI28" s="82"/>
      <c r="BJ28" s="82"/>
      <c r="BK28" s="82"/>
      <c r="BL28" s="82"/>
      <c r="BM28" s="82"/>
      <c r="BN28" s="82"/>
      <c r="BO28" s="82"/>
      <c r="BP28" s="82"/>
      <c r="BQ28" s="82"/>
      <c r="BR28" s="82"/>
      <c r="BS28" s="129"/>
      <c r="BT28" s="129"/>
      <c r="BU28" s="129"/>
      <c r="BV28" s="129"/>
      <c r="BW28" s="129"/>
      <c r="BX28" s="129"/>
      <c r="BY28" s="129"/>
      <c r="BZ28" s="129"/>
      <c r="CA28" s="129"/>
    </row>
    <row r="29" spans="1:79" ht="13.2" x14ac:dyDescent="0.25">
      <c r="A29" s="47">
        <f t="shared" ref="A29:A30" si="5">A25+1</f>
        <v>12</v>
      </c>
      <c r="B29" s="1" t="s">
        <v>24</v>
      </c>
      <c r="C29" s="470" t="str">
        <f ca="1">IFERROR(__xludf.DUMMYFUNCTION("GoogleFinance(B29,""name"")"),"VanEck Gold Miners ETF")</f>
        <v>VanEck Gold Miners ETF</v>
      </c>
      <c r="D29" s="49" t="str">
        <f ca="1">IFERROR(__xludf.DUMMYFUNCTION("GoogleFinance(B29,""marketcap"")/1000000"),"#N/A")</f>
        <v>#N/A</v>
      </c>
      <c r="E29" s="50" t="s">
        <v>11</v>
      </c>
      <c r="F29" s="50" t="s">
        <v>31</v>
      </c>
      <c r="G29" s="51">
        <v>45064</v>
      </c>
      <c r="H29" s="3">
        <v>1.4999999999999999E-2</v>
      </c>
      <c r="I29" s="12">
        <f ca="1">N29/$M$44</f>
        <v>5.9946947611862859E-2</v>
      </c>
      <c r="J29" s="52">
        <f ca="1">IFERROR(__xludf.DUMMYFUNCTION("GOOGLEFINANCE(B29)"),29.79)</f>
        <v>29.79</v>
      </c>
      <c r="K29" s="53">
        <f>M29/L29</f>
        <v>31.432374216363929</v>
      </c>
      <c r="L29" s="54">
        <f>1600/31.6+1600/30.94+3200/31.6</f>
        <v>203.61172706667867</v>
      </c>
      <c r="M29" s="55">
        <v>6400</v>
      </c>
      <c r="N29" s="56">
        <f ca="1">J29*L29</f>
        <v>6065.5933493163575</v>
      </c>
      <c r="O29" s="56">
        <f ca="1">N29-M29</f>
        <v>-334.40665068364251</v>
      </c>
      <c r="P29" s="57">
        <f ca="1">J29/K29-1</f>
        <v>-5.2251039169319169E-2</v>
      </c>
      <c r="Q29" s="58">
        <f ca="1">TODAY()-G29</f>
        <v>40</v>
      </c>
      <c r="R29" s="59">
        <v>27</v>
      </c>
      <c r="S29" s="57">
        <f ca="1">R29/J29-1</f>
        <v>-9.3655589123867067E-2</v>
      </c>
      <c r="T29" s="50">
        <v>40</v>
      </c>
      <c r="U29" s="60">
        <f ca="1">T29/J29-1</f>
        <v>0.34273246055723394</v>
      </c>
      <c r="V29" s="10">
        <v>0</v>
      </c>
      <c r="W29" s="57">
        <v>-5.097164702134438E-2</v>
      </c>
      <c r="X29" s="57">
        <v>-3.6234228405046975E-2</v>
      </c>
      <c r="Y29" s="57">
        <v>-5.488578680203049E-2</v>
      </c>
      <c r="Z29" s="57">
        <v>6.4189189189187701E-3</v>
      </c>
      <c r="AA29" s="57">
        <v>3.9427773900907237E-2</v>
      </c>
      <c r="AB29" s="130" t="s">
        <v>73</v>
      </c>
      <c r="AC29" s="62" t="s">
        <v>75</v>
      </c>
      <c r="AD29" s="62" t="s">
        <v>74</v>
      </c>
      <c r="AE29" s="63" t="s">
        <v>107</v>
      </c>
      <c r="AF29" s="101" t="s">
        <v>85</v>
      </c>
      <c r="AG29" s="63" t="s">
        <v>78</v>
      </c>
      <c r="AH29" s="74"/>
      <c r="AI29" s="75" t="s">
        <v>110</v>
      </c>
      <c r="AJ29" s="3"/>
      <c r="AK29" s="3"/>
      <c r="AL29" s="3"/>
      <c r="AM29" s="3" t="str">
        <f ca="1">IFERROR(__xludf.DUMMYFUNCTION("GoogleFinance(B29,""price"",DATE(2023,6,16))"),"Loading...")</f>
        <v>Loading...</v>
      </c>
      <c r="AN29" s="31" t="s">
        <v>6</v>
      </c>
      <c r="AO29" s="3" t="str">
        <f ca="1">IFERROR(__xludf.DUMMYFUNCTION("GoogleFinance(B29,""price"",DATE(2023,5,31))"),"Date")</f>
        <v>Date</v>
      </c>
      <c r="AP29" s="31" t="str">
        <f ca="1">IFERROR(__xludf.DUMMYFUNCTION("""COMPUTED_VALUE"""),"Close")</f>
        <v>Close</v>
      </c>
      <c r="AQ29" s="3" t="str">
        <f ca="1">IFERROR(__xludf.DUMMYFUNCTION("GoogleFinance(B29,""price"",today()-91)"),"#N/A")</f>
        <v>#N/A</v>
      </c>
      <c r="AR29" s="31"/>
      <c r="AS29" s="3" t="str">
        <f ca="1">IFERROR(__xludf.DUMMYFUNCTION("GoogleFinance(B29,""price"",today()-182)"),"#N/A")</f>
        <v>#N/A</v>
      </c>
      <c r="AT29" s="31"/>
      <c r="AU29" s="3" t="str">
        <f ca="1">IFERROR(__xludf.DUMMYFUNCTION("GoogleFinance(B29,""price"",DATE(2022,12,30))"),"Date")</f>
        <v>Date</v>
      </c>
      <c r="AV29" s="31" t="str">
        <f ca="1">IFERROR(__xludf.DUMMYFUNCTION("""COMPUTED_VALUE"""),"Close")</f>
        <v>Close</v>
      </c>
      <c r="AW29" s="6"/>
      <c r="AX29" s="6"/>
      <c r="AY29" s="6"/>
      <c r="AZ29" s="6"/>
      <c r="BA29" s="6"/>
      <c r="BB29" s="6"/>
      <c r="BC29" s="6"/>
      <c r="BD29" s="6"/>
      <c r="BE29" s="6"/>
      <c r="BF29" s="6"/>
      <c r="BG29" s="6"/>
      <c r="BH29" s="6"/>
      <c r="BI29" s="6"/>
      <c r="BJ29" s="6"/>
      <c r="BK29" s="6"/>
      <c r="BL29" s="6"/>
      <c r="BM29" s="6"/>
      <c r="BN29" s="6"/>
      <c r="BO29" s="6"/>
      <c r="BP29" s="6"/>
      <c r="BQ29" s="6"/>
      <c r="BR29" s="6"/>
    </row>
    <row r="30" spans="1:79" ht="13.2" hidden="1" x14ac:dyDescent="0.25">
      <c r="A30" s="47">
        <f t="shared" si="5"/>
        <v>2</v>
      </c>
      <c r="B30" s="1"/>
      <c r="C30" s="48"/>
      <c r="D30" s="49"/>
      <c r="E30" s="50"/>
      <c r="F30" s="50"/>
      <c r="G30" s="51"/>
      <c r="H30" s="3"/>
      <c r="I30" s="67"/>
      <c r="J30" s="52"/>
      <c r="K30" s="53"/>
      <c r="L30" s="50"/>
      <c r="M30" s="50"/>
      <c r="N30" s="68"/>
      <c r="O30" s="76"/>
      <c r="P30" s="77"/>
      <c r="Q30" s="70"/>
      <c r="R30" s="71"/>
      <c r="S30" s="57"/>
      <c r="T30" s="57"/>
      <c r="U30" s="60"/>
      <c r="V30" s="10" t="e">
        <v>#N/A</v>
      </c>
      <c r="W30" s="57" t="e">
        <v>#VALUE!</v>
      </c>
      <c r="X30" s="57" t="e">
        <v>#VALUE!</v>
      </c>
      <c r="Y30" s="57" t="e">
        <v>#VALUE!</v>
      </c>
      <c r="Z30" s="57" t="e">
        <v>#VALUE!</v>
      </c>
      <c r="AA30" s="57" t="e">
        <v>#VALUE!</v>
      </c>
      <c r="AB30" s="17"/>
      <c r="AC30" s="4"/>
      <c r="AD30" s="4"/>
      <c r="AE30" s="4"/>
      <c r="AF30" s="4"/>
      <c r="AG30" s="4"/>
      <c r="AH30" s="4"/>
      <c r="AI30" s="72"/>
      <c r="AJ30" s="3"/>
      <c r="AK30" s="3"/>
      <c r="AL30" s="3"/>
      <c r="AM30" s="51">
        <v>45093.666666666672</v>
      </c>
      <c r="AN30" s="31">
        <v>31.39</v>
      </c>
      <c r="AO30" s="51">
        <f ca="1">IFERROR(__xludf.DUMMYFUNCTION("""COMPUTED_VALUE"""),45077.6666666666)</f>
        <v>45077.666666666599</v>
      </c>
      <c r="AP30" s="31">
        <f ca="1">IFERROR(__xludf.DUMMYFUNCTION("""COMPUTED_VALUE"""),30.91)</f>
        <v>30.91</v>
      </c>
      <c r="AQ30" s="51"/>
      <c r="AR30" s="31"/>
      <c r="AS30" s="51"/>
      <c r="AT30" s="31"/>
      <c r="AU30" s="51">
        <f ca="1">IFERROR(__xludf.DUMMYFUNCTION("""COMPUTED_VALUE"""),44925.6666666666)</f>
        <v>44925.666666666599</v>
      </c>
      <c r="AV30" s="31">
        <f ca="1">IFERROR(__xludf.DUMMYFUNCTION("""COMPUTED_VALUE"""),28.66)</f>
        <v>28.66</v>
      </c>
      <c r="AW30" s="6"/>
      <c r="AX30" s="6"/>
      <c r="AY30" s="6"/>
      <c r="AZ30" s="6"/>
      <c r="BA30" s="6"/>
      <c r="BB30" s="6"/>
      <c r="BC30" s="6"/>
      <c r="BD30" s="6"/>
      <c r="BE30" s="6"/>
      <c r="BF30" s="6"/>
      <c r="BG30" s="6"/>
      <c r="BH30" s="6"/>
      <c r="BI30" s="6"/>
      <c r="BJ30" s="6"/>
      <c r="BK30" s="6"/>
      <c r="BL30" s="6"/>
      <c r="BM30" s="6"/>
      <c r="BN30" s="6"/>
      <c r="BO30" s="6"/>
      <c r="BP30" s="6"/>
      <c r="BQ30" s="6"/>
      <c r="BR30" s="6"/>
    </row>
    <row r="31" spans="1:79" ht="13.2" x14ac:dyDescent="0.25">
      <c r="A31" s="47">
        <f t="shared" ref="A31:A33" si="6">A29+1</f>
        <v>13</v>
      </c>
      <c r="B31" s="1" t="s">
        <v>26</v>
      </c>
      <c r="C31" s="470" t="str">
        <f ca="1">IFERROR(__xludf.DUMMYFUNCTION("GoogleFinance(B31,""name"")"),"Global X Silver Miners ETF")</f>
        <v>Global X Silver Miners ETF</v>
      </c>
      <c r="D31" s="49" t="str">
        <f ca="1">IFERROR(__xludf.DUMMYFUNCTION("GoogleFinance(B31,""marketcap"")/1000000"),"#N/A")</f>
        <v>#N/A</v>
      </c>
      <c r="E31" s="50" t="s">
        <v>11</v>
      </c>
      <c r="F31" s="50" t="s">
        <v>33</v>
      </c>
      <c r="G31" s="51">
        <v>45079</v>
      </c>
      <c r="H31" s="3">
        <v>0.03</v>
      </c>
      <c r="I31" s="12">
        <f ca="1">N31/$M$44</f>
        <v>2.7479352579748987E-2</v>
      </c>
      <c r="J31" s="52">
        <f ca="1">IFERROR(__xludf.DUMMYFUNCTION("GOOGLEFINANCE(B31)"),25.58)</f>
        <v>25.58</v>
      </c>
      <c r="K31" s="53">
        <v>27.6</v>
      </c>
      <c r="L31" s="54">
        <f>3000/K31</f>
        <v>108.69565217391303</v>
      </c>
      <c r="M31" s="55">
        <v>3000</v>
      </c>
      <c r="N31" s="56">
        <f ca="1">J31*L31</f>
        <v>2780.4347826086951</v>
      </c>
      <c r="O31" s="56">
        <f ca="1">N31-M31</f>
        <v>-219.56521739130494</v>
      </c>
      <c r="P31" s="57">
        <f ca="1">J31/K31-1</f>
        <v>-7.3188405797101508E-2</v>
      </c>
      <c r="Q31" s="58">
        <f ca="1">TODAY()-G31</f>
        <v>25</v>
      </c>
      <c r="R31" s="59">
        <v>24</v>
      </c>
      <c r="S31" s="57">
        <f ca="1">R31/J31-1</f>
        <v>-6.1767005473025716E-2</v>
      </c>
      <c r="T31" s="50">
        <v>42</v>
      </c>
      <c r="U31" s="60">
        <f ca="1">T31/J31-1</f>
        <v>0.64190774042220489</v>
      </c>
      <c r="V31" s="10">
        <v>0</v>
      </c>
      <c r="W31" s="57">
        <v>-5.4693274205469322E-2</v>
      </c>
      <c r="X31" s="57">
        <v>-5.1538746755654508E-2</v>
      </c>
      <c r="Y31" s="57">
        <v>-0.1328813559322034</v>
      </c>
      <c r="Z31" s="57">
        <v>-0.13022781366882019</v>
      </c>
      <c r="AA31" s="57">
        <v>-9.1941782037628816E-2</v>
      </c>
      <c r="AB31" s="130" t="s">
        <v>73</v>
      </c>
      <c r="AC31" s="62" t="s">
        <v>75</v>
      </c>
      <c r="AD31" s="62" t="s">
        <v>74</v>
      </c>
      <c r="AE31" s="63" t="s">
        <v>107</v>
      </c>
      <c r="AF31" s="101" t="s">
        <v>85</v>
      </c>
      <c r="AG31" s="63" t="s">
        <v>78</v>
      </c>
      <c r="AH31" s="74"/>
      <c r="AI31" s="75" t="s">
        <v>110</v>
      </c>
      <c r="AJ31" s="3"/>
      <c r="AK31" s="3"/>
      <c r="AL31" s="3"/>
      <c r="AM31" s="3" t="str">
        <f ca="1">IFERROR(__xludf.DUMMYFUNCTION("GoogleFinance(B31,""price"",DATE(2023,6,16))"),"Loading...")</f>
        <v>Loading...</v>
      </c>
      <c r="AN31" s="31" t="s">
        <v>6</v>
      </c>
      <c r="AO31" s="3" t="str">
        <f ca="1">IFERROR(__xludf.DUMMYFUNCTION("GoogleFinance(B31,""price"",DATE(2023,5,31))"),"Date")</f>
        <v>Date</v>
      </c>
      <c r="AP31" s="31" t="str">
        <f ca="1">IFERROR(__xludf.DUMMYFUNCTION("""COMPUTED_VALUE"""),"Close")</f>
        <v>Close</v>
      </c>
      <c r="AQ31" s="3" t="str">
        <f ca="1">IFERROR(__xludf.DUMMYFUNCTION("GoogleFinance(B31,""price"",today()-91)"),"#N/A")</f>
        <v>#N/A</v>
      </c>
      <c r="AR31" s="31"/>
      <c r="AS31" s="3" t="str">
        <f ca="1">IFERROR(__xludf.DUMMYFUNCTION("GoogleFinance(B31,""price"",today()-182)"),"#N/A")</f>
        <v>#N/A</v>
      </c>
      <c r="AT31" s="31"/>
      <c r="AU31" s="3" t="str">
        <f ca="1">IFERROR(__xludf.DUMMYFUNCTION("GoogleFinance(B31,""price"",DATE(2022,12,30))"),"Date")</f>
        <v>Date</v>
      </c>
      <c r="AV31" s="31" t="str">
        <f ca="1">IFERROR(__xludf.DUMMYFUNCTION("""COMPUTED_VALUE"""),"Close")</f>
        <v>Close</v>
      </c>
      <c r="AW31" s="6"/>
      <c r="AX31" s="6"/>
      <c r="AY31" s="6"/>
      <c r="AZ31" s="6"/>
      <c r="BA31" s="6"/>
      <c r="BB31" s="6"/>
      <c r="BC31" s="6"/>
      <c r="BD31" s="6"/>
      <c r="BE31" s="6"/>
      <c r="BF31" s="6"/>
      <c r="BG31" s="6"/>
      <c r="BH31" s="6"/>
      <c r="BI31" s="6"/>
      <c r="BJ31" s="6"/>
      <c r="BK31" s="6"/>
      <c r="BL31" s="6"/>
      <c r="BM31" s="6"/>
      <c r="BN31" s="6"/>
      <c r="BO31" s="6"/>
      <c r="BP31" s="6"/>
      <c r="BQ31" s="6"/>
      <c r="BR31" s="6"/>
    </row>
    <row r="32" spans="1:79" ht="13.2" hidden="1" x14ac:dyDescent="0.25">
      <c r="A32" s="47">
        <f t="shared" si="6"/>
        <v>3</v>
      </c>
      <c r="B32" s="1"/>
      <c r="C32" s="48"/>
      <c r="D32" s="49"/>
      <c r="E32" s="50"/>
      <c r="F32" s="50"/>
      <c r="G32" s="51"/>
      <c r="H32" s="3"/>
      <c r="I32" s="67"/>
      <c r="J32" s="52"/>
      <c r="K32" s="53"/>
      <c r="L32" s="50"/>
      <c r="M32" s="50"/>
      <c r="N32" s="68"/>
      <c r="O32" s="76"/>
      <c r="P32" s="77"/>
      <c r="Q32" s="70"/>
      <c r="R32" s="71"/>
      <c r="S32" s="57"/>
      <c r="T32" s="57"/>
      <c r="U32" s="60"/>
      <c r="V32" s="10" t="e">
        <v>#N/A</v>
      </c>
      <c r="W32" s="57" t="e">
        <v>#VALUE!</v>
      </c>
      <c r="X32" s="57" t="e">
        <v>#VALUE!</v>
      </c>
      <c r="Y32" s="57" t="e">
        <v>#VALUE!</v>
      </c>
      <c r="Z32" s="57" t="e">
        <v>#VALUE!</v>
      </c>
      <c r="AA32" s="57" t="e">
        <v>#VALUE!</v>
      </c>
      <c r="AB32" s="17"/>
      <c r="AC32" s="4"/>
      <c r="AD32" s="4"/>
      <c r="AE32" s="4"/>
      <c r="AF32" s="4"/>
      <c r="AG32" s="4"/>
      <c r="AH32" s="4"/>
      <c r="AI32" s="72"/>
      <c r="AJ32" s="3"/>
      <c r="AK32" s="3"/>
      <c r="AL32" s="3"/>
      <c r="AM32" s="51">
        <v>45093.666666666672</v>
      </c>
      <c r="AN32" s="31">
        <v>27.06</v>
      </c>
      <c r="AO32" s="51">
        <f ca="1">IFERROR(__xludf.DUMMYFUNCTION("""COMPUTED_VALUE"""),45077.6666666666)</f>
        <v>45077.666666666599</v>
      </c>
      <c r="AP32" s="31">
        <f ca="1">IFERROR(__xludf.DUMMYFUNCTION("""COMPUTED_VALUE"""),26.97)</f>
        <v>26.97</v>
      </c>
      <c r="AQ32" s="51"/>
      <c r="AR32" s="31"/>
      <c r="AS32" s="51"/>
      <c r="AT32" s="31"/>
      <c r="AU32" s="51">
        <f ca="1">IFERROR(__xludf.DUMMYFUNCTION("""COMPUTED_VALUE"""),44925.6666666666)</f>
        <v>44925.666666666599</v>
      </c>
      <c r="AV32" s="31">
        <f ca="1">IFERROR(__xludf.DUMMYFUNCTION("""COMPUTED_VALUE"""),28.17)</f>
        <v>28.17</v>
      </c>
      <c r="AW32" s="6"/>
      <c r="AX32" s="6"/>
      <c r="AY32" s="6"/>
      <c r="AZ32" s="6"/>
      <c r="BA32" s="6"/>
      <c r="BB32" s="6"/>
      <c r="BC32" s="6"/>
      <c r="BD32" s="6"/>
      <c r="BE32" s="6"/>
      <c r="BF32" s="6"/>
      <c r="BG32" s="6"/>
      <c r="BH32" s="6"/>
      <c r="BI32" s="6"/>
      <c r="BJ32" s="6"/>
      <c r="BK32" s="6"/>
      <c r="BL32" s="6"/>
      <c r="BM32" s="6"/>
      <c r="BN32" s="6"/>
      <c r="BO32" s="6"/>
      <c r="BP32" s="6"/>
      <c r="BQ32" s="6"/>
      <c r="BR32" s="6"/>
    </row>
    <row r="33" spans="1:79" ht="13.2" x14ac:dyDescent="0.25">
      <c r="A33" s="47">
        <f t="shared" si="6"/>
        <v>14</v>
      </c>
      <c r="B33" s="22" t="s">
        <v>28</v>
      </c>
      <c r="C33" s="472" t="str">
        <f ca="1">IFERROR(__xludf.DUMMYFUNCTION("GoogleFinance(B33,""name"")"),"iShares 7-10 Year Treasury Bond ETF")</f>
        <v>iShares 7-10 Year Treasury Bond ETF</v>
      </c>
      <c r="D33" s="142">
        <f ca="1">IFERROR(__xludf.DUMMYFUNCTION("GoogleFinance(B33,""marketcap"")/1000000"),16584.670029)</f>
        <v>16584.670029000001</v>
      </c>
      <c r="E33" s="23" t="s">
        <v>113</v>
      </c>
      <c r="F33" s="23" t="s">
        <v>114</v>
      </c>
      <c r="G33" s="131">
        <v>45008</v>
      </c>
      <c r="H33" s="28">
        <v>4.7E-2</v>
      </c>
      <c r="I33" s="143">
        <f ca="1">N33/$M$44</f>
        <v>4.9292140640045876E-2</v>
      </c>
      <c r="J33" s="144">
        <f ca="1">IFERROR(__xludf.DUMMYFUNCTION("GOOGLEFINANCE(B33)"),97.1)</f>
        <v>97.1</v>
      </c>
      <c r="K33" s="145">
        <v>99.29</v>
      </c>
      <c r="L33" s="54">
        <f>5100/99.29</f>
        <v>51.364689293987304</v>
      </c>
      <c r="M33" s="146">
        <v>5100</v>
      </c>
      <c r="N33" s="146">
        <f ca="1">J33*L33</f>
        <v>4987.5113304461665</v>
      </c>
      <c r="O33" s="147">
        <f ca="1">N33-M33</f>
        <v>-112.48866955383346</v>
      </c>
      <c r="P33" s="148">
        <f ca="1">J33/K33-1</f>
        <v>-2.2056601873300496E-2</v>
      </c>
      <c r="Q33" s="149">
        <f ca="1">TODAY()-G33</f>
        <v>96</v>
      </c>
      <c r="R33" s="23">
        <v>93</v>
      </c>
      <c r="S33" s="150">
        <f ca="1">R33/J33-1</f>
        <v>-4.2224510813594129E-2</v>
      </c>
      <c r="T33" s="23">
        <v>110</v>
      </c>
      <c r="U33" s="151">
        <f ca="1">T33/J33-1</f>
        <v>0.13285272914521129</v>
      </c>
      <c r="V33" s="10">
        <v>0</v>
      </c>
      <c r="W33" s="57">
        <v>2.3743160937337304E-3</v>
      </c>
      <c r="X33" s="57">
        <v>-9.7899245359984732E-3</v>
      </c>
      <c r="Y33" s="57">
        <v>-1.5811879181025779E-2</v>
      </c>
      <c r="Z33" s="57">
        <v>1.2090890139670574E-2</v>
      </c>
      <c r="AA33" s="60">
        <v>1.3781582793902514E-2</v>
      </c>
      <c r="AB33" s="152" t="s">
        <v>73</v>
      </c>
      <c r="AC33" s="62" t="s">
        <v>74</v>
      </c>
      <c r="AD33" s="62" t="s">
        <v>74</v>
      </c>
      <c r="AE33" s="153" t="s">
        <v>115</v>
      </c>
      <c r="AF33" s="63" t="s">
        <v>85</v>
      </c>
      <c r="AG33" s="154" t="s">
        <v>99</v>
      </c>
      <c r="AH33" s="155"/>
      <c r="AI33" s="65" t="s">
        <v>116</v>
      </c>
      <c r="AJ33" s="156"/>
      <c r="AK33" s="156"/>
      <c r="AL33" s="156"/>
      <c r="AM33" s="3" t="str">
        <f ca="1">IFERROR(__xludf.DUMMYFUNCTION("GoogleFinance(B33,""price"",DATE(2023,6,16))"),"#N/A")</f>
        <v>#N/A</v>
      </c>
      <c r="AN33" s="31" t="s">
        <v>6</v>
      </c>
      <c r="AO33" s="3" t="str">
        <f ca="1">IFERROR(__xludf.DUMMYFUNCTION("GoogleFinance(B33,""price"",DATE(2023,5,31))"),"Date")</f>
        <v>Date</v>
      </c>
      <c r="AP33" s="31" t="str">
        <f ca="1">IFERROR(__xludf.DUMMYFUNCTION("""COMPUTED_VALUE"""),"Close")</f>
        <v>Close</v>
      </c>
      <c r="AQ33" s="156" t="str">
        <f ca="1">IFERROR(__xludf.DUMMYFUNCTION("GoogleFinance(B33,""price"",today()-91)"),"#N/A")</f>
        <v>#N/A</v>
      </c>
      <c r="AR33" s="31"/>
      <c r="AS33" s="156" t="str">
        <f ca="1">IFERROR(__xludf.DUMMYFUNCTION("GoogleFinance(B33,""price"",today()-182)"),"#N/A")</f>
        <v>#N/A</v>
      </c>
      <c r="AT33" s="31"/>
      <c r="AU33" s="156" t="str">
        <f ca="1">IFERROR(__xludf.DUMMYFUNCTION("GoogleFinance(B33,""price"",DATE(2022,12,30))"),"Date")</f>
        <v>Date</v>
      </c>
      <c r="AV33" s="31" t="str">
        <f ca="1">IFERROR(__xludf.DUMMYFUNCTION("""COMPUTED_VALUE"""),"Close")</f>
        <v>Close</v>
      </c>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8"/>
      <c r="BT33" s="158"/>
      <c r="BU33" s="158"/>
      <c r="BV33" s="158"/>
      <c r="BW33" s="158"/>
      <c r="BX33" s="158"/>
      <c r="BY33" s="158"/>
      <c r="BZ33" s="158"/>
      <c r="CA33" s="158"/>
    </row>
    <row r="34" spans="1:79" ht="13.2" hidden="1" x14ac:dyDescent="0.25">
      <c r="A34" s="144"/>
      <c r="B34" s="157"/>
      <c r="C34" s="141"/>
      <c r="D34" s="142"/>
      <c r="E34" s="157"/>
      <c r="F34" s="157"/>
      <c r="G34" s="159"/>
      <c r="H34" s="156"/>
      <c r="I34" s="160"/>
      <c r="J34" s="161"/>
      <c r="K34" s="162"/>
      <c r="L34" s="163"/>
      <c r="M34" s="164"/>
      <c r="N34" s="164"/>
      <c r="O34" s="165"/>
      <c r="P34" s="156"/>
      <c r="Q34" s="160"/>
      <c r="R34" s="156"/>
      <c r="S34" s="156"/>
      <c r="T34" s="156"/>
      <c r="U34" s="160"/>
      <c r="V34" s="10" t="e">
        <v>#N/A</v>
      </c>
      <c r="W34" s="57" t="e">
        <v>#VALUE!</v>
      </c>
      <c r="X34" s="57" t="e">
        <v>#VALUE!</v>
      </c>
      <c r="Y34" s="57" t="e">
        <v>#VALUE!</v>
      </c>
      <c r="Z34" s="57" t="e">
        <v>#VALUE!</v>
      </c>
      <c r="AA34" s="60" t="e">
        <v>#VALUE!</v>
      </c>
      <c r="AB34" s="166"/>
      <c r="AC34" s="156"/>
      <c r="AD34" s="156"/>
      <c r="AE34" s="156"/>
      <c r="AF34" s="156"/>
      <c r="AG34" s="156"/>
      <c r="AH34" s="156"/>
      <c r="AI34" s="156"/>
      <c r="AJ34" s="156"/>
      <c r="AK34" s="156"/>
      <c r="AL34" s="156"/>
      <c r="AM34" s="159">
        <v>45093.666666666672</v>
      </c>
      <c r="AN34" s="167">
        <v>96.87</v>
      </c>
      <c r="AO34" s="159">
        <f ca="1">IFERROR(__xludf.DUMMYFUNCTION("""COMPUTED_VALUE"""),45077.6666666666)</f>
        <v>45077.666666666599</v>
      </c>
      <c r="AP34" s="167">
        <f ca="1">IFERROR(__xludf.DUMMYFUNCTION("""COMPUTED_VALUE"""),98.06)</f>
        <v>98.06</v>
      </c>
      <c r="AQ34" s="159"/>
      <c r="AR34" s="167"/>
      <c r="AS34" s="159"/>
      <c r="AT34" s="167"/>
      <c r="AU34" s="159">
        <f ca="1">IFERROR(__xludf.DUMMYFUNCTION("""COMPUTED_VALUE"""),44925.6666666666)</f>
        <v>44925.666666666599</v>
      </c>
      <c r="AV34" s="167">
        <f ca="1">IFERROR(__xludf.DUMMYFUNCTION("""COMPUTED_VALUE"""),95.78)</f>
        <v>95.78</v>
      </c>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8"/>
      <c r="BT34" s="158"/>
      <c r="BU34" s="158"/>
      <c r="BV34" s="158"/>
      <c r="BW34" s="158"/>
      <c r="BX34" s="158"/>
      <c r="BY34" s="158"/>
      <c r="BZ34" s="158"/>
      <c r="CA34" s="158"/>
    </row>
    <row r="35" spans="1:79" ht="13.2" x14ac:dyDescent="0.25">
      <c r="A35" s="47">
        <f t="shared" ref="A35:A38" si="7">A33+1</f>
        <v>15</v>
      </c>
      <c r="B35" s="22" t="s">
        <v>29</v>
      </c>
      <c r="C35" s="472" t="str">
        <f ca="1">IFERROR(__xludf.DUMMYFUNCTION("GoogleFinance(B35,""name"")"),"iShares 20 Plus Year Treasury Bond ETF")</f>
        <v>iShares 20 Plus Year Treasury Bond ETF</v>
      </c>
      <c r="D35" s="142">
        <f ca="1">IFERROR(__xludf.DUMMYFUNCTION("GoogleFinance(B35,""marketcap"")/1000000"),12895.584228)</f>
        <v>12895.584228</v>
      </c>
      <c r="E35" s="23" t="s">
        <v>113</v>
      </c>
      <c r="F35" s="23" t="s">
        <v>114</v>
      </c>
      <c r="G35" s="131">
        <v>45035</v>
      </c>
      <c r="H35" s="28">
        <v>0.05</v>
      </c>
      <c r="I35" s="143">
        <f ca="1">N35/$M$44</f>
        <v>5.1449534228910881E-2</v>
      </c>
      <c r="J35" s="144">
        <f ca="1">IFERROR(__xludf.DUMMYFUNCTION("GOOGLEFINANCE(B35)"),103.33)</f>
        <v>103.33</v>
      </c>
      <c r="K35" s="145">
        <v>103.85</v>
      </c>
      <c r="L35" s="54">
        <f>5232/K35</f>
        <v>50.380356283100632</v>
      </c>
      <c r="M35" s="146">
        <v>5232</v>
      </c>
      <c r="N35" s="146">
        <f ca="1">J35*L35</f>
        <v>5205.8022147327883</v>
      </c>
      <c r="O35" s="147">
        <f ca="1">N35-M35</f>
        <v>-26.197785267211657</v>
      </c>
      <c r="P35" s="148">
        <f ca="1">J35/K35-1</f>
        <v>-5.0072219547423469E-3</v>
      </c>
      <c r="Q35" s="149">
        <f ca="1">TODAY()-G35</f>
        <v>69</v>
      </c>
      <c r="R35" s="23">
        <v>97</v>
      </c>
      <c r="S35" s="150">
        <f ca="1">R35/J35-1</f>
        <v>-6.1260040646472502E-2</v>
      </c>
      <c r="T35" s="23">
        <v>122</v>
      </c>
      <c r="U35" s="151">
        <f ca="1">T35/J35-1</f>
        <v>0.18068324784670464</v>
      </c>
      <c r="V35" s="10">
        <v>0</v>
      </c>
      <c r="W35" s="57">
        <v>7.1150097465886297E-3</v>
      </c>
      <c r="X35" s="57">
        <v>3.3012913875134497E-3</v>
      </c>
      <c r="Y35" s="57">
        <v>-9.6798926586161294E-3</v>
      </c>
      <c r="Z35" s="57">
        <v>3.1855402436588687E-2</v>
      </c>
      <c r="AA35" s="60">
        <v>3.7866613097629509E-2</v>
      </c>
      <c r="AB35" s="152" t="s">
        <v>73</v>
      </c>
      <c r="AC35" s="62" t="s">
        <v>74</v>
      </c>
      <c r="AD35" s="62" t="s">
        <v>74</v>
      </c>
      <c r="AE35" s="153" t="s">
        <v>115</v>
      </c>
      <c r="AF35" s="63" t="s">
        <v>85</v>
      </c>
      <c r="AG35" s="154" t="s">
        <v>99</v>
      </c>
      <c r="AH35" s="155"/>
      <c r="AI35" s="65" t="s">
        <v>116</v>
      </c>
      <c r="AJ35" s="156"/>
      <c r="AK35" s="156"/>
      <c r="AL35" s="156"/>
      <c r="AM35" s="3" t="str">
        <f ca="1">IFERROR(__xludf.DUMMYFUNCTION("GoogleFinance(B35,""price"",DATE(2023,6,16))"),"#N/A")</f>
        <v>#N/A</v>
      </c>
      <c r="AN35" s="31"/>
      <c r="AO35" s="3" t="str">
        <f ca="1">IFERROR(__xludf.DUMMYFUNCTION("GoogleFinance(B35,""price"",DATE(2023,5,31))"),"Date")</f>
        <v>Date</v>
      </c>
      <c r="AP35" s="31" t="str">
        <f ca="1">IFERROR(__xludf.DUMMYFUNCTION("""COMPUTED_VALUE"""),"Close")</f>
        <v>Close</v>
      </c>
      <c r="AQ35" s="156" t="str">
        <f ca="1">IFERROR(__xludf.DUMMYFUNCTION("GoogleFinance(B35,""price"",today()-91)"),"#N/A")</f>
        <v>#N/A</v>
      </c>
      <c r="AR35" s="31"/>
      <c r="AS35" s="156" t="str">
        <f ca="1">IFERROR(__xludf.DUMMYFUNCTION("GoogleFinance(B35,""price"",today()-182)"),"#N/A")</f>
        <v>#N/A</v>
      </c>
      <c r="AT35" s="31"/>
      <c r="AU35" s="156" t="str">
        <f ca="1">IFERROR(__xludf.DUMMYFUNCTION("GoogleFinance(B35,""price"",DATE(2022,12,30))"),"Date")</f>
        <v>Date</v>
      </c>
      <c r="AV35" s="31" t="str">
        <f ca="1">IFERROR(__xludf.DUMMYFUNCTION("""COMPUTED_VALUE"""),"Close")</f>
        <v>Close</v>
      </c>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8"/>
      <c r="BT35" s="158"/>
      <c r="BU35" s="158"/>
      <c r="BV35" s="158"/>
      <c r="BW35" s="158"/>
      <c r="BX35" s="158"/>
      <c r="BY35" s="158"/>
      <c r="BZ35" s="158"/>
      <c r="CA35" s="158"/>
    </row>
    <row r="36" spans="1:79" ht="13.2" hidden="1" x14ac:dyDescent="0.25">
      <c r="A36" s="47">
        <f t="shared" si="7"/>
        <v>1</v>
      </c>
      <c r="B36" s="157"/>
      <c r="C36" s="141"/>
      <c r="D36" s="142"/>
      <c r="E36" s="157"/>
      <c r="F36" s="157"/>
      <c r="G36" s="159"/>
      <c r="H36" s="156"/>
      <c r="I36" s="160"/>
      <c r="J36" s="161"/>
      <c r="K36" s="162"/>
      <c r="L36" s="163"/>
      <c r="M36" s="164"/>
      <c r="N36" s="164"/>
      <c r="O36" s="165"/>
      <c r="P36" s="156"/>
      <c r="Q36" s="160"/>
      <c r="R36" s="156"/>
      <c r="S36" s="156"/>
      <c r="T36" s="156"/>
      <c r="U36" s="160"/>
      <c r="V36" s="156"/>
      <c r="W36" s="156"/>
      <c r="X36" s="156"/>
      <c r="Y36" s="156"/>
      <c r="Z36" s="156"/>
      <c r="AA36" s="160"/>
      <c r="AB36" s="156"/>
      <c r="AC36" s="156"/>
      <c r="AD36" s="156"/>
      <c r="AE36" s="156"/>
      <c r="AF36" s="156"/>
      <c r="AG36" s="156"/>
      <c r="AH36" s="156"/>
      <c r="AI36" s="156"/>
      <c r="AJ36" s="156"/>
      <c r="AK36" s="156"/>
      <c r="AL36" s="156"/>
      <c r="AM36" s="159"/>
      <c r="AN36" s="167"/>
      <c r="AO36" s="159">
        <f ca="1">IFERROR(__xludf.DUMMYFUNCTION("""COMPUTED_VALUE"""),45077.6666666666)</f>
        <v>45077.666666666599</v>
      </c>
      <c r="AP36" s="167">
        <f ca="1">IFERROR(__xludf.DUMMYFUNCTION("""COMPUTED_VALUE"""),102.99)</f>
        <v>102.99</v>
      </c>
      <c r="AQ36" s="159"/>
      <c r="AR36" s="167"/>
      <c r="AS36" s="159"/>
      <c r="AT36" s="167"/>
      <c r="AU36" s="159">
        <f ca="1">IFERROR(__xludf.DUMMYFUNCTION("""COMPUTED_VALUE"""),44925.6666666666)</f>
        <v>44925.666666666599</v>
      </c>
      <c r="AV36" s="167">
        <f ca="1">IFERROR(__xludf.DUMMYFUNCTION("""COMPUTED_VALUE"""),99.56)</f>
        <v>99.56</v>
      </c>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8"/>
      <c r="BT36" s="158"/>
      <c r="BU36" s="158"/>
      <c r="BV36" s="158"/>
      <c r="BW36" s="158"/>
      <c r="BX36" s="158"/>
      <c r="BY36" s="158"/>
      <c r="BZ36" s="158"/>
      <c r="CA36" s="158"/>
    </row>
    <row r="37" spans="1:79" ht="13.2" hidden="1" x14ac:dyDescent="0.25">
      <c r="A37" s="47">
        <f t="shared" si="7"/>
        <v>16</v>
      </c>
      <c r="B37" s="1" t="s">
        <v>5</v>
      </c>
      <c r="C37" s="48" t="str">
        <f ca="1">IFERROR(__xludf.DUMMYFUNCTION("GoogleFinance(B37,""name"")"),"Loading...")</f>
        <v>Loading...</v>
      </c>
      <c r="D37" s="49">
        <f ca="1">IFERROR(__xludf.DUMMYFUNCTION("GoogleFinance(B37,""marketcap"")/1000000"),391015.728176)</f>
        <v>391015.728176</v>
      </c>
      <c r="E37" s="50" t="s">
        <v>69</v>
      </c>
      <c r="F37" s="50"/>
      <c r="G37" s="51">
        <v>44981</v>
      </c>
      <c r="H37" s="3">
        <v>0.15</v>
      </c>
      <c r="I37" s="12">
        <f ca="1">N37/$M$44</f>
        <v>0</v>
      </c>
      <c r="J37" s="113">
        <f ca="1">IFERROR(__xludf.DUMMYFUNCTION("GOOGLEFINANCE(B37)"),433.21)</f>
        <v>433.21</v>
      </c>
      <c r="K37" s="53">
        <v>396.7</v>
      </c>
      <c r="L37" s="54"/>
      <c r="M37" s="55">
        <f>L37*K37</f>
        <v>0</v>
      </c>
      <c r="N37" s="56">
        <f ca="1">J37*L37</f>
        <v>0</v>
      </c>
      <c r="O37" s="56">
        <f ca="1">N37-M37</f>
        <v>0</v>
      </c>
      <c r="P37" s="57">
        <f ca="1">J37/K37-1</f>
        <v>9.2034282833375336E-2</v>
      </c>
      <c r="Q37" s="58">
        <f ca="1">TODAY()-G37</f>
        <v>123</v>
      </c>
      <c r="R37" s="59">
        <v>382</v>
      </c>
      <c r="S37" s="57">
        <f ca="1">R37/J37-1</f>
        <v>-0.11821056762309268</v>
      </c>
      <c r="T37" s="50">
        <v>420</v>
      </c>
      <c r="U37" s="60">
        <f ca="1">T37/J37-1</f>
        <v>-3.049329424528513E-2</v>
      </c>
      <c r="V37" s="71">
        <v>0</v>
      </c>
      <c r="W37" s="57">
        <v>0.1108233544449857</v>
      </c>
      <c r="X37" s="57">
        <v>5.818412760448477E-2</v>
      </c>
      <c r="Y37" s="57">
        <v>9.2612676233952751E-2</v>
      </c>
      <c r="Z37" s="57">
        <v>0.13584163607760891</v>
      </c>
      <c r="AA37" s="57">
        <v>0.13278246999450882</v>
      </c>
      <c r="AB37" s="61" t="s">
        <v>73</v>
      </c>
      <c r="AC37" s="62" t="s">
        <v>117</v>
      </c>
      <c r="AD37" s="62" t="s">
        <v>117</v>
      </c>
      <c r="AE37" s="63" t="s">
        <v>115</v>
      </c>
      <c r="AF37" s="63" t="s">
        <v>85</v>
      </c>
      <c r="AG37" s="63" t="s">
        <v>99</v>
      </c>
      <c r="AH37" s="74"/>
      <c r="AI37" s="168"/>
      <c r="AJ37" s="3"/>
      <c r="AK37" s="3"/>
      <c r="AL37" s="3"/>
      <c r="AM37" s="3" t="str">
        <f ca="1">IFERROR(__xludf.DUMMYFUNCTION("GoogleFinance(B37,""price"",DATE(2023,3,17))"),"Date")</f>
        <v>Date</v>
      </c>
      <c r="AN37" s="31" t="str">
        <f ca="1">IFERROR(__xludf.DUMMYFUNCTION("""COMPUTED_VALUE"""),"Close")</f>
        <v>Close</v>
      </c>
      <c r="AO37" s="3" t="str">
        <f ca="1">IFERROR(__xludf.DUMMYFUNCTION("GoogleFinance(B37,""price"",DATE(2023,3,31))"),"Date")</f>
        <v>Date</v>
      </c>
      <c r="AP37" s="31" t="str">
        <f ca="1">IFERROR(__xludf.DUMMYFUNCTION("""COMPUTED_VALUE"""),"Close")</f>
        <v>Close</v>
      </c>
      <c r="AQ37" s="3" t="str">
        <f ca="1">IFERROR(__xludf.DUMMYFUNCTION("GoogleFinance(B37,""price"",today()-91)"),"#N/A")</f>
        <v>#N/A</v>
      </c>
      <c r="AR37" s="31"/>
      <c r="AS37" s="3" t="str">
        <f ca="1">IFERROR(__xludf.DUMMYFUNCTION("GoogleFinance(B37,""price"",today()-182)"),"#N/A")</f>
        <v>#N/A</v>
      </c>
      <c r="AT37" s="31"/>
      <c r="AU37" s="3" t="str">
        <f ca="1">IFERROR(__xludf.DUMMYFUNCTION("GoogleFinance(B37,""price"",DATE(2022,12,30))"),"#N/A")</f>
        <v>#N/A</v>
      </c>
      <c r="AV37" s="31" t="s">
        <v>6</v>
      </c>
      <c r="AW37" s="6"/>
      <c r="AX37" s="6"/>
      <c r="AY37" s="6"/>
      <c r="AZ37" s="6"/>
      <c r="BA37" s="6"/>
      <c r="BB37" s="6"/>
      <c r="BC37" s="6"/>
      <c r="BD37" s="6"/>
      <c r="BE37" s="6"/>
      <c r="BF37" s="6"/>
      <c r="BG37" s="6"/>
      <c r="BH37" s="6"/>
      <c r="BI37" s="6"/>
      <c r="BJ37" s="6"/>
      <c r="BK37" s="6"/>
      <c r="BL37" s="6"/>
      <c r="BM37" s="6"/>
      <c r="BN37" s="6"/>
      <c r="BO37" s="6"/>
      <c r="BP37" s="6"/>
      <c r="BQ37" s="6"/>
      <c r="BR37" s="6"/>
    </row>
    <row r="38" spans="1:79" ht="13.2" hidden="1" x14ac:dyDescent="0.25">
      <c r="A38" s="47">
        <f t="shared" si="7"/>
        <v>2</v>
      </c>
      <c r="B38" s="1"/>
      <c r="C38" s="48"/>
      <c r="D38" s="49"/>
      <c r="E38" s="50"/>
      <c r="F38" s="50"/>
      <c r="G38" s="51"/>
      <c r="H38" s="3"/>
      <c r="I38" s="67"/>
      <c r="J38" s="113"/>
      <c r="K38" s="53"/>
      <c r="L38" s="50"/>
      <c r="M38" s="50"/>
      <c r="N38" s="68"/>
      <c r="O38" s="76"/>
      <c r="P38" s="77"/>
      <c r="Q38" s="70"/>
      <c r="R38" s="71"/>
      <c r="S38" s="57"/>
      <c r="T38" s="57"/>
      <c r="U38" s="60"/>
      <c r="V38" s="71"/>
      <c r="W38" s="57"/>
      <c r="X38" s="57"/>
      <c r="Y38" s="57"/>
      <c r="Z38" s="57"/>
      <c r="AA38" s="57"/>
      <c r="AB38" s="17"/>
      <c r="AC38" s="4"/>
      <c r="AD38" s="4"/>
      <c r="AE38" s="4"/>
      <c r="AF38" s="4"/>
      <c r="AG38" s="4"/>
      <c r="AH38" s="4"/>
      <c r="AI38" s="4"/>
      <c r="AJ38" s="3"/>
      <c r="AK38" s="3"/>
      <c r="AL38" s="3"/>
      <c r="AM38" s="51">
        <f ca="1">IFERROR(__xludf.DUMMYFUNCTION("""COMPUTED_VALUE"""),45002.6666666666)</f>
        <v>45002.666666666599</v>
      </c>
      <c r="AN38" s="31">
        <f ca="1">IFERROR(__xludf.DUMMYFUNCTION("""COMPUTED_VALUE"""),389.99)</f>
        <v>389.99</v>
      </c>
      <c r="AO38" s="51">
        <f ca="1">IFERROR(__xludf.DUMMYFUNCTION("""COMPUTED_VALUE"""),45016.6666666666)</f>
        <v>45016.666666666599</v>
      </c>
      <c r="AP38" s="31">
        <f ca="1">IFERROR(__xludf.DUMMYFUNCTION("""COMPUTED_VALUE"""),409.39)</f>
        <v>409.39</v>
      </c>
      <c r="AQ38" s="51"/>
      <c r="AR38" s="31"/>
      <c r="AS38" s="51"/>
      <c r="AT38" s="31"/>
      <c r="AU38" s="51">
        <v>44925.666666666672</v>
      </c>
      <c r="AV38" s="31">
        <v>382.43</v>
      </c>
      <c r="AW38" s="6"/>
      <c r="AX38" s="6"/>
      <c r="AY38" s="6"/>
      <c r="AZ38" s="6"/>
      <c r="BA38" s="6"/>
      <c r="BB38" s="6"/>
      <c r="BC38" s="6"/>
      <c r="BD38" s="6"/>
      <c r="BE38" s="6"/>
      <c r="BF38" s="6"/>
      <c r="BG38" s="6"/>
      <c r="BH38" s="6"/>
      <c r="BI38" s="6"/>
      <c r="BJ38" s="6"/>
      <c r="BK38" s="6"/>
      <c r="BL38" s="6"/>
      <c r="BM38" s="6"/>
      <c r="BN38" s="6"/>
      <c r="BO38" s="6"/>
      <c r="BP38" s="6"/>
      <c r="BQ38" s="6"/>
      <c r="BR38" s="6"/>
    </row>
    <row r="39" spans="1:79" ht="13.2" x14ac:dyDescent="0.25">
      <c r="A39" s="47">
        <f>A35+1</f>
        <v>16</v>
      </c>
      <c r="B39" s="1" t="s">
        <v>118</v>
      </c>
      <c r="C39" s="470" t="str">
        <f ca="1">IFERROR(__xludf.DUMMYFUNCTION("GoogleFinance(B39,""name"")"),"ProShares UltraPro Short S&amp;P500")</f>
        <v>ProShares UltraPro Short S&amp;P500</v>
      </c>
      <c r="D39" s="49" t="str">
        <f ca="1">IFERROR(__xludf.DUMMYFUNCTION("GoogleFinance(B39,""marketcap"")/1000000"),"#N/A")</f>
        <v>#N/A</v>
      </c>
      <c r="E39" s="50" t="s">
        <v>119</v>
      </c>
      <c r="F39" s="50" t="s">
        <v>69</v>
      </c>
      <c r="G39" s="131">
        <v>45091</v>
      </c>
      <c r="H39" s="3">
        <v>0.1</v>
      </c>
      <c r="I39" s="12">
        <f ca="1">N39/$M$44</f>
        <v>0.1093876997715745</v>
      </c>
      <c r="J39" s="52">
        <f ca="1">IFERROR(__xludf.DUMMYFUNCTION("GOOGLEFINANCE(B39)"),11.37)</f>
        <v>11.37</v>
      </c>
      <c r="K39" s="53">
        <v>11.3</v>
      </c>
      <c r="L39" s="54">
        <f>M39/K39</f>
        <v>973.45132743362831</v>
      </c>
      <c r="M39" s="55">
        <v>11000</v>
      </c>
      <c r="N39" s="56">
        <f ca="1">J39*L39</f>
        <v>11068.141592920352</v>
      </c>
      <c r="O39" s="56">
        <f ca="1">N39-M39</f>
        <v>68.141592920352196</v>
      </c>
      <c r="P39" s="57">
        <f ca="1">J39/K39-1</f>
        <v>6.1946902654865799E-3</v>
      </c>
      <c r="Q39" s="58">
        <f ca="1">TODAY()-G39</f>
        <v>13</v>
      </c>
      <c r="R39" s="59">
        <v>10.6</v>
      </c>
      <c r="S39" s="57">
        <f ca="1">R39/J39-1</f>
        <v>-6.7722075637642876E-2</v>
      </c>
      <c r="T39" s="50">
        <v>14</v>
      </c>
      <c r="U39" s="60">
        <f ca="1">T39/J39-1</f>
        <v>0.23131046613896222</v>
      </c>
      <c r="V39" s="71">
        <v>0</v>
      </c>
      <c r="W39" s="57">
        <v>3.2697547683923744E-2</v>
      </c>
      <c r="X39" s="57">
        <v>-0.1165501165501166</v>
      </c>
      <c r="Y39" s="57">
        <v>-0.23485868102288021</v>
      </c>
      <c r="Z39" s="57">
        <v>-0.33156966490299833</v>
      </c>
      <c r="AA39" s="57">
        <v>-0.32602252519264974</v>
      </c>
      <c r="AB39" s="61" t="s">
        <v>73</v>
      </c>
      <c r="AC39" s="62" t="s">
        <v>74</v>
      </c>
      <c r="AD39" s="62" t="s">
        <v>74</v>
      </c>
      <c r="AE39" s="63" t="s">
        <v>119</v>
      </c>
      <c r="AF39" s="63" t="s">
        <v>85</v>
      </c>
      <c r="AG39" s="63" t="s">
        <v>120</v>
      </c>
      <c r="AH39" s="74"/>
      <c r="AI39" s="168"/>
      <c r="AJ39" s="3"/>
      <c r="AK39" s="3"/>
      <c r="AL39" s="3"/>
      <c r="AM39" s="3" t="str">
        <f ca="1">IFERROR(__xludf.DUMMYFUNCTION("GoogleFinance(B39,""price"",DATE(2023,6,16))"),"Date")</f>
        <v>Date</v>
      </c>
      <c r="AN39" s="31" t="str">
        <f ca="1">IFERROR(__xludf.DUMMYFUNCTION("""COMPUTED_VALUE"""),"Close")</f>
        <v>Close</v>
      </c>
      <c r="AO39" s="3" t="str">
        <f ca="1">IFERROR(__xludf.DUMMYFUNCTION("GoogleFinance(B39,""price"",DATE(2023,5,31))"),"Date")</f>
        <v>Date</v>
      </c>
      <c r="AP39" s="31" t="str">
        <f ca="1">IFERROR(__xludf.DUMMYFUNCTION("""COMPUTED_VALUE"""),"Close")</f>
        <v>Close</v>
      </c>
      <c r="AQ39" s="3" t="str">
        <f ca="1">IFERROR(__xludf.DUMMYFUNCTION("GoogleFinance(B39,""price"",today()-91)"),"#N/A")</f>
        <v>#N/A</v>
      </c>
      <c r="AR39" s="31"/>
      <c r="AS39" s="3" t="str">
        <f ca="1">IFERROR(__xludf.DUMMYFUNCTION("GoogleFinance(B39,""price"",today()-182)"),"#N/A")</f>
        <v>#N/A</v>
      </c>
      <c r="AT39" s="31"/>
      <c r="AU39" s="3" t="str">
        <f ca="1">IFERROR(__xludf.DUMMYFUNCTION("GoogleFinance(B39,""price"",DATE(2022,12,30))"),"Date")</f>
        <v>Date</v>
      </c>
      <c r="AV39" s="31" t="str">
        <f ca="1">IFERROR(__xludf.DUMMYFUNCTION("""COMPUTED_VALUE"""),"Close")</f>
        <v>Close</v>
      </c>
      <c r="AW39" s="6"/>
      <c r="AX39" s="6"/>
      <c r="AY39" s="6"/>
      <c r="AZ39" s="6"/>
      <c r="BA39" s="6"/>
      <c r="BB39" s="6"/>
      <c r="BC39" s="6"/>
      <c r="BD39" s="6"/>
      <c r="BE39" s="6"/>
      <c r="BF39" s="6"/>
      <c r="BG39" s="6"/>
      <c r="BH39" s="6"/>
      <c r="BI39" s="6"/>
      <c r="BJ39" s="6"/>
      <c r="BK39" s="6"/>
      <c r="BL39" s="6"/>
      <c r="BM39" s="6"/>
      <c r="BN39" s="6"/>
      <c r="BO39" s="6"/>
      <c r="BP39" s="6"/>
      <c r="BQ39" s="6"/>
      <c r="BR39" s="6"/>
    </row>
    <row r="40" spans="1:79" ht="13.2" hidden="1" x14ac:dyDescent="0.25">
      <c r="A40" s="106"/>
      <c r="B40" s="30"/>
      <c r="C40" s="107"/>
      <c r="D40" s="108"/>
      <c r="E40" s="109"/>
      <c r="F40" s="109"/>
      <c r="G40" s="110"/>
      <c r="H40" s="111"/>
      <c r="I40" s="132"/>
      <c r="J40" s="113"/>
      <c r="K40" s="114"/>
      <c r="L40" s="109"/>
      <c r="M40" s="109"/>
      <c r="N40" s="133"/>
      <c r="O40" s="134"/>
      <c r="P40" s="135"/>
      <c r="Q40" s="136"/>
      <c r="R40" s="137"/>
      <c r="S40" s="118"/>
      <c r="T40" s="118"/>
      <c r="U40" s="121"/>
      <c r="V40" s="137"/>
      <c r="W40" s="118"/>
      <c r="X40" s="118"/>
      <c r="Y40" s="118"/>
      <c r="Z40" s="118"/>
      <c r="AA40" s="118"/>
      <c r="AB40" s="138"/>
      <c r="AC40" s="139"/>
      <c r="AD40" s="139"/>
      <c r="AE40" s="139"/>
      <c r="AF40" s="139"/>
      <c r="AG40" s="139"/>
      <c r="AH40" s="139"/>
      <c r="AI40" s="139"/>
      <c r="AJ40" s="111"/>
      <c r="AK40" s="111"/>
      <c r="AL40" s="111"/>
      <c r="AM40" s="110">
        <f ca="1">IFERROR(__xludf.DUMMYFUNCTION("""COMPUTED_VALUE"""),45093.6666666666)</f>
        <v>45093.666666666599</v>
      </c>
      <c r="AN40" s="128">
        <f ca="1">IFERROR(__xludf.DUMMYFUNCTION("""COMPUTED_VALUE"""),11.01)</f>
        <v>11.01</v>
      </c>
      <c r="AO40" s="110">
        <f ca="1">IFERROR(__xludf.DUMMYFUNCTION("""COMPUTED_VALUE"""),45077.6666666666)</f>
        <v>45077.666666666599</v>
      </c>
      <c r="AP40" s="128">
        <f ca="1">IFERROR(__xludf.DUMMYFUNCTION("""COMPUTED_VALUE"""),12.87)</f>
        <v>12.87</v>
      </c>
      <c r="AQ40" s="110"/>
      <c r="AR40" s="128"/>
      <c r="AS40" s="110"/>
      <c r="AT40" s="128"/>
      <c r="AU40" s="110">
        <f ca="1">IFERROR(__xludf.DUMMYFUNCTION("""COMPUTED_VALUE"""),44925.6666666666)</f>
        <v>44925.666666666599</v>
      </c>
      <c r="AV40" s="128">
        <f ca="1">IFERROR(__xludf.DUMMYFUNCTION("""COMPUTED_VALUE"""),16.87)</f>
        <v>16.87</v>
      </c>
      <c r="AW40" s="82"/>
      <c r="AX40" s="82"/>
      <c r="AY40" s="82"/>
      <c r="AZ40" s="82"/>
      <c r="BA40" s="82"/>
      <c r="BB40" s="82"/>
      <c r="BC40" s="82"/>
      <c r="BD40" s="82"/>
      <c r="BE40" s="82"/>
      <c r="BF40" s="82"/>
      <c r="BG40" s="82"/>
      <c r="BH40" s="82"/>
      <c r="BI40" s="82"/>
      <c r="BJ40" s="82"/>
      <c r="BK40" s="82"/>
      <c r="BL40" s="82"/>
      <c r="BM40" s="82"/>
      <c r="BN40" s="82"/>
      <c r="BO40" s="82"/>
      <c r="BP40" s="82"/>
      <c r="BQ40" s="82"/>
      <c r="BR40" s="82"/>
      <c r="BS40" s="129"/>
      <c r="BT40" s="129"/>
      <c r="BU40" s="129"/>
      <c r="BV40" s="129"/>
      <c r="BW40" s="129"/>
      <c r="BX40" s="129"/>
      <c r="BY40" s="129"/>
      <c r="BZ40" s="129"/>
      <c r="CA40" s="129"/>
    </row>
    <row r="41" spans="1:79" ht="6.75" customHeight="1" x14ac:dyDescent="0.25">
      <c r="A41" s="169"/>
      <c r="B41" s="169"/>
      <c r="C41" s="169"/>
      <c r="D41" s="169"/>
      <c r="E41" s="169"/>
      <c r="F41" s="169"/>
      <c r="G41" s="169"/>
      <c r="H41" s="169"/>
      <c r="I41" s="170"/>
      <c r="J41" s="171"/>
      <c r="K41" s="172"/>
      <c r="L41" s="172"/>
      <c r="M41" s="173"/>
      <c r="N41" s="174"/>
      <c r="O41" s="175"/>
      <c r="P41" s="175"/>
      <c r="Q41" s="176"/>
      <c r="R41" s="177"/>
      <c r="S41" s="178"/>
      <c r="T41" s="178"/>
      <c r="U41" s="179"/>
      <c r="V41" s="177"/>
      <c r="W41" s="180"/>
      <c r="X41" s="180"/>
      <c r="Y41" s="180"/>
      <c r="Z41" s="180"/>
      <c r="AA41" s="180"/>
      <c r="AB41" s="181"/>
      <c r="AC41" s="182"/>
      <c r="AD41" s="182"/>
      <c r="AE41" s="182"/>
      <c r="AF41" s="182"/>
      <c r="AG41" s="182"/>
      <c r="AH41" s="182"/>
      <c r="AI41" s="182"/>
      <c r="AJ41" s="3"/>
      <c r="AK41" s="3"/>
      <c r="AL41" s="3"/>
      <c r="AM41" s="4"/>
      <c r="AN41" s="183"/>
      <c r="AO41" s="30"/>
      <c r="AP41" s="183"/>
      <c r="AQ41" s="30"/>
      <c r="AR41" s="183"/>
      <c r="AS41" s="30"/>
      <c r="AT41" s="183"/>
      <c r="AU41" s="30"/>
      <c r="AV41" s="183"/>
      <c r="AW41" s="30"/>
      <c r="AX41" s="30"/>
      <c r="AY41" s="6"/>
      <c r="AZ41" s="6"/>
      <c r="BA41" s="6"/>
      <c r="BB41" s="6"/>
      <c r="BC41" s="6"/>
      <c r="BD41" s="6"/>
      <c r="BE41" s="6"/>
      <c r="BF41" s="30"/>
      <c r="BG41" s="30"/>
      <c r="BH41" s="30"/>
      <c r="BI41" s="30"/>
      <c r="BJ41" s="30"/>
      <c r="BK41" s="30"/>
      <c r="BL41" s="30"/>
      <c r="BM41" s="30"/>
      <c r="BN41" s="30"/>
      <c r="BO41" s="30"/>
      <c r="BP41" s="30"/>
      <c r="BQ41" s="30"/>
      <c r="BR41" s="30"/>
      <c r="BS41" s="183"/>
      <c r="BT41" s="183"/>
      <c r="BU41" s="183"/>
      <c r="BV41" s="183"/>
      <c r="BW41" s="183"/>
      <c r="BX41" s="183"/>
      <c r="BY41" s="183"/>
      <c r="BZ41" s="183"/>
      <c r="CA41" s="183"/>
    </row>
    <row r="42" spans="1:79" ht="15.75" customHeight="1" x14ac:dyDescent="0.25">
      <c r="A42" s="184"/>
      <c r="B42" s="184"/>
      <c r="C42" s="184"/>
      <c r="D42" s="184"/>
      <c r="E42" s="184"/>
      <c r="F42" s="184"/>
      <c r="G42" s="184"/>
      <c r="H42" s="184"/>
      <c r="I42" s="185"/>
      <c r="J42" s="186" t="s">
        <v>35</v>
      </c>
      <c r="K42" s="187"/>
      <c r="L42" s="187"/>
      <c r="M42" s="188">
        <f ca="1">SUM(N3:N39)</f>
        <v>83680.476996938407</v>
      </c>
      <c r="N42" s="189">
        <f ca="1">M42/M44</f>
        <v>0.82702365321548477</v>
      </c>
      <c r="O42" s="190"/>
      <c r="P42" s="190"/>
      <c r="Q42" s="191"/>
      <c r="R42" s="191"/>
      <c r="S42" s="191"/>
      <c r="T42" s="191"/>
      <c r="U42" s="191"/>
      <c r="V42" s="191"/>
      <c r="W42" s="192"/>
      <c r="X42" s="192"/>
      <c r="Y42" s="192"/>
      <c r="Z42" s="192"/>
      <c r="AA42" s="192"/>
      <c r="AB42" s="29"/>
      <c r="AC42" s="29"/>
      <c r="AD42" s="29"/>
      <c r="AE42" s="29"/>
      <c r="AF42" s="29"/>
      <c r="AG42" s="29"/>
      <c r="AH42" s="29"/>
      <c r="AI42" s="29"/>
      <c r="AJ42" s="3"/>
      <c r="AK42" s="3"/>
      <c r="AL42" s="3"/>
      <c r="AM42" s="4"/>
      <c r="AN42" s="30"/>
      <c r="AO42" s="30"/>
      <c r="AP42" s="30"/>
      <c r="AQ42" s="30"/>
      <c r="AR42" s="30"/>
      <c r="AS42" s="30"/>
      <c r="AT42" s="30"/>
      <c r="AU42" s="30"/>
      <c r="AV42" s="30"/>
      <c r="AW42" s="30"/>
      <c r="AX42" s="30"/>
      <c r="AY42" s="6"/>
      <c r="AZ42" s="6"/>
      <c r="BA42" s="6"/>
      <c r="BB42" s="6"/>
      <c r="BC42" s="6"/>
      <c r="BD42" s="6"/>
      <c r="BE42" s="6"/>
      <c r="BF42" s="30"/>
      <c r="BG42" s="30"/>
      <c r="BH42" s="30"/>
      <c r="BI42" s="30"/>
      <c r="BJ42" s="30"/>
      <c r="BK42" s="30"/>
      <c r="BL42" s="30"/>
      <c r="BM42" s="30"/>
      <c r="BN42" s="30"/>
      <c r="BO42" s="30"/>
      <c r="BP42" s="30"/>
      <c r="BQ42" s="30"/>
      <c r="BR42" s="30"/>
      <c r="BS42" s="30"/>
      <c r="BT42" s="30"/>
      <c r="BU42" s="30"/>
      <c r="BV42" s="30"/>
      <c r="BW42" s="30"/>
      <c r="BX42" s="30"/>
      <c r="BY42" s="30"/>
      <c r="BZ42" s="30"/>
      <c r="CA42" s="30"/>
    </row>
    <row r="43" spans="1:79" ht="15.75" customHeight="1" x14ac:dyDescent="0.25">
      <c r="A43" s="193"/>
      <c r="B43" s="193"/>
      <c r="C43" s="51"/>
      <c r="D43" s="193"/>
      <c r="E43" s="54"/>
      <c r="F43" s="193"/>
      <c r="G43" s="53"/>
      <c r="H43" s="193"/>
      <c r="I43" s="194"/>
      <c r="J43" s="195" t="s">
        <v>121</v>
      </c>
      <c r="K43" s="196"/>
      <c r="L43" s="196"/>
      <c r="M43" s="197">
        <f>37292-4200+1052+4050+2256-10285+1713+4004-1600+3371-1600+9566-2000-2000-4100-3200-3000-10200+1631+2968-11000+N96+N97-3500-4500</f>
        <v>17502.211879718277</v>
      </c>
      <c r="N43" s="198">
        <f ca="1">M43/M44</f>
        <v>0.17297634678451523</v>
      </c>
      <c r="O43" s="199"/>
      <c r="P43" s="199"/>
      <c r="Q43" s="82"/>
      <c r="R43" s="82"/>
      <c r="S43" s="82"/>
      <c r="T43" s="82"/>
      <c r="U43" s="82"/>
      <c r="V43" s="82"/>
      <c r="W43" s="139"/>
      <c r="X43" s="139"/>
      <c r="Y43" s="139"/>
      <c r="Z43" s="139"/>
      <c r="AA43" s="139"/>
      <c r="AB43" s="4"/>
      <c r="AC43" s="4"/>
      <c r="AD43" s="4"/>
      <c r="AE43" s="4"/>
      <c r="AF43" s="4"/>
      <c r="AG43" s="4"/>
      <c r="AH43" s="4"/>
      <c r="AI43" s="4"/>
      <c r="AJ43" s="4"/>
      <c r="AK43" s="4"/>
      <c r="AL43" s="4"/>
      <c r="AM43" s="4"/>
      <c r="AN43" s="139"/>
      <c r="AO43" s="139"/>
      <c r="AP43" s="139"/>
      <c r="AQ43" s="139"/>
      <c r="AR43" s="139"/>
      <c r="AS43" s="139"/>
      <c r="AT43" s="139"/>
      <c r="AU43" s="30"/>
      <c r="AV43" s="139"/>
      <c r="AW43" s="30"/>
      <c r="AX43" s="139"/>
      <c r="AY43" s="6"/>
      <c r="AZ43" s="6"/>
      <c r="BA43" s="6"/>
      <c r="BB43" s="6"/>
      <c r="BC43" s="6"/>
      <c r="BD43" s="6"/>
      <c r="BE43" s="6"/>
      <c r="BF43" s="82"/>
      <c r="BG43" s="82"/>
      <c r="BH43" s="82"/>
      <c r="BI43" s="82"/>
      <c r="BJ43" s="82"/>
      <c r="BK43" s="82"/>
      <c r="BL43" s="82"/>
      <c r="BM43" s="82"/>
      <c r="BN43" s="82"/>
      <c r="BO43" s="82"/>
      <c r="BP43" s="82"/>
      <c r="BQ43" s="82"/>
      <c r="BR43" s="82"/>
      <c r="BS43" s="82"/>
      <c r="BT43" s="82"/>
      <c r="BU43" s="82"/>
      <c r="BV43" s="82"/>
      <c r="BW43" s="82"/>
      <c r="BX43" s="82"/>
      <c r="BY43" s="82"/>
      <c r="BZ43" s="82"/>
      <c r="CA43" s="82"/>
    </row>
    <row r="44" spans="1:79" ht="15.75" customHeight="1" x14ac:dyDescent="0.25">
      <c r="A44" s="193"/>
      <c r="B44" s="193"/>
      <c r="C44" s="200"/>
      <c r="D44" s="193"/>
      <c r="E44" s="193"/>
      <c r="F44" s="193"/>
      <c r="G44" s="54"/>
      <c r="H44" s="193"/>
      <c r="I44" s="194"/>
      <c r="J44" s="186" t="s">
        <v>122</v>
      </c>
      <c r="K44" s="187"/>
      <c r="L44" s="187"/>
      <c r="M44" s="201">
        <f ca="1">M43+M42</f>
        <v>101182.68887665668</v>
      </c>
      <c r="N44" s="190"/>
      <c r="O44" s="82"/>
      <c r="P44" s="82"/>
      <c r="Q44" s="82"/>
      <c r="R44" s="82"/>
      <c r="S44" s="82"/>
      <c r="T44" s="82"/>
      <c r="U44" s="82"/>
      <c r="V44" s="82"/>
      <c r="W44" s="139"/>
      <c r="X44" s="139"/>
      <c r="Y44" s="139"/>
      <c r="Z44" s="139"/>
      <c r="AA44" s="139"/>
      <c r="AB44" s="4"/>
      <c r="AC44" s="4"/>
      <c r="AD44" s="4"/>
      <c r="AE44" s="4"/>
      <c r="AF44" s="4"/>
      <c r="AG44" s="4"/>
      <c r="AH44" s="4"/>
      <c r="AI44" s="4"/>
      <c r="AJ44" s="4"/>
      <c r="AK44" s="4"/>
      <c r="AL44" s="4"/>
      <c r="AM44" s="4"/>
      <c r="AN44" s="139"/>
      <c r="AO44" s="139"/>
      <c r="AP44" s="139"/>
      <c r="AQ44" s="139"/>
      <c r="AR44" s="139"/>
      <c r="AS44" s="139"/>
      <c r="AT44" s="139"/>
      <c r="AU44" s="30"/>
      <c r="AV44" s="139"/>
      <c r="AW44" s="30"/>
      <c r="AX44" s="139"/>
      <c r="AY44" s="6"/>
      <c r="AZ44" s="6"/>
      <c r="BA44" s="6"/>
      <c r="BB44" s="6"/>
      <c r="BC44" s="6"/>
      <c r="BD44" s="6"/>
      <c r="BE44" s="6"/>
      <c r="BF44" s="82"/>
      <c r="BG44" s="82"/>
      <c r="BH44" s="82"/>
      <c r="BI44" s="82"/>
      <c r="BJ44" s="82"/>
      <c r="BK44" s="82"/>
      <c r="BL44" s="82"/>
      <c r="BM44" s="82"/>
      <c r="BN44" s="82"/>
      <c r="BO44" s="82"/>
      <c r="BP44" s="82"/>
      <c r="BQ44" s="82"/>
      <c r="BR44" s="82"/>
      <c r="BS44" s="82"/>
      <c r="BT44" s="82"/>
      <c r="BU44" s="82"/>
      <c r="BV44" s="82"/>
      <c r="BW44" s="82"/>
      <c r="BX44" s="82"/>
      <c r="BY44" s="82"/>
      <c r="BZ44" s="82"/>
      <c r="CA44" s="82"/>
    </row>
    <row r="45" spans="1:79" ht="15.75" customHeight="1" x14ac:dyDescent="0.25">
      <c r="A45" s="193"/>
      <c r="B45" s="193"/>
      <c r="C45" s="200"/>
      <c r="D45" s="193"/>
      <c r="E45" s="193"/>
      <c r="F45" s="54"/>
      <c r="G45" s="193"/>
      <c r="H45" s="193"/>
      <c r="I45" s="194"/>
      <c r="J45" s="202" t="s">
        <v>123</v>
      </c>
      <c r="K45" s="203"/>
      <c r="L45" s="203"/>
      <c r="M45" s="204">
        <v>101934</v>
      </c>
      <c r="N45" s="190"/>
      <c r="O45" s="82"/>
      <c r="P45" s="82"/>
      <c r="Q45" s="82"/>
      <c r="R45" s="82"/>
      <c r="S45" s="82"/>
      <c r="T45" s="82"/>
      <c r="U45" s="82"/>
      <c r="V45" s="82"/>
      <c r="W45" s="139"/>
      <c r="X45" s="139"/>
      <c r="Y45" s="139"/>
      <c r="Z45" s="139"/>
      <c r="AA45" s="139"/>
      <c r="AB45" s="4"/>
      <c r="AC45" s="205"/>
      <c r="AD45" s="205"/>
      <c r="AE45" s="205"/>
      <c r="AF45" s="205"/>
      <c r="AG45" s="4"/>
      <c r="AH45" s="4"/>
      <c r="AI45" s="4"/>
      <c r="AJ45" s="4"/>
      <c r="AK45" s="4"/>
      <c r="AL45" s="4"/>
      <c r="AM45" s="4"/>
      <c r="AN45" s="139"/>
      <c r="AO45" s="139"/>
      <c r="AP45" s="139"/>
      <c r="AQ45" s="139"/>
      <c r="AR45" s="139"/>
      <c r="AS45" s="139"/>
      <c r="AT45" s="139"/>
      <c r="AU45" s="30"/>
      <c r="AV45" s="139"/>
      <c r="AW45" s="30"/>
      <c r="AX45" s="139"/>
      <c r="AY45" s="6"/>
      <c r="AZ45" s="6"/>
      <c r="BA45" s="6"/>
      <c r="BB45" s="6"/>
      <c r="BC45" s="6"/>
      <c r="BD45" s="6"/>
      <c r="BE45" s="6"/>
      <c r="BF45" s="82"/>
      <c r="BG45" s="82"/>
      <c r="BH45" s="82"/>
      <c r="BI45" s="82"/>
      <c r="BJ45" s="82"/>
      <c r="BK45" s="82"/>
      <c r="BL45" s="82"/>
      <c r="BM45" s="82"/>
      <c r="BN45" s="82"/>
      <c r="BO45" s="82"/>
      <c r="BP45" s="82"/>
      <c r="BQ45" s="82"/>
      <c r="BR45" s="82"/>
      <c r="BS45" s="82"/>
      <c r="BT45" s="82"/>
      <c r="BU45" s="82"/>
      <c r="BV45" s="82"/>
      <c r="BW45" s="82"/>
      <c r="BX45" s="82"/>
      <c r="BY45" s="82"/>
      <c r="BZ45" s="82"/>
      <c r="CA45" s="82"/>
    </row>
    <row r="46" spans="1:79" ht="15.75" customHeight="1" x14ac:dyDescent="0.25">
      <c r="A46" s="193"/>
      <c r="B46" s="193"/>
      <c r="C46" s="200"/>
      <c r="D46" s="193"/>
      <c r="E46" s="193"/>
      <c r="F46" s="193"/>
      <c r="G46" s="193"/>
      <c r="H46" s="193"/>
      <c r="I46" s="193"/>
      <c r="J46" s="206"/>
      <c r="K46" s="184"/>
      <c r="L46" s="191"/>
      <c r="M46" s="191"/>
      <c r="N46" s="82"/>
      <c r="O46" s="82"/>
      <c r="P46" s="82"/>
      <c r="Q46" s="82"/>
      <c r="R46" s="82"/>
      <c r="S46" s="82"/>
      <c r="T46" s="82"/>
      <c r="U46" s="82"/>
      <c r="V46" s="82"/>
      <c r="W46" s="139"/>
      <c r="X46" s="139"/>
      <c r="Y46" s="139"/>
      <c r="Z46" s="139"/>
      <c r="AA46" s="139"/>
      <c r="AB46" s="31"/>
      <c r="AC46" s="449" t="s">
        <v>124</v>
      </c>
      <c r="AD46" s="450"/>
      <c r="AE46" s="450"/>
      <c r="AF46" s="451"/>
      <c r="AG46" s="15"/>
      <c r="AH46" s="4"/>
      <c r="AI46" s="4"/>
      <c r="AJ46" s="4"/>
      <c r="AK46" s="4"/>
      <c r="AL46" s="4"/>
      <c r="AM46" s="4"/>
      <c r="AN46" s="139"/>
      <c r="AO46" s="139"/>
      <c r="AP46" s="139"/>
      <c r="AQ46" s="139"/>
      <c r="AR46" s="139"/>
      <c r="AS46" s="139"/>
      <c r="AT46" s="139"/>
      <c r="AU46" s="30"/>
      <c r="AV46" s="139"/>
      <c r="AW46" s="30"/>
      <c r="AX46" s="139"/>
      <c r="AY46" s="6"/>
      <c r="AZ46" s="6"/>
      <c r="BA46" s="6"/>
      <c r="BB46" s="6"/>
      <c r="BC46" s="6"/>
      <c r="BD46" s="6"/>
      <c r="BE46" s="6"/>
      <c r="BF46" s="82"/>
      <c r="BG46" s="82"/>
      <c r="BH46" s="82"/>
      <c r="BI46" s="82"/>
      <c r="BJ46" s="82"/>
      <c r="BK46" s="82"/>
      <c r="BL46" s="82"/>
      <c r="BM46" s="82"/>
      <c r="BN46" s="82"/>
      <c r="BO46" s="82"/>
      <c r="BP46" s="82"/>
      <c r="BQ46" s="82"/>
      <c r="BR46" s="82"/>
      <c r="BS46" s="82"/>
      <c r="BT46" s="82"/>
      <c r="BU46" s="82"/>
      <c r="BV46" s="82"/>
      <c r="BW46" s="82"/>
      <c r="BX46" s="82"/>
      <c r="BY46" s="82"/>
      <c r="BZ46" s="82"/>
      <c r="CA46" s="82"/>
    </row>
    <row r="47" spans="1:79" ht="36" x14ac:dyDescent="0.25">
      <c r="A47" s="84"/>
      <c r="B47" s="84"/>
      <c r="C47" s="200"/>
      <c r="D47" s="207" t="s">
        <v>4</v>
      </c>
      <c r="E47" s="207" t="s">
        <v>55</v>
      </c>
      <c r="F47" s="208">
        <v>45100</v>
      </c>
      <c r="G47" s="207" t="s">
        <v>57</v>
      </c>
      <c r="H47" s="207" t="s">
        <v>58</v>
      </c>
      <c r="I47" s="207" t="s">
        <v>125</v>
      </c>
      <c r="J47" s="207" t="s">
        <v>59</v>
      </c>
      <c r="K47" s="207">
        <v>2022</v>
      </c>
      <c r="L47" s="207">
        <v>2021</v>
      </c>
      <c r="M47" s="207">
        <v>2020</v>
      </c>
      <c r="N47" s="207" t="s">
        <v>126</v>
      </c>
      <c r="O47" s="207" t="s">
        <v>127</v>
      </c>
      <c r="P47" s="209">
        <v>43830</v>
      </c>
      <c r="Q47" s="4"/>
      <c r="R47" s="4"/>
      <c r="S47" s="4"/>
      <c r="T47" s="4"/>
      <c r="U47" s="4"/>
      <c r="V47" s="4"/>
      <c r="W47" s="4"/>
      <c r="X47" s="4"/>
      <c r="Y47" s="4"/>
      <c r="Z47" s="4"/>
      <c r="AA47" s="4"/>
      <c r="AB47" s="14"/>
      <c r="AC47" s="210" t="s">
        <v>68</v>
      </c>
      <c r="AD47" s="211" t="s">
        <v>69</v>
      </c>
      <c r="AE47" s="211" t="s">
        <v>128</v>
      </c>
      <c r="AF47" s="212" t="s">
        <v>129</v>
      </c>
      <c r="AG47" s="17"/>
      <c r="AH47" s="4"/>
      <c r="AI47" s="4"/>
      <c r="AJ47" s="4"/>
      <c r="AK47" s="4"/>
      <c r="AL47" s="4"/>
      <c r="AM47" s="4"/>
      <c r="AN47" s="139"/>
      <c r="AO47" s="139"/>
      <c r="AP47" s="139"/>
      <c r="AQ47" s="139"/>
      <c r="AR47" s="139"/>
      <c r="AS47" s="139"/>
      <c r="AT47" s="139"/>
      <c r="AU47" s="30"/>
      <c r="AV47" s="139"/>
      <c r="AW47" s="30"/>
      <c r="AX47" s="139"/>
      <c r="AY47" s="6"/>
      <c r="AZ47" s="6"/>
      <c r="BA47" s="6"/>
      <c r="BB47" s="6"/>
      <c r="BC47" s="6"/>
      <c r="BD47" s="6"/>
      <c r="BE47" s="6"/>
      <c r="BF47" s="82"/>
      <c r="BG47" s="82"/>
      <c r="BH47" s="82"/>
      <c r="BI47" s="82"/>
      <c r="BJ47" s="82"/>
      <c r="BK47" s="82"/>
      <c r="BL47" s="82"/>
      <c r="BM47" s="82"/>
      <c r="BN47" s="82"/>
      <c r="BO47" s="82"/>
      <c r="BP47" s="82"/>
      <c r="BQ47" s="82"/>
      <c r="BR47" s="82"/>
      <c r="BS47" s="82"/>
      <c r="BT47" s="82"/>
      <c r="BU47" s="82"/>
      <c r="BV47" s="82"/>
      <c r="BW47" s="82"/>
      <c r="BX47" s="82"/>
      <c r="BY47" s="82"/>
      <c r="BZ47" s="82"/>
      <c r="CA47" s="82"/>
    </row>
    <row r="48" spans="1:79" ht="15.75" customHeight="1" x14ac:dyDescent="0.25">
      <c r="A48" s="84"/>
      <c r="B48" s="84"/>
      <c r="C48" s="84" t="s">
        <v>130</v>
      </c>
      <c r="D48" s="71">
        <f ca="1">I3*V3+I5*V5+I7*V7+I9*V9+I11*V11+I13*V13+I15*V15+I17*V17+I21*V21+I23*V23+I25*V25+I29*V29+I31*V31+I33*V33+I35*V35+I37*V37+I39*V39+I27*V27</f>
        <v>4.4516203617475459E-6</v>
      </c>
      <c r="E48" s="71">
        <f ca="1">M44/M45-1</f>
        <v>-7.370564515699507E-3</v>
      </c>
      <c r="F48" s="71">
        <f ca="1">2.5%+E48</f>
        <v>1.7629435484300494E-2</v>
      </c>
      <c r="G48" s="71">
        <f ca="1">(1+F48)*(1+AZ79)*(1+AZ80)-1</f>
        <v>-7.7644894487748362E-3</v>
      </c>
      <c r="H48" s="71">
        <f ca="1">(1+G48)*(1+AZ76)*(1+AZ78)*(1+AZ77)-1</f>
        <v>3.344422983616413E-2</v>
      </c>
      <c r="I48" s="71">
        <f ca="1">(1+H48)*(1+AZ70)*(1+AZ73)*(1+AZ71)*(1+AZ72)*(1+AZ74)*(1+AZ75)-1</f>
        <v>9.9243025581501776E-2</v>
      </c>
      <c r="J48" s="71">
        <f ca="1">(1+F48)*(1+AZ76)*(1+AZ77)*(1+AZ78)*(1+AZ79)*(1+AZ80)-1</f>
        <v>3.344422983616413E-2</v>
      </c>
      <c r="K48" s="71">
        <v>-0.126</v>
      </c>
      <c r="L48" s="71">
        <v>0.104</v>
      </c>
      <c r="M48" s="71">
        <v>0.77100000000000002</v>
      </c>
      <c r="N48" s="71">
        <f ca="1">(1+M48)*(1+L48)*(1+K48)*(1+J48)-1</f>
        <v>0.76598134656142403</v>
      </c>
      <c r="O48" s="213">
        <f ca="1">(1+N48)^(365/(TODAY()-P47))-1</f>
        <v>0.17695898099354346</v>
      </c>
      <c r="P48" s="15"/>
      <c r="Q48" s="4"/>
      <c r="R48" s="4"/>
      <c r="S48" s="4"/>
      <c r="T48" s="4"/>
      <c r="U48" s="4"/>
      <c r="V48" s="4"/>
      <c r="W48" s="4"/>
      <c r="X48" s="4"/>
      <c r="Y48" s="4"/>
      <c r="Z48" s="4"/>
      <c r="AA48" s="4"/>
      <c r="AB48" s="214" t="s">
        <v>8</v>
      </c>
      <c r="AC48" s="215">
        <f ca="1">I37*AD48</f>
        <v>0</v>
      </c>
      <c r="AD48" s="216">
        <v>0.2366</v>
      </c>
      <c r="AE48" s="215">
        <f ca="1">AC48-AD48</f>
        <v>-0.2366</v>
      </c>
      <c r="AF48" s="217">
        <v>-2.6213984641145549E-2</v>
      </c>
      <c r="AG48" s="17"/>
      <c r="AH48" s="4"/>
      <c r="AI48" s="4"/>
      <c r="AJ48" s="4"/>
      <c r="AK48" s="4"/>
      <c r="AL48" s="4"/>
      <c r="AM48" s="82" t="s">
        <v>131</v>
      </c>
      <c r="AN48" s="139"/>
      <c r="AO48" s="82" t="s">
        <v>132</v>
      </c>
      <c r="AP48" s="139"/>
      <c r="AQ48" s="82" t="s">
        <v>133</v>
      </c>
      <c r="AR48" s="129"/>
      <c r="AS48" s="82" t="s">
        <v>134</v>
      </c>
      <c r="AT48" s="129"/>
      <c r="AU48" s="82" t="s">
        <v>135</v>
      </c>
      <c r="AV48" s="129"/>
      <c r="AW48" s="30" t="s">
        <v>59</v>
      </c>
      <c r="AX48" s="139"/>
      <c r="AY48" s="6"/>
      <c r="AZ48" s="6"/>
      <c r="BA48" s="6"/>
      <c r="BB48" s="6"/>
      <c r="BC48" s="6"/>
      <c r="BD48" s="6"/>
      <c r="BE48" s="6"/>
      <c r="BF48" s="82"/>
      <c r="BG48" s="82"/>
      <c r="BH48" s="82"/>
      <c r="BI48" s="82"/>
      <c r="BJ48" s="82"/>
      <c r="BK48" s="82"/>
      <c r="BL48" s="82"/>
      <c r="BM48" s="82"/>
      <c r="BN48" s="82"/>
      <c r="BO48" s="82"/>
      <c r="BP48" s="82"/>
      <c r="BQ48" s="82"/>
      <c r="BR48" s="82"/>
      <c r="BS48" s="82"/>
      <c r="BT48" s="82"/>
      <c r="BU48" s="82"/>
      <c r="BV48" s="82"/>
      <c r="BW48" s="82"/>
      <c r="BX48" s="82"/>
      <c r="BY48" s="82"/>
      <c r="BZ48" s="82"/>
      <c r="CA48" s="82"/>
    </row>
    <row r="49" spans="1:79" ht="15.75" customHeight="1" x14ac:dyDescent="0.25">
      <c r="A49" s="84"/>
      <c r="B49" s="84"/>
      <c r="C49" s="84" t="s">
        <v>136</v>
      </c>
      <c r="D49" s="10">
        <v>0</v>
      </c>
      <c r="E49" s="71">
        <v>-1.4221999726937606E-2</v>
      </c>
      <c r="F49" s="71">
        <v>3.6759602728251739E-2</v>
      </c>
      <c r="G49" s="218">
        <v>9.2612676233952751E-2</v>
      </c>
      <c r="H49" s="218">
        <v>0.13584163607760891</v>
      </c>
      <c r="I49" s="218">
        <v>0.13631832966110569</v>
      </c>
      <c r="J49" s="218">
        <v>0.13278246999450882</v>
      </c>
      <c r="K49" s="218">
        <v>-0.19500000000000001</v>
      </c>
      <c r="L49" s="218">
        <v>0.27</v>
      </c>
      <c r="M49" s="218">
        <v>0.16200000000000001</v>
      </c>
      <c r="N49" s="71">
        <v>0.34571238382710523</v>
      </c>
      <c r="O49" s="213">
        <v>8.8864251932015526E-2</v>
      </c>
      <c r="P49" s="15"/>
      <c r="Q49" s="4"/>
      <c r="R49" s="4"/>
      <c r="S49" s="4"/>
      <c r="T49" s="4"/>
      <c r="U49" s="4"/>
      <c r="V49" s="4"/>
      <c r="W49" s="4"/>
      <c r="X49" s="4"/>
      <c r="Y49" s="4"/>
      <c r="Z49" s="4"/>
      <c r="AA49" s="4"/>
      <c r="AB49" s="214" t="s">
        <v>12</v>
      </c>
      <c r="AC49" s="10">
        <v>0</v>
      </c>
      <c r="AD49" s="3">
        <v>7.4399999999999994E-2</v>
      </c>
      <c r="AE49" s="10">
        <v>-7.4399999999999994E-2</v>
      </c>
      <c r="AF49" s="219">
        <v>-1.0809141445336623E-2</v>
      </c>
      <c r="AG49" s="17"/>
      <c r="AH49" s="6"/>
      <c r="AI49" s="6"/>
      <c r="AJ49" s="4"/>
      <c r="AK49" s="220" t="s">
        <v>5</v>
      </c>
      <c r="AL49" s="221" t="s">
        <v>4</v>
      </c>
      <c r="AM49" s="3" t="s">
        <v>137</v>
      </c>
      <c r="AN49" s="31" t="s">
        <v>6</v>
      </c>
      <c r="AO49" s="3" t="s">
        <v>137</v>
      </c>
      <c r="AP49" s="31" t="s">
        <v>6</v>
      </c>
      <c r="AQ49" s="3" t="s">
        <v>137</v>
      </c>
      <c r="AR49" s="31" t="s">
        <v>6</v>
      </c>
      <c r="AS49" s="3" t="s">
        <v>137</v>
      </c>
      <c r="AT49" s="31" t="s">
        <v>6</v>
      </c>
      <c r="AU49" s="3" t="s">
        <v>137</v>
      </c>
      <c r="AV49" s="31" t="s">
        <v>6</v>
      </c>
      <c r="AW49" s="3" t="s">
        <v>137</v>
      </c>
      <c r="AX49" s="31" t="s">
        <v>6</v>
      </c>
      <c r="AY49" s="6"/>
      <c r="AZ49" s="6"/>
      <c r="BA49" s="6"/>
      <c r="BB49" s="6"/>
      <c r="BC49" s="6"/>
      <c r="BD49" s="6"/>
      <c r="BE49" s="6"/>
      <c r="BF49" s="82"/>
      <c r="BG49" s="82"/>
      <c r="BH49" s="82"/>
      <c r="BI49" s="82"/>
      <c r="BJ49" s="82"/>
      <c r="BK49" s="82"/>
      <c r="BL49" s="82"/>
      <c r="BM49" s="82"/>
      <c r="BN49" s="82"/>
      <c r="BO49" s="82"/>
      <c r="BP49" s="82"/>
      <c r="BQ49" s="82"/>
      <c r="BR49" s="82"/>
      <c r="BS49" s="82"/>
      <c r="BT49" s="82"/>
      <c r="BU49" s="82"/>
      <c r="BV49" s="82"/>
      <c r="BW49" s="82"/>
      <c r="BX49" s="82"/>
      <c r="BY49" s="82"/>
      <c r="BZ49" s="82"/>
      <c r="CA49" s="82"/>
    </row>
    <row r="50" spans="1:79" ht="15.75" customHeight="1" x14ac:dyDescent="0.25">
      <c r="A50" s="84"/>
      <c r="B50" s="84"/>
      <c r="C50" s="222" t="s">
        <v>128</v>
      </c>
      <c r="D50" s="223">
        <f t="shared" ref="D50:O50" ca="1" si="8">D48-D49</f>
        <v>4.4516203617475459E-6</v>
      </c>
      <c r="E50" s="223">
        <f t="shared" ca="1" si="8"/>
        <v>6.8514352112380994E-3</v>
      </c>
      <c r="F50" s="223">
        <f t="shared" ca="1" si="8"/>
        <v>-1.9130167243951245E-2</v>
      </c>
      <c r="G50" s="223">
        <f t="shared" ca="1" si="8"/>
        <v>-0.10037716568272759</v>
      </c>
      <c r="H50" s="223">
        <f t="shared" ca="1" si="8"/>
        <v>-0.10239740624144478</v>
      </c>
      <c r="I50" s="223">
        <f t="shared" ca="1" si="8"/>
        <v>-3.707530407960391E-2</v>
      </c>
      <c r="J50" s="223">
        <f t="shared" ca="1" si="8"/>
        <v>-9.9338240158344693E-2</v>
      </c>
      <c r="K50" s="223">
        <f t="shared" si="8"/>
        <v>6.9000000000000006E-2</v>
      </c>
      <c r="L50" s="223">
        <f t="shared" si="8"/>
        <v>-0.16600000000000004</v>
      </c>
      <c r="M50" s="223">
        <f t="shared" si="8"/>
        <v>0.60899999999999999</v>
      </c>
      <c r="N50" s="223">
        <f t="shared" ca="1" si="8"/>
        <v>0.4202689627343188</v>
      </c>
      <c r="O50" s="223">
        <f t="shared" ca="1" si="8"/>
        <v>8.8094729061527932E-2</v>
      </c>
      <c r="P50" s="15"/>
      <c r="Q50" s="4"/>
      <c r="R50" s="4"/>
      <c r="S50" s="4"/>
      <c r="T50" s="4"/>
      <c r="U50" s="4"/>
      <c r="V50" s="4"/>
      <c r="W50" s="4"/>
      <c r="X50" s="4"/>
      <c r="Y50" s="4"/>
      <c r="Z50" s="4"/>
      <c r="AA50" s="4"/>
      <c r="AB50" s="214" t="s">
        <v>138</v>
      </c>
      <c r="AC50" s="10">
        <f ca="1">+I37*AD50</f>
        <v>0</v>
      </c>
      <c r="AD50" s="3">
        <v>2.76E-2</v>
      </c>
      <c r="AE50" s="10">
        <f t="shared" ref="AE50:AE61" ca="1" si="9">AC50-AD50</f>
        <v>-2.76E-2</v>
      </c>
      <c r="AF50" s="219">
        <v>-4.8553993101618453E-2</v>
      </c>
      <c r="AG50" s="17"/>
      <c r="AH50" s="4"/>
      <c r="AI50" s="4"/>
      <c r="AJ50" s="4"/>
      <c r="AK50" s="4"/>
      <c r="AL50" s="47">
        <f ca="1">IFERROR(__xludf.DUMMYFUNCTION("GOOGLEFINANCE(AK49)"),433.21)</f>
        <v>433.21</v>
      </c>
      <c r="AM50" s="51"/>
      <c r="AN50" s="31"/>
      <c r="AO50" s="51">
        <v>45077.666666666672</v>
      </c>
      <c r="AP50" s="31">
        <v>417.85</v>
      </c>
      <c r="AQ50" s="51"/>
      <c r="AR50" s="31"/>
      <c r="AS50" s="51"/>
      <c r="AT50" s="31"/>
      <c r="AU50" s="51"/>
      <c r="AV50" s="31"/>
      <c r="AW50" s="51">
        <v>44925.666666666672</v>
      </c>
      <c r="AX50" s="31">
        <v>382.43</v>
      </c>
      <c r="AY50" s="6"/>
      <c r="AZ50" s="6"/>
      <c r="BA50" s="6"/>
      <c r="BB50" s="6"/>
      <c r="BC50" s="6"/>
      <c r="BD50" s="6"/>
      <c r="BE50" s="6"/>
      <c r="BF50" s="82"/>
      <c r="BG50" s="82"/>
      <c r="BH50" s="82"/>
      <c r="BI50" s="82"/>
      <c r="BJ50" s="82"/>
      <c r="BK50" s="82"/>
      <c r="BL50" s="82"/>
      <c r="BM50" s="82"/>
      <c r="BN50" s="82"/>
      <c r="BO50" s="82"/>
      <c r="BP50" s="82"/>
      <c r="BQ50" s="82"/>
      <c r="BR50" s="82"/>
      <c r="BS50" s="82"/>
      <c r="BT50" s="82"/>
      <c r="BU50" s="82"/>
      <c r="BV50" s="82"/>
      <c r="BW50" s="82"/>
      <c r="BX50" s="82"/>
      <c r="BY50" s="82"/>
      <c r="BZ50" s="82"/>
      <c r="CA50" s="82"/>
    </row>
    <row r="51" spans="1:79" ht="15.75" customHeight="1" x14ac:dyDescent="0.25">
      <c r="A51" s="84"/>
      <c r="B51" s="84"/>
      <c r="I51" s="193"/>
      <c r="J51" s="6"/>
      <c r="K51" s="82"/>
      <c r="L51" s="82"/>
      <c r="M51" s="82"/>
      <c r="N51" s="82"/>
      <c r="O51" s="139"/>
      <c r="P51" s="82"/>
      <c r="Q51" s="82"/>
      <c r="R51" s="82"/>
      <c r="S51" s="82"/>
      <c r="T51" s="82"/>
      <c r="U51" s="82"/>
      <c r="V51" s="82"/>
      <c r="W51" s="4"/>
      <c r="X51" s="4"/>
      <c r="Y51" s="4"/>
      <c r="Z51" s="4"/>
      <c r="AA51" s="4"/>
      <c r="AB51" s="214" t="s">
        <v>13</v>
      </c>
      <c r="AC51" s="10">
        <f ca="1">I37*AD51+I17</f>
        <v>4.1175060502510005E-2</v>
      </c>
      <c r="AD51" s="3">
        <v>0.1386</v>
      </c>
      <c r="AE51" s="10">
        <f t="shared" ca="1" si="9"/>
        <v>-9.7424939497489996E-2</v>
      </c>
      <c r="AF51" s="219">
        <v>-2.5014889815366148E-2</v>
      </c>
      <c r="AG51" s="17"/>
      <c r="AH51" s="4"/>
      <c r="AI51" s="4"/>
      <c r="AJ51" s="4"/>
      <c r="AK51" s="4"/>
      <c r="AL51" s="4"/>
      <c r="AM51" s="4"/>
      <c r="AN51" s="139"/>
      <c r="AO51" s="139"/>
      <c r="AP51" s="139"/>
      <c r="AQ51" s="139"/>
      <c r="AR51" s="139"/>
      <c r="AS51" s="139"/>
      <c r="AT51" s="139"/>
      <c r="AU51" s="30"/>
      <c r="AV51" s="139"/>
      <c r="AW51" s="30"/>
      <c r="AX51" s="139"/>
      <c r="AY51" s="6"/>
      <c r="AZ51" s="6"/>
      <c r="BA51" s="6"/>
      <c r="BB51" s="6"/>
      <c r="BC51" s="6"/>
      <c r="BD51" s="6"/>
      <c r="BE51" s="6"/>
      <c r="BF51" s="82"/>
      <c r="BG51" s="82"/>
      <c r="BH51" s="82"/>
      <c r="BI51" s="82"/>
      <c r="BJ51" s="82"/>
      <c r="BK51" s="82"/>
      <c r="BL51" s="82"/>
      <c r="BM51" s="82"/>
      <c r="BN51" s="82"/>
      <c r="BO51" s="82"/>
      <c r="BP51" s="82"/>
      <c r="BQ51" s="82"/>
      <c r="BR51" s="82"/>
      <c r="BS51" s="82"/>
      <c r="BT51" s="82"/>
      <c r="BU51" s="82"/>
      <c r="BV51" s="82"/>
      <c r="BW51" s="82"/>
      <c r="BX51" s="82"/>
      <c r="BY51" s="82"/>
      <c r="BZ51" s="82"/>
      <c r="CA51" s="82"/>
    </row>
    <row r="52" spans="1:79" ht="15.75" customHeight="1" x14ac:dyDescent="0.25">
      <c r="A52" s="6"/>
      <c r="B52" s="84"/>
      <c r="C52" s="84"/>
      <c r="D52" s="84"/>
      <c r="E52" s="84"/>
      <c r="F52" s="84"/>
      <c r="G52" s="84"/>
      <c r="H52" s="84"/>
      <c r="I52" s="193"/>
      <c r="J52" s="6"/>
      <c r="K52" s="6"/>
      <c r="L52" s="6"/>
      <c r="M52" s="6"/>
      <c r="N52" s="82"/>
      <c r="O52" s="139"/>
      <c r="W52" s="4"/>
      <c r="X52" s="4"/>
      <c r="Y52" s="4"/>
      <c r="Z52" s="4"/>
      <c r="AA52" s="4"/>
      <c r="AB52" s="214" t="s">
        <v>139</v>
      </c>
      <c r="AC52" s="10">
        <f ca="1">I37*AD52</f>
        <v>0</v>
      </c>
      <c r="AD52" s="3">
        <v>0.1023</v>
      </c>
      <c r="AE52" s="10">
        <f t="shared" ca="1" si="9"/>
        <v>-0.1023</v>
      </c>
      <c r="AF52" s="219">
        <v>-5.5896141363145357E-3</v>
      </c>
      <c r="AG52" s="17"/>
      <c r="AH52" s="4"/>
      <c r="AI52" s="4"/>
      <c r="AJ52" s="4"/>
      <c r="AK52" s="4"/>
      <c r="AL52" s="4"/>
      <c r="AM52" s="4"/>
      <c r="AN52" s="139"/>
      <c r="AO52" s="139"/>
      <c r="AP52" s="139"/>
      <c r="AQ52" s="139"/>
      <c r="AR52" s="139"/>
      <c r="AS52" s="139"/>
      <c r="AT52" s="139"/>
      <c r="AU52" s="30"/>
      <c r="AV52" s="139"/>
      <c r="AW52" s="30"/>
      <c r="AX52" s="139"/>
      <c r="AY52" s="30"/>
      <c r="AZ52" s="6" t="s">
        <v>68</v>
      </c>
      <c r="BA52" s="46" t="s">
        <v>69</v>
      </c>
      <c r="BC52" s="6" t="s">
        <v>70</v>
      </c>
      <c r="BE52" s="6"/>
      <c r="BF52" s="6"/>
      <c r="BG52" s="6"/>
      <c r="BH52" s="6"/>
      <c r="BI52" s="6"/>
      <c r="BJ52" s="6"/>
      <c r="BK52" s="6"/>
      <c r="BL52" s="6"/>
      <c r="BM52" s="6"/>
      <c r="BN52" s="6"/>
      <c r="BO52" s="6"/>
      <c r="BP52" s="6"/>
      <c r="BQ52" s="6"/>
      <c r="BR52" s="6"/>
      <c r="BS52" s="6"/>
      <c r="BT52" s="6"/>
      <c r="BU52" s="6"/>
      <c r="BV52" s="6"/>
      <c r="BW52" s="6"/>
      <c r="BX52" s="6"/>
      <c r="BY52" s="6"/>
      <c r="BZ52" s="6"/>
      <c r="CA52" s="6"/>
    </row>
    <row r="53" spans="1:79" ht="15.75" customHeight="1" x14ac:dyDescent="0.25">
      <c r="A53" s="5"/>
      <c r="B53" s="84"/>
      <c r="C53" s="84"/>
      <c r="D53" s="84"/>
      <c r="E53" s="84"/>
      <c r="F53" s="84"/>
      <c r="G53" s="84"/>
      <c r="H53" s="84"/>
      <c r="I53" s="193"/>
      <c r="J53" s="6"/>
      <c r="K53" s="6"/>
      <c r="L53" s="6"/>
      <c r="M53" s="6"/>
      <c r="N53" s="82"/>
      <c r="O53" s="139"/>
      <c r="P53" s="139"/>
      <c r="Q53" s="139"/>
      <c r="R53" s="139"/>
      <c r="S53" s="139"/>
      <c r="T53" s="139"/>
      <c r="U53" s="139"/>
      <c r="V53" s="139"/>
      <c r="W53" s="4"/>
      <c r="X53" s="4"/>
      <c r="Y53" s="4"/>
      <c r="Z53" s="4"/>
      <c r="AA53" s="4"/>
      <c r="AB53" s="214" t="s">
        <v>10</v>
      </c>
      <c r="AC53" s="10">
        <f ca="1">I23+I25+I37*AD53</f>
        <v>4.0872965406140008E-2</v>
      </c>
      <c r="AD53" s="3">
        <v>8.9399999999999993E-2</v>
      </c>
      <c r="AE53" s="10">
        <f t="shared" ca="1" si="9"/>
        <v>-4.8527034593859986E-2</v>
      </c>
      <c r="AF53" s="219">
        <v>-2.0578473210052128E-2</v>
      </c>
      <c r="AG53" s="17"/>
      <c r="AH53" s="4"/>
      <c r="AI53" s="4"/>
      <c r="AJ53" s="4"/>
      <c r="AK53" s="4"/>
      <c r="AL53" s="4"/>
      <c r="AM53" s="4"/>
      <c r="AN53" s="139"/>
      <c r="AO53" s="139"/>
      <c r="AP53" s="139"/>
      <c r="AQ53" s="139"/>
      <c r="AR53" s="139"/>
      <c r="AS53" s="139"/>
      <c r="AT53" s="139"/>
      <c r="AU53" s="30"/>
      <c r="AV53" s="139"/>
      <c r="AW53" s="30"/>
      <c r="AX53" s="139"/>
      <c r="AY53" s="224">
        <v>44248</v>
      </c>
      <c r="AZ53" s="71">
        <v>4.43359035718216E-3</v>
      </c>
      <c r="BA53" s="71">
        <v>2.0638342622778305E-2</v>
      </c>
      <c r="BE53" s="6"/>
      <c r="BF53" s="6"/>
      <c r="BG53" s="6"/>
      <c r="BH53" s="6"/>
      <c r="BI53" s="6"/>
      <c r="BJ53" s="6"/>
      <c r="BK53" s="6"/>
      <c r="BL53" s="6"/>
      <c r="BM53" s="6"/>
      <c r="BN53" s="6"/>
      <c r="BO53" s="6"/>
      <c r="BP53" s="6"/>
      <c r="BQ53" s="6"/>
      <c r="BR53" s="6"/>
      <c r="BS53" s="6"/>
      <c r="BT53" s="6"/>
      <c r="BU53" s="6"/>
      <c r="BV53" s="6"/>
      <c r="BW53" s="6"/>
      <c r="BX53" s="6"/>
      <c r="BY53" s="6"/>
      <c r="BZ53" s="6"/>
      <c r="CA53" s="6"/>
    </row>
    <row r="54" spans="1:79" ht="15.75" customHeight="1" x14ac:dyDescent="0.25">
      <c r="A54" s="5"/>
      <c r="B54" s="84"/>
      <c r="C54" s="84"/>
      <c r="D54" s="84"/>
      <c r="E54" s="84"/>
      <c r="F54" s="84"/>
      <c r="G54" s="84"/>
      <c r="H54" s="84"/>
      <c r="I54" s="193"/>
      <c r="J54" s="6"/>
      <c r="K54" s="6"/>
      <c r="L54" s="6"/>
      <c r="M54" s="6"/>
      <c r="N54" s="82"/>
      <c r="O54" s="82"/>
      <c r="P54" s="82"/>
      <c r="Q54" s="82"/>
      <c r="R54" s="82"/>
      <c r="S54" s="82"/>
      <c r="T54" s="82"/>
      <c r="U54" s="82"/>
      <c r="V54" s="82"/>
      <c r="W54" s="139"/>
      <c r="X54" s="139"/>
      <c r="Y54" s="139"/>
      <c r="Z54" s="139"/>
      <c r="AA54" s="4"/>
      <c r="AB54" s="214" t="s">
        <v>11</v>
      </c>
      <c r="AC54" s="10">
        <f ca="1">I37*AD54+I29+I31</f>
        <v>8.742630019161185E-2</v>
      </c>
      <c r="AD54" s="3">
        <v>2.4899999999999999E-2</v>
      </c>
      <c r="AE54" s="10">
        <f t="shared" ca="1" si="9"/>
        <v>6.2526300191611844E-2</v>
      </c>
      <c r="AF54" s="219">
        <v>-2.5443425076452586E-2</v>
      </c>
      <c r="AG54" s="17"/>
      <c r="AH54" s="4"/>
      <c r="AI54" s="4"/>
      <c r="AJ54" s="4"/>
      <c r="AK54" s="4"/>
      <c r="AL54" s="4"/>
      <c r="AM54" s="4"/>
      <c r="AN54" s="139"/>
      <c r="AO54" s="139"/>
      <c r="AP54" s="139"/>
      <c r="AQ54" s="139"/>
      <c r="AR54" s="139"/>
      <c r="AS54" s="139"/>
      <c r="AT54" s="139"/>
      <c r="AU54" s="30"/>
      <c r="AV54" s="139"/>
      <c r="AW54" s="30"/>
      <c r="AX54" s="139"/>
      <c r="AY54" s="224">
        <v>44276</v>
      </c>
      <c r="AZ54" s="71">
        <v>-4.150675257945121E-2</v>
      </c>
      <c r="BA54" s="71">
        <v>4.1986539068251005E-2</v>
      </c>
      <c r="BE54" s="6"/>
      <c r="BF54" s="6"/>
      <c r="BG54" s="6"/>
      <c r="BH54" s="6"/>
      <c r="BI54" s="6"/>
      <c r="BJ54" s="6"/>
      <c r="BK54" s="6"/>
      <c r="BL54" s="6"/>
      <c r="BM54" s="6"/>
      <c r="BN54" s="6"/>
      <c r="BO54" s="6"/>
      <c r="BP54" s="6"/>
      <c r="BQ54" s="6"/>
      <c r="BR54" s="6"/>
      <c r="BS54" s="6"/>
      <c r="BT54" s="6"/>
      <c r="BU54" s="6"/>
      <c r="BV54" s="6"/>
      <c r="BW54" s="6"/>
      <c r="BX54" s="6"/>
      <c r="BY54" s="6"/>
      <c r="BZ54" s="6"/>
      <c r="CA54" s="6"/>
    </row>
    <row r="55" spans="1:79" ht="15.75" customHeight="1" x14ac:dyDescent="0.25">
      <c r="A55" s="5"/>
      <c r="B55" s="84"/>
      <c r="C55" s="84"/>
      <c r="D55" s="84"/>
      <c r="E55" s="84"/>
      <c r="F55" s="84"/>
      <c r="G55" s="84"/>
      <c r="H55" s="84"/>
      <c r="I55" s="193"/>
      <c r="J55" s="4"/>
      <c r="K55" s="4"/>
      <c r="L55" s="4"/>
      <c r="M55" s="4"/>
      <c r="N55" s="4"/>
      <c r="O55" s="4"/>
      <c r="P55" s="4"/>
      <c r="Q55" s="4"/>
      <c r="R55" s="4"/>
      <c r="S55" s="4"/>
      <c r="T55" s="4"/>
      <c r="U55" s="4"/>
      <c r="V55" s="4"/>
      <c r="W55" s="4"/>
      <c r="X55" s="225" t="s">
        <v>76</v>
      </c>
      <c r="Y55" s="225">
        <f ca="1">SUM(I3:I15)</f>
        <v>0.32837113572574972</v>
      </c>
      <c r="Z55" s="139"/>
      <c r="AA55" s="4"/>
      <c r="AB55" s="214" t="s">
        <v>14</v>
      </c>
      <c r="AC55" s="10">
        <f ca="1">+I37*AD55+I27</f>
        <v>3.3652437113898308E-2</v>
      </c>
      <c r="AD55" s="3">
        <v>5.21E-2</v>
      </c>
      <c r="AE55" s="10">
        <f t="shared" ca="1" si="9"/>
        <v>-1.8447562886101693E-2</v>
      </c>
      <c r="AF55" s="219">
        <v>-4.3284689586940428E-2</v>
      </c>
      <c r="AG55" s="17"/>
      <c r="AH55" s="4"/>
      <c r="AI55" s="4"/>
      <c r="AJ55" s="6"/>
      <c r="AK55" s="6"/>
      <c r="AL55" s="4"/>
      <c r="AM55" s="4"/>
      <c r="AN55" s="139"/>
      <c r="AO55" s="139"/>
      <c r="AP55" s="139"/>
      <c r="AQ55" s="139"/>
      <c r="AR55" s="139"/>
      <c r="AS55" s="139"/>
      <c r="AT55" s="139"/>
      <c r="AU55" s="30"/>
      <c r="AV55" s="139"/>
      <c r="AW55" s="30"/>
      <c r="AX55" s="139"/>
      <c r="AY55" s="224">
        <v>44307</v>
      </c>
      <c r="AZ55" s="71">
        <v>1.545E-2</v>
      </c>
      <c r="BA55" s="71">
        <v>5.2999999999999999E-2</v>
      </c>
      <c r="BE55" s="6"/>
      <c r="BF55" s="6"/>
      <c r="BG55" s="6"/>
      <c r="BH55" s="6"/>
      <c r="BI55" s="6"/>
      <c r="BJ55" s="6"/>
      <c r="BK55" s="6"/>
      <c r="BL55" s="6"/>
      <c r="BM55" s="6"/>
      <c r="BN55" s="6"/>
      <c r="BO55" s="6"/>
      <c r="BP55" s="6"/>
      <c r="BQ55" s="6"/>
      <c r="BR55" s="6"/>
      <c r="BS55" s="6"/>
      <c r="BT55" s="6"/>
      <c r="BU55" s="6"/>
      <c r="BV55" s="6"/>
      <c r="BW55" s="6"/>
      <c r="BX55" s="6"/>
      <c r="BY55" s="6"/>
      <c r="BZ55" s="6"/>
      <c r="CA55" s="6"/>
    </row>
    <row r="56" spans="1:79" ht="15.75" customHeight="1" x14ac:dyDescent="0.25">
      <c r="A56" s="5"/>
      <c r="B56" s="84"/>
      <c r="C56" s="84"/>
      <c r="D56" s="84"/>
      <c r="E56" s="84"/>
      <c r="F56" s="84"/>
      <c r="G56" s="84"/>
      <c r="H56" s="84"/>
      <c r="I56" s="193"/>
      <c r="J56" s="4"/>
      <c r="K56" s="82"/>
      <c r="L56" s="4"/>
      <c r="M56" s="4"/>
      <c r="N56" s="4"/>
      <c r="O56" s="4"/>
      <c r="P56" s="4"/>
      <c r="Q56" s="4"/>
      <c r="R56" s="4"/>
      <c r="S56" s="4"/>
      <c r="T56" s="4"/>
      <c r="U56" s="4"/>
      <c r="V56" s="4"/>
      <c r="W56" s="4"/>
      <c r="X56" s="225" t="s">
        <v>98</v>
      </c>
      <c r="Y56" s="225">
        <f ca="1">SUM(I17:I21)</f>
        <v>0.12657144013755375</v>
      </c>
      <c r="Z56" s="139"/>
      <c r="AA56" s="4"/>
      <c r="AB56" s="214" t="s">
        <v>15</v>
      </c>
      <c r="AC56" s="10">
        <f ca="1">I11+I13+I21+I37*AD56+I19</f>
        <v>0.17198472886027627</v>
      </c>
      <c r="AD56" s="3">
        <v>0.1537</v>
      </c>
      <c r="AE56" s="10">
        <f t="shared" ca="1" si="9"/>
        <v>1.8284728860276267E-2</v>
      </c>
      <c r="AF56" s="219">
        <v>-1.5883821193556358E-3</v>
      </c>
      <c r="AG56" s="17"/>
      <c r="AH56" s="4"/>
      <c r="AI56" s="4"/>
      <c r="AJ56" s="6"/>
      <c r="AK56" s="6"/>
      <c r="AL56" s="4"/>
      <c r="AM56" s="4"/>
      <c r="AN56" s="139"/>
      <c r="AO56" s="139"/>
      <c r="AP56" s="139"/>
      <c r="AQ56" s="139"/>
      <c r="AR56" s="139"/>
      <c r="AS56" s="139"/>
      <c r="AT56" s="139"/>
      <c r="AU56" s="30"/>
      <c r="AV56" s="139"/>
      <c r="AW56" s="30"/>
      <c r="AX56" s="139"/>
      <c r="AY56" s="224">
        <v>44337</v>
      </c>
      <c r="AZ56" s="71">
        <v>-5.7500000000000002E-2</v>
      </c>
      <c r="BA56" s="71">
        <v>7.0000000000000001E-3</v>
      </c>
      <c r="BE56" s="6"/>
      <c r="BF56" s="6"/>
      <c r="BG56" s="6"/>
      <c r="BH56" s="6"/>
      <c r="BI56" s="6"/>
      <c r="BJ56" s="6"/>
      <c r="BK56" s="6"/>
      <c r="BL56" s="6"/>
      <c r="BM56" s="6"/>
      <c r="BN56" s="6"/>
      <c r="BO56" s="6"/>
      <c r="BP56" s="6"/>
      <c r="BQ56" s="6"/>
      <c r="BR56" s="6"/>
      <c r="BS56" s="6"/>
      <c r="BT56" s="6"/>
      <c r="BU56" s="6"/>
      <c r="BV56" s="6"/>
      <c r="BW56" s="6"/>
      <c r="BX56" s="6"/>
      <c r="BY56" s="6"/>
      <c r="BZ56" s="6"/>
      <c r="CA56" s="6"/>
    </row>
    <row r="57" spans="1:79" ht="15.75" customHeight="1" x14ac:dyDescent="0.25">
      <c r="A57" s="5"/>
      <c r="B57" s="84"/>
      <c r="C57" s="84"/>
      <c r="D57" s="84"/>
      <c r="E57" s="84"/>
      <c r="F57" s="84"/>
      <c r="G57" s="84"/>
      <c r="H57" s="84"/>
      <c r="I57" s="193"/>
      <c r="J57" s="4"/>
      <c r="K57" s="82"/>
      <c r="L57" s="4"/>
      <c r="M57" s="4"/>
      <c r="N57" s="4"/>
      <c r="O57" s="4"/>
      <c r="P57" s="4"/>
      <c r="Q57" s="4"/>
      <c r="R57" s="4"/>
      <c r="S57" s="4"/>
      <c r="T57" s="4"/>
      <c r="U57" s="4"/>
      <c r="V57" s="4"/>
      <c r="W57" s="4"/>
      <c r="X57" s="225" t="s">
        <v>140</v>
      </c>
      <c r="Y57" s="225">
        <f ca="1">SUM(I23:I31)</f>
        <v>0.16195170271165016</v>
      </c>
      <c r="Z57" s="139"/>
      <c r="AA57" s="4"/>
      <c r="AB57" s="214" t="s">
        <v>16</v>
      </c>
      <c r="AC57" s="10">
        <f ca="1">+I3+I5+I7+I9+I37*AD57</f>
        <v>0.1636585610275057</v>
      </c>
      <c r="AD57" s="3">
        <v>7.4899999999999994E-2</v>
      </c>
      <c r="AE57" s="10">
        <f t="shared" ca="1" si="9"/>
        <v>8.8758561027505706E-2</v>
      </c>
      <c r="AF57" s="219">
        <v>-1.1919110753984219E-2</v>
      </c>
      <c r="AG57" s="17"/>
      <c r="AH57" s="4"/>
      <c r="AI57" s="4"/>
      <c r="AJ57" s="6"/>
      <c r="AK57" s="6"/>
      <c r="AL57" s="4"/>
      <c r="AM57" s="4"/>
      <c r="AN57" s="139"/>
      <c r="AO57" s="139"/>
      <c r="AP57" s="139"/>
      <c r="AQ57" s="139"/>
      <c r="AR57" s="139"/>
      <c r="AS57" s="139"/>
      <c r="AT57" s="139"/>
      <c r="AU57" s="30"/>
      <c r="AV57" s="139"/>
      <c r="AW57" s="30"/>
      <c r="AX57" s="139"/>
      <c r="AY57" s="224">
        <v>44368</v>
      </c>
      <c r="AZ57" s="71">
        <v>3.4499999999999999E-3</v>
      </c>
      <c r="BA57" s="71">
        <v>2.7E-2</v>
      </c>
      <c r="BE57" s="6"/>
      <c r="BF57" s="6"/>
      <c r="BG57" s="6"/>
      <c r="BH57" s="6"/>
      <c r="BI57" s="6"/>
      <c r="BJ57" s="6"/>
      <c r="BK57" s="6"/>
      <c r="BL57" s="6"/>
      <c r="BM57" s="6"/>
      <c r="BN57" s="6"/>
      <c r="BO57" s="6"/>
      <c r="BP57" s="6"/>
      <c r="BQ57" s="6"/>
      <c r="BR57" s="6"/>
      <c r="BS57" s="6"/>
      <c r="BT57" s="6"/>
      <c r="BU57" s="6"/>
      <c r="BV57" s="6"/>
      <c r="BW57" s="6"/>
      <c r="BX57" s="6"/>
      <c r="BY57" s="6"/>
      <c r="BZ57" s="6"/>
      <c r="CA57" s="6"/>
    </row>
    <row r="58" spans="1:79" ht="15.75" customHeight="1" x14ac:dyDescent="0.25">
      <c r="A58" s="5"/>
      <c r="B58" s="84"/>
      <c r="C58" s="84"/>
      <c r="D58" s="84"/>
      <c r="E58" s="84"/>
      <c r="F58" s="84"/>
      <c r="G58" s="84"/>
      <c r="H58" s="84"/>
      <c r="I58" s="193"/>
      <c r="J58" s="4"/>
      <c r="K58" s="82"/>
      <c r="L58" s="4"/>
      <c r="M58" s="4"/>
      <c r="N58" s="4"/>
      <c r="O58" s="4"/>
      <c r="P58" s="4"/>
      <c r="Q58" s="4"/>
      <c r="R58" s="4"/>
      <c r="S58" s="4"/>
      <c r="T58" s="4"/>
      <c r="U58" s="4"/>
      <c r="V58" s="4"/>
      <c r="W58" s="4"/>
      <c r="X58" s="226" t="s">
        <v>141</v>
      </c>
      <c r="Y58" s="225">
        <f ca="1">I33+I35</f>
        <v>0.10074167486895676</v>
      </c>
      <c r="Z58" s="139"/>
      <c r="AA58" s="4"/>
      <c r="AB58" s="214" t="s">
        <v>18</v>
      </c>
      <c r="AC58" s="10">
        <f ca="1">I15+I37*AD58</f>
        <v>7.8124225473011497E-2</v>
      </c>
      <c r="AD58" s="3">
        <v>2.5499999999999998E-2</v>
      </c>
      <c r="AE58" s="10">
        <f t="shared" ca="1" si="9"/>
        <v>5.2624225473011502E-2</v>
      </c>
      <c r="AF58" s="219">
        <v>-3.372956909361069E-2</v>
      </c>
      <c r="AG58" s="17"/>
      <c r="AH58" s="4"/>
      <c r="AI58" s="4"/>
      <c r="AJ58" s="6"/>
      <c r="AK58" s="6"/>
      <c r="AL58" s="4"/>
      <c r="AM58" s="4"/>
      <c r="AN58" s="139"/>
      <c r="AO58" s="139"/>
      <c r="AP58" s="139"/>
      <c r="AQ58" s="139"/>
      <c r="AR58" s="139"/>
      <c r="AS58" s="139"/>
      <c r="AT58" s="139"/>
      <c r="AU58" s="30"/>
      <c r="AV58" s="139"/>
      <c r="AW58" s="30"/>
      <c r="AX58" s="139"/>
      <c r="AY58" s="224">
        <v>44398</v>
      </c>
      <c r="AZ58" s="71">
        <v>-7.4000000000000003E-3</v>
      </c>
      <c r="BA58" s="71">
        <v>2.4E-2</v>
      </c>
      <c r="BE58" s="6"/>
      <c r="BF58" s="6"/>
      <c r="BG58" s="6"/>
      <c r="BH58" s="6"/>
      <c r="BI58" s="6"/>
      <c r="BJ58" s="6"/>
      <c r="BK58" s="6"/>
      <c r="BL58" s="6"/>
      <c r="BM58" s="6"/>
      <c r="BN58" s="6"/>
      <c r="BO58" s="6"/>
      <c r="BP58" s="6"/>
      <c r="BQ58" s="6"/>
      <c r="BR58" s="6"/>
      <c r="BS58" s="6"/>
      <c r="BT58" s="6"/>
      <c r="BU58" s="6"/>
      <c r="BV58" s="6"/>
      <c r="BW58" s="6"/>
      <c r="BX58" s="6"/>
      <c r="BY58" s="6"/>
      <c r="BZ58" s="6"/>
      <c r="CA58" s="6"/>
    </row>
    <row r="59" spans="1:79" ht="15.75" customHeight="1" x14ac:dyDescent="0.25">
      <c r="A59" s="5"/>
      <c r="B59" s="84"/>
      <c r="C59" s="84"/>
      <c r="D59" s="84"/>
      <c r="E59" s="84"/>
      <c r="F59" s="84"/>
      <c r="G59" s="84"/>
      <c r="H59" s="84"/>
      <c r="I59" s="193"/>
      <c r="J59" s="4"/>
      <c r="K59" s="82"/>
      <c r="L59" s="4"/>
      <c r="M59" s="4"/>
      <c r="N59" s="4"/>
      <c r="O59" s="4"/>
      <c r="P59" s="4"/>
      <c r="Q59" s="4"/>
      <c r="R59" s="4"/>
      <c r="S59" s="4"/>
      <c r="T59" s="4"/>
      <c r="U59" s="4"/>
      <c r="V59" s="4"/>
      <c r="W59" s="4"/>
      <c r="X59" s="473" t="s">
        <v>119</v>
      </c>
      <c r="Y59" s="225">
        <f ca="1">I39</f>
        <v>0.1093876997715745</v>
      </c>
      <c r="Z59" s="4"/>
      <c r="AA59" s="4"/>
      <c r="AB59" s="214" t="s">
        <v>142</v>
      </c>
      <c r="AC59" s="10">
        <f ca="1">I33+I35</f>
        <v>0.10074167486895676</v>
      </c>
      <c r="AD59" s="3"/>
      <c r="AE59" s="219">
        <f t="shared" ca="1" si="9"/>
        <v>0.10074167486895676</v>
      </c>
      <c r="AF59" s="227"/>
      <c r="AG59" s="17"/>
      <c r="AH59" s="4"/>
      <c r="AI59" s="4"/>
      <c r="AJ59" s="6"/>
      <c r="AK59" s="6"/>
      <c r="AL59" s="4"/>
      <c r="AM59" s="4"/>
      <c r="AN59" s="139"/>
      <c r="AO59" s="139"/>
      <c r="AP59" s="139"/>
      <c r="AQ59" s="139"/>
      <c r="AR59" s="139"/>
      <c r="AS59" s="139"/>
      <c r="AT59" s="139"/>
      <c r="AU59" s="30"/>
      <c r="AV59" s="139"/>
      <c r="AW59" s="30"/>
      <c r="AX59" s="139"/>
      <c r="AY59" s="224">
        <v>44429</v>
      </c>
      <c r="AZ59" s="71">
        <v>2.64E-2</v>
      </c>
      <c r="BA59" s="71">
        <v>2.9759868646097143E-2</v>
      </c>
      <c r="BE59" s="6"/>
      <c r="BF59" s="6"/>
      <c r="BG59" s="6"/>
      <c r="BH59" s="6"/>
      <c r="BI59" s="6"/>
      <c r="BJ59" s="6"/>
      <c r="BK59" s="6"/>
      <c r="BL59" s="6"/>
      <c r="BM59" s="6"/>
      <c r="BN59" s="6"/>
      <c r="BO59" s="6"/>
      <c r="BP59" s="6"/>
      <c r="BQ59" s="6"/>
      <c r="BR59" s="6"/>
      <c r="BS59" s="6"/>
      <c r="BT59" s="6"/>
      <c r="BU59" s="6"/>
      <c r="BV59" s="6"/>
      <c r="BW59" s="6"/>
      <c r="BX59" s="6"/>
      <c r="BY59" s="6"/>
      <c r="BZ59" s="6"/>
      <c r="CA59" s="6"/>
    </row>
    <row r="60" spans="1:79" ht="15.75" customHeight="1" x14ac:dyDescent="0.25">
      <c r="A60" s="5"/>
      <c r="B60" s="84"/>
      <c r="C60" s="84"/>
      <c r="D60" s="84"/>
      <c r="E60" s="84"/>
      <c r="F60" s="84"/>
      <c r="G60" s="84"/>
      <c r="H60" s="84"/>
      <c r="I60" s="193"/>
      <c r="J60" s="4"/>
      <c r="K60" s="82"/>
      <c r="L60" s="4"/>
      <c r="M60" s="4"/>
      <c r="N60" s="4"/>
      <c r="O60" s="4"/>
      <c r="P60" s="4"/>
      <c r="Q60" s="4"/>
      <c r="R60" s="4"/>
      <c r="S60" s="4"/>
      <c r="T60" s="4"/>
      <c r="U60" s="4"/>
      <c r="V60" s="4"/>
      <c r="W60" s="4"/>
      <c r="X60" s="225" t="s">
        <v>121</v>
      </c>
      <c r="Y60" s="225">
        <f ca="1">N43</f>
        <v>0.17297634678451523</v>
      </c>
      <c r="Z60" s="4"/>
      <c r="AA60" s="4"/>
      <c r="AB60" s="46" t="s">
        <v>119</v>
      </c>
      <c r="AC60" s="10">
        <f ca="1">I39</f>
        <v>0.1093876997715745</v>
      </c>
      <c r="AE60" s="219">
        <f t="shared" ca="1" si="9"/>
        <v>0.1093876997715745</v>
      </c>
      <c r="AF60" s="227"/>
      <c r="AG60" s="17"/>
      <c r="AH60" s="4"/>
      <c r="AI60" s="4"/>
      <c r="AJ60" s="6"/>
      <c r="AK60" s="6"/>
      <c r="AL60" s="4"/>
      <c r="AM60" s="4"/>
      <c r="AN60" s="139"/>
      <c r="AO60" s="139"/>
      <c r="AP60" s="139"/>
      <c r="AQ60" s="139"/>
      <c r="AR60" s="139"/>
      <c r="AS60" s="139"/>
      <c r="AT60" s="139"/>
      <c r="AU60" s="30"/>
      <c r="AV60" s="139"/>
      <c r="AW60" s="30"/>
      <c r="AX60" s="139"/>
      <c r="AY60" s="224">
        <v>44460</v>
      </c>
      <c r="AZ60" s="71">
        <v>-1.0999999999999999E-2</v>
      </c>
      <c r="BA60" s="71">
        <v>-4.1000000000000002E-2</v>
      </c>
      <c r="BE60" s="6"/>
      <c r="BF60" s="6"/>
      <c r="BG60" s="6"/>
      <c r="BH60" s="6"/>
      <c r="BI60" s="6"/>
      <c r="BJ60" s="6"/>
      <c r="BK60" s="6"/>
      <c r="BL60" s="6"/>
      <c r="BM60" s="6"/>
      <c r="BN60" s="6"/>
      <c r="BO60" s="6"/>
      <c r="BP60" s="6"/>
      <c r="BQ60" s="6"/>
      <c r="BR60" s="6"/>
      <c r="BS60" s="6"/>
      <c r="BT60" s="6"/>
      <c r="BU60" s="6"/>
      <c r="BV60" s="6"/>
      <c r="BW60" s="6"/>
      <c r="BX60" s="6"/>
      <c r="BY60" s="6"/>
      <c r="BZ60" s="6"/>
      <c r="CA60" s="6"/>
    </row>
    <row r="61" spans="1:79" ht="15.75" customHeight="1" x14ac:dyDescent="0.25">
      <c r="A61" s="5"/>
      <c r="B61" s="84"/>
      <c r="C61" s="84"/>
      <c r="D61" s="84"/>
      <c r="E61" s="84"/>
      <c r="F61" s="84"/>
      <c r="G61" s="84"/>
      <c r="H61" s="84"/>
      <c r="I61" s="193"/>
      <c r="J61" s="4"/>
      <c r="K61" s="82"/>
      <c r="L61" s="4"/>
      <c r="M61" s="4"/>
      <c r="N61" s="4"/>
      <c r="O61" s="4"/>
      <c r="P61" s="4"/>
      <c r="Q61" s="4"/>
      <c r="R61" s="4"/>
      <c r="S61" s="4"/>
      <c r="T61" s="4"/>
      <c r="U61" s="4"/>
      <c r="V61" s="4"/>
      <c r="W61" s="4"/>
      <c r="X61" s="225"/>
      <c r="Y61" s="225">
        <f ca="1">SUM(Y55:Y60)</f>
        <v>1</v>
      </c>
      <c r="Z61" s="4"/>
      <c r="AA61" s="4"/>
      <c r="AB61" s="228" t="s">
        <v>121</v>
      </c>
      <c r="AC61" s="19">
        <f ca="1">N43</f>
        <v>0.17297634678451523</v>
      </c>
      <c r="AD61" s="20"/>
      <c r="AE61" s="229">
        <f t="shared" ca="1" si="9"/>
        <v>0.17297634678451523</v>
      </c>
      <c r="AF61" s="230"/>
      <c r="AG61" s="4"/>
      <c r="AH61" s="4"/>
      <c r="AI61" s="4"/>
      <c r="AJ61" s="6"/>
      <c r="AK61" s="6"/>
      <c r="AL61" s="4"/>
      <c r="AM61" s="4"/>
      <c r="AN61" s="139"/>
      <c r="AO61" s="139"/>
      <c r="AP61" s="139"/>
      <c r="AQ61" s="139"/>
      <c r="AR61" s="139"/>
      <c r="AS61" s="139"/>
      <c r="AT61" s="139"/>
      <c r="AU61" s="30"/>
      <c r="AV61" s="139"/>
      <c r="AW61" s="30"/>
      <c r="AX61" s="139"/>
      <c r="AY61" s="224">
        <v>44490</v>
      </c>
      <c r="AZ61" s="71">
        <f>7.8%</f>
        <v>7.8E-2</v>
      </c>
      <c r="BA61" s="71">
        <v>6.9000000000000006E-2</v>
      </c>
      <c r="BE61" s="6"/>
      <c r="BF61" s="6"/>
      <c r="BG61" s="6"/>
      <c r="BH61" s="6"/>
      <c r="BI61" s="6"/>
      <c r="BJ61" s="6"/>
      <c r="BK61" s="6"/>
      <c r="BL61" s="6"/>
      <c r="BM61" s="6"/>
      <c r="BN61" s="6"/>
      <c r="BO61" s="6"/>
      <c r="BP61" s="6"/>
      <c r="BQ61" s="6"/>
      <c r="BR61" s="6"/>
      <c r="BS61" s="6"/>
      <c r="BT61" s="6"/>
      <c r="BU61" s="6"/>
      <c r="BV61" s="6"/>
      <c r="BW61" s="6"/>
      <c r="BX61" s="6"/>
      <c r="BY61" s="6"/>
      <c r="BZ61" s="6"/>
      <c r="CA61" s="6"/>
    </row>
    <row r="62" spans="1:79" ht="15.75" customHeight="1" x14ac:dyDescent="0.25">
      <c r="A62" s="5"/>
      <c r="B62" s="231" t="s">
        <v>143</v>
      </c>
      <c r="C62" s="232"/>
      <c r="D62" s="232"/>
      <c r="E62" s="232"/>
      <c r="F62" s="232"/>
      <c r="G62" s="232"/>
      <c r="H62" s="232"/>
      <c r="I62" s="233"/>
      <c r="J62" s="205"/>
      <c r="K62" s="234"/>
      <c r="L62" s="205"/>
      <c r="M62" s="205"/>
      <c r="N62" s="205"/>
      <c r="O62" s="205"/>
      <c r="P62" s="205"/>
      <c r="Q62" s="205"/>
      <c r="R62" s="205"/>
      <c r="S62" s="205"/>
      <c r="T62" s="205"/>
      <c r="U62" s="205"/>
      <c r="V62" s="205"/>
      <c r="W62" s="205"/>
      <c r="X62" s="205"/>
      <c r="Y62" s="4"/>
      <c r="Z62" s="4"/>
      <c r="AA62" s="4"/>
      <c r="AB62" s="31"/>
      <c r="AC62" s="215">
        <f t="shared" ref="AC62:AD62" ca="1" si="10">SUM(AC48:AC61)</f>
        <v>1</v>
      </c>
      <c r="AD62" s="235">
        <f t="shared" si="10"/>
        <v>1.0000000000000002</v>
      </c>
      <c r="AE62" s="17"/>
      <c r="AF62" s="4"/>
      <c r="AG62" s="4"/>
      <c r="AH62" s="4"/>
      <c r="AI62" s="4"/>
      <c r="AJ62" s="6"/>
      <c r="AK62" s="6"/>
      <c r="AL62" s="4"/>
      <c r="AM62" s="4"/>
      <c r="AN62" s="139"/>
      <c r="AO62" s="139"/>
      <c r="AP62" s="139"/>
      <c r="AQ62" s="139"/>
      <c r="AR62" s="139"/>
      <c r="AS62" s="139"/>
      <c r="AT62" s="139"/>
      <c r="AU62" s="30"/>
      <c r="AV62" s="139"/>
      <c r="AW62" s="30"/>
      <c r="AX62" s="139"/>
      <c r="AY62" s="224">
        <v>44521</v>
      </c>
      <c r="AZ62" s="71">
        <v>-2E-3</v>
      </c>
      <c r="BA62" s="71">
        <v>-8.0000000000000002E-3</v>
      </c>
      <c r="BE62" s="6"/>
      <c r="BF62" s="6"/>
      <c r="BG62" s="6"/>
      <c r="BH62" s="6"/>
      <c r="BI62" s="6"/>
      <c r="BJ62" s="6"/>
      <c r="BK62" s="6"/>
      <c r="BL62" s="6"/>
      <c r="BM62" s="6"/>
      <c r="BN62" s="6"/>
      <c r="BO62" s="6"/>
      <c r="BP62" s="6"/>
      <c r="BQ62" s="6"/>
      <c r="BR62" s="6"/>
      <c r="BS62" s="6"/>
      <c r="BT62" s="6"/>
      <c r="BU62" s="6"/>
      <c r="BV62" s="6"/>
      <c r="BW62" s="6"/>
      <c r="BX62" s="6"/>
      <c r="BY62" s="6"/>
      <c r="BZ62" s="6"/>
      <c r="CA62" s="6"/>
    </row>
    <row r="63" spans="1:79" ht="15.75" customHeight="1" x14ac:dyDescent="0.25">
      <c r="A63" s="68"/>
      <c r="B63" s="68"/>
      <c r="C63" s="449" t="s">
        <v>34</v>
      </c>
      <c r="D63" s="450"/>
      <c r="E63" s="450"/>
      <c r="F63" s="450"/>
      <c r="G63" s="450"/>
      <c r="H63" s="450"/>
      <c r="I63" s="451"/>
      <c r="J63" s="452" t="s">
        <v>144</v>
      </c>
      <c r="K63" s="453"/>
      <c r="L63" s="453"/>
      <c r="M63" s="453"/>
      <c r="N63" s="453"/>
      <c r="O63" s="453"/>
      <c r="P63" s="453"/>
      <c r="Q63" s="453"/>
      <c r="R63" s="453"/>
      <c r="S63" s="453"/>
      <c r="T63" s="453"/>
      <c r="U63" s="453"/>
      <c r="V63" s="453"/>
      <c r="W63" s="453"/>
      <c r="X63" s="454"/>
      <c r="Y63" s="4"/>
      <c r="Z63" s="4"/>
      <c r="AA63" s="4"/>
      <c r="AB63" s="4"/>
      <c r="AC63" s="4"/>
      <c r="AD63" s="4"/>
      <c r="AE63" s="4"/>
      <c r="AF63" s="4"/>
      <c r="AG63" s="4"/>
      <c r="AH63" s="6"/>
      <c r="AI63" s="6"/>
      <c r="AJ63" s="6"/>
      <c r="AK63" s="6"/>
      <c r="AL63" s="4"/>
      <c r="AM63" s="4"/>
      <c r="AN63" s="139"/>
      <c r="AO63" s="139"/>
      <c r="AP63" s="139"/>
      <c r="AQ63" s="139"/>
      <c r="AR63" s="139"/>
      <c r="AS63" s="139"/>
      <c r="AT63" s="139"/>
      <c r="AU63" s="30"/>
      <c r="AV63" s="139"/>
      <c r="AW63" s="30"/>
      <c r="AX63" s="139"/>
      <c r="AY63" s="224">
        <v>44551</v>
      </c>
      <c r="AZ63" s="71">
        <v>4.9000000000000002E-2</v>
      </c>
      <c r="BA63" s="71">
        <v>4.2999999999999997E-2</v>
      </c>
      <c r="BE63" s="6"/>
      <c r="BF63" s="6"/>
      <c r="BG63" s="6"/>
      <c r="BH63" s="6"/>
      <c r="BI63" s="6"/>
      <c r="BJ63" s="6"/>
      <c r="BK63" s="6"/>
      <c r="BL63" s="6"/>
      <c r="BM63" s="6"/>
      <c r="BN63" s="6"/>
      <c r="BO63" s="6"/>
      <c r="BP63" s="6"/>
      <c r="BQ63" s="6"/>
      <c r="BR63" s="6"/>
      <c r="BS63" s="6"/>
      <c r="BT63" s="6"/>
      <c r="BU63" s="6"/>
      <c r="BV63" s="6"/>
      <c r="BW63" s="6"/>
      <c r="BX63" s="6"/>
      <c r="BY63" s="6"/>
      <c r="BZ63" s="6"/>
      <c r="CA63" s="6"/>
    </row>
    <row r="64" spans="1:79" ht="48" x14ac:dyDescent="0.25">
      <c r="A64" s="37"/>
      <c r="B64" s="38" t="s">
        <v>0</v>
      </c>
      <c r="C64" s="39" t="s">
        <v>1</v>
      </c>
      <c r="D64" s="38" t="s">
        <v>39</v>
      </c>
      <c r="E64" s="38" t="s">
        <v>2</v>
      </c>
      <c r="F64" s="38" t="s">
        <v>40</v>
      </c>
      <c r="G64" s="38" t="s">
        <v>41</v>
      </c>
      <c r="H64" s="236" t="s">
        <v>145</v>
      </c>
      <c r="I64" s="38" t="s">
        <v>43</v>
      </c>
      <c r="J64" s="237" t="s">
        <v>146</v>
      </c>
      <c r="K64" s="40" t="s">
        <v>44</v>
      </c>
      <c r="L64" s="237" t="s">
        <v>45</v>
      </c>
      <c r="M64" s="40" t="s">
        <v>46</v>
      </c>
      <c r="N64" s="238" t="s">
        <v>147</v>
      </c>
      <c r="O64" s="40" t="s">
        <v>48</v>
      </c>
      <c r="P64" s="40" t="s">
        <v>49</v>
      </c>
      <c r="Q64" s="40" t="s">
        <v>50</v>
      </c>
      <c r="R64" s="455" t="s">
        <v>148</v>
      </c>
      <c r="S64" s="456"/>
      <c r="T64" s="456"/>
      <c r="U64" s="456"/>
      <c r="V64" s="456"/>
      <c r="W64" s="456"/>
      <c r="X64" s="457"/>
      <c r="Y64" s="4"/>
      <c r="Z64" s="4"/>
      <c r="AA64" s="4"/>
      <c r="AB64" s="4"/>
      <c r="AC64" s="4"/>
      <c r="AD64" s="4"/>
      <c r="AE64" s="4"/>
      <c r="AF64" s="4"/>
      <c r="AG64" s="4"/>
      <c r="AH64" s="45"/>
      <c r="AI64" s="45"/>
      <c r="AJ64" s="45"/>
      <c r="AK64" s="45"/>
      <c r="AL64" s="45"/>
      <c r="AM64" s="45"/>
      <c r="AN64" s="45"/>
      <c r="AO64" s="45"/>
      <c r="AP64" s="45"/>
      <c r="AQ64" s="45"/>
      <c r="AR64" s="45"/>
      <c r="AS64" s="45"/>
      <c r="AT64" s="45"/>
      <c r="AU64" s="45"/>
      <c r="AV64" s="45"/>
      <c r="AW64" s="45"/>
      <c r="AX64" s="45"/>
      <c r="AY64" s="224">
        <v>44583</v>
      </c>
      <c r="AZ64" s="71">
        <v>-2.0706362890920212E-2</v>
      </c>
      <c r="BA64" s="71">
        <v>-5.2741283476503198E-2</v>
      </c>
      <c r="BD64" s="37"/>
      <c r="BE64" s="37"/>
      <c r="BF64" s="37"/>
      <c r="BG64" s="37"/>
      <c r="BH64" s="37"/>
      <c r="BI64" s="37"/>
      <c r="BJ64" s="37"/>
      <c r="BK64" s="37"/>
      <c r="BL64" s="37"/>
      <c r="BM64" s="37"/>
      <c r="BN64" s="37"/>
      <c r="BO64" s="37"/>
      <c r="BP64" s="37"/>
      <c r="BQ64" s="37"/>
      <c r="BR64" s="37"/>
    </row>
    <row r="65" spans="1:79" ht="15.75" customHeight="1" x14ac:dyDescent="0.25">
      <c r="A65" s="5">
        <v>1</v>
      </c>
      <c r="B65" s="1" t="s">
        <v>5</v>
      </c>
      <c r="C65" s="48" t="str">
        <f ca="1">IFERROR(__xludf.DUMMYFUNCTION("GoogleFinance(B65,""name"")"),"Loading...")</f>
        <v>Loading...</v>
      </c>
      <c r="D65" s="49">
        <f ca="1">IFERROR(__xludf.DUMMYFUNCTION("GoogleFinance(B65,""marketcap"")/1000000"),391015.728176)</f>
        <v>391015.728176</v>
      </c>
      <c r="E65" s="50" t="s">
        <v>69</v>
      </c>
      <c r="F65" s="50" t="s">
        <v>69</v>
      </c>
      <c r="G65" s="51">
        <v>44911</v>
      </c>
      <c r="H65" s="51">
        <v>44929</v>
      </c>
      <c r="I65" s="12">
        <v>0.10015609559977122</v>
      </c>
      <c r="J65" s="113">
        <v>383</v>
      </c>
      <c r="K65" s="53">
        <v>383.5</v>
      </c>
      <c r="L65" s="54">
        <v>26.07561929595828</v>
      </c>
      <c r="M65" s="55">
        <f t="shared" ref="M65:M95" si="11">L65*K65</f>
        <v>10000</v>
      </c>
      <c r="N65" s="56">
        <f t="shared" ref="N65:N97" si="12">J65*L65</f>
        <v>9986.9621903520219</v>
      </c>
      <c r="O65" s="56">
        <f t="shared" ref="O65:O97" si="13">N65-M65</f>
        <v>-13.037809647978065</v>
      </c>
      <c r="P65" s="57">
        <f t="shared" ref="P65:P97" si="14">J65/K65-1</f>
        <v>-1.3037809647978849E-3</v>
      </c>
      <c r="Q65" s="58">
        <v>5</v>
      </c>
      <c r="R65" s="239" t="s">
        <v>149</v>
      </c>
      <c r="S65" s="4"/>
      <c r="T65" s="4"/>
      <c r="U65" s="4"/>
      <c r="V65" s="4"/>
      <c r="W65" s="4"/>
      <c r="X65" s="4"/>
      <c r="Y65" s="4"/>
      <c r="Z65" s="4"/>
      <c r="AA65" s="4"/>
      <c r="AB65" s="4"/>
      <c r="AC65" s="4"/>
      <c r="AD65" s="4"/>
      <c r="AE65" s="4"/>
      <c r="AF65" s="4"/>
      <c r="AG65" s="4"/>
      <c r="AH65" s="6"/>
      <c r="AI65" s="6"/>
      <c r="AJ65" s="6"/>
      <c r="AK65" s="6"/>
      <c r="AL65" s="4"/>
      <c r="AM65" s="4"/>
      <c r="AN65" s="139"/>
      <c r="AO65" s="139"/>
      <c r="AP65" s="139"/>
      <c r="AQ65" s="139"/>
      <c r="AR65" s="139"/>
      <c r="AS65" s="139"/>
      <c r="AT65" s="139"/>
      <c r="AU65" s="30"/>
      <c r="AV65" s="139"/>
      <c r="AW65" s="30"/>
      <c r="AX65" s="139"/>
      <c r="AY65" s="224">
        <v>44614</v>
      </c>
      <c r="AZ65" s="71">
        <v>-2.3E-2</v>
      </c>
      <c r="BA65" s="71">
        <v>-3.1E-2</v>
      </c>
      <c r="BE65" s="6"/>
      <c r="BF65" s="6"/>
      <c r="BG65" s="6"/>
      <c r="BH65" s="6"/>
      <c r="BI65" s="6"/>
      <c r="BJ65" s="6"/>
      <c r="BK65" s="6"/>
      <c r="BL65" s="6"/>
      <c r="BM65" s="6"/>
      <c r="BN65" s="6"/>
      <c r="BO65" s="6"/>
      <c r="BP65" s="6"/>
      <c r="BQ65" s="6"/>
      <c r="BR65" s="6"/>
      <c r="BS65" s="6"/>
      <c r="BT65" s="6"/>
      <c r="BU65" s="6"/>
      <c r="BV65" s="6"/>
      <c r="BW65" s="6"/>
      <c r="BX65" s="6"/>
      <c r="BY65" s="6"/>
      <c r="BZ65" s="6"/>
      <c r="CA65" s="6"/>
    </row>
    <row r="66" spans="1:79" ht="15.75" customHeight="1" x14ac:dyDescent="0.25">
      <c r="A66" s="5">
        <v>2</v>
      </c>
      <c r="B66" s="22" t="s">
        <v>150</v>
      </c>
      <c r="C66" s="141" t="str">
        <f ca="1">IFERROR(__xludf.DUMMYFUNCTION("GoogleFinance(B66,""name"")"),"Loading...")</f>
        <v>Loading...</v>
      </c>
      <c r="D66" s="142">
        <f ca="1">IFERROR(__xludf.DUMMYFUNCTION("GoogleFinance(B66,""marketcap"")/1000000"),2491036.438031)</f>
        <v>2491036.4380310001</v>
      </c>
      <c r="E66" s="23" t="s">
        <v>8</v>
      </c>
      <c r="F66" s="23" t="s">
        <v>151</v>
      </c>
      <c r="G66" s="131">
        <v>44860</v>
      </c>
      <c r="H66" s="51">
        <v>44929</v>
      </c>
      <c r="I66" s="143">
        <v>2.0977750995813324E-2</v>
      </c>
      <c r="J66" s="161">
        <v>241.6</v>
      </c>
      <c r="K66" s="145">
        <v>231</v>
      </c>
      <c r="L66" s="240">
        <v>8.6580086580086579</v>
      </c>
      <c r="M66" s="146">
        <f t="shared" si="11"/>
        <v>2000</v>
      </c>
      <c r="N66" s="146">
        <f t="shared" si="12"/>
        <v>2091.7748917748918</v>
      </c>
      <c r="O66" s="241">
        <f t="shared" si="13"/>
        <v>91.774891774891785</v>
      </c>
      <c r="P66" s="148">
        <f t="shared" si="14"/>
        <v>4.5887445887445866E-2</v>
      </c>
      <c r="Q66" s="149">
        <v>45</v>
      </c>
      <c r="R66" s="1" t="s">
        <v>149</v>
      </c>
      <c r="S66" s="4"/>
      <c r="T66" s="4"/>
      <c r="U66" s="4"/>
      <c r="V66" s="4"/>
      <c r="W66" s="4"/>
      <c r="X66" s="4"/>
      <c r="Y66" s="4"/>
      <c r="Z66" s="4"/>
      <c r="AA66" s="4"/>
      <c r="AB66" s="4"/>
      <c r="AC66" s="4"/>
      <c r="AD66" s="4"/>
      <c r="AE66" s="4"/>
      <c r="AF66" s="4"/>
      <c r="AG66" s="4"/>
      <c r="AJ66" s="6"/>
      <c r="AK66" s="6"/>
      <c r="AL66" s="4"/>
      <c r="AM66" s="4"/>
      <c r="AN66" s="139"/>
      <c r="AO66" s="139"/>
      <c r="AP66" s="139"/>
      <c r="AQ66" s="139"/>
      <c r="AR66" s="139"/>
      <c r="AS66" s="139"/>
      <c r="AT66" s="139"/>
      <c r="AU66" s="30"/>
      <c r="AV66" s="139"/>
      <c r="AW66" s="30"/>
      <c r="AX66" s="139"/>
      <c r="AY66" s="242">
        <v>45007</v>
      </c>
      <c r="AZ66" s="71">
        <v>0.03</v>
      </c>
      <c r="BA66" s="71">
        <v>-3.1E-2</v>
      </c>
      <c r="BD66" s="6"/>
      <c r="BE66" s="6"/>
      <c r="BF66" s="6"/>
      <c r="BG66" s="6"/>
      <c r="BH66" s="6"/>
      <c r="BI66" s="6"/>
      <c r="BJ66" s="6"/>
      <c r="BK66" s="6"/>
      <c r="BL66" s="6"/>
      <c r="BM66" s="6"/>
      <c r="BN66" s="6"/>
      <c r="BO66" s="6"/>
      <c r="BP66" s="6"/>
      <c r="BQ66" s="6"/>
      <c r="BR66" s="6"/>
      <c r="BS66" s="6"/>
      <c r="BT66" s="6"/>
      <c r="BU66" s="6"/>
      <c r="BV66" s="6"/>
      <c r="BW66" s="6"/>
      <c r="BX66" s="6"/>
      <c r="BY66" s="6"/>
      <c r="BZ66" s="6"/>
      <c r="CA66" s="6"/>
    </row>
    <row r="67" spans="1:79" ht="15.75" customHeight="1" x14ac:dyDescent="0.25">
      <c r="A67" s="5">
        <v>3</v>
      </c>
      <c r="B67" s="1" t="s">
        <v>152</v>
      </c>
      <c r="C67" s="48" t="str">
        <f ca="1">IFERROR(__xludf.DUMMYFUNCTION("GoogleFinance(B67,""name"")"),"Loading...")</f>
        <v>Loading...</v>
      </c>
      <c r="D67" s="49">
        <f ca="1">IFERROR(__xludf.DUMMYFUNCTION("GoogleFinance(B67,""marketcap"")/1000000"),444102.2163)</f>
        <v>444102.21629999997</v>
      </c>
      <c r="E67" s="50" t="s">
        <v>15</v>
      </c>
      <c r="F67" s="50" t="s">
        <v>153</v>
      </c>
      <c r="G67" s="51">
        <v>44792</v>
      </c>
      <c r="H67" s="51">
        <v>44931</v>
      </c>
      <c r="I67" s="12">
        <v>3.6964646636037574E-2</v>
      </c>
      <c r="J67" s="113">
        <f ca="1">IFERROR(__xludf.DUMMYFUNCTION("GOOGLEFINANCE(B67)"),477)</f>
        <v>477</v>
      </c>
      <c r="K67" s="53">
        <v>530.37</v>
      </c>
      <c r="L67" s="54">
        <v>7.5419047080340142</v>
      </c>
      <c r="M67" s="55">
        <f t="shared" si="11"/>
        <v>4000</v>
      </c>
      <c r="N67" s="56">
        <f t="shared" ca="1" si="12"/>
        <v>3597.4885457322248</v>
      </c>
      <c r="O67" s="56">
        <f t="shared" ca="1" si="13"/>
        <v>-402.51145426777521</v>
      </c>
      <c r="P67" s="57">
        <f t="shared" ca="1" si="14"/>
        <v>-0.10062786356694386</v>
      </c>
      <c r="Q67" s="58">
        <v>50</v>
      </c>
      <c r="R67" s="6" t="s">
        <v>51</v>
      </c>
      <c r="S67" s="4"/>
      <c r="T67" s="4"/>
      <c r="U67" s="4"/>
      <c r="V67" s="4"/>
      <c r="W67" s="4"/>
      <c r="X67" s="4"/>
      <c r="Y67" s="4"/>
      <c r="Z67" s="4"/>
      <c r="AA67" s="4"/>
      <c r="AB67" s="4"/>
      <c r="AC67" s="4"/>
      <c r="AD67" s="4"/>
      <c r="AE67" s="4"/>
      <c r="AF67" s="4"/>
      <c r="AG67" s="4"/>
      <c r="AJ67" s="6"/>
      <c r="AK67" s="6"/>
      <c r="AL67" s="4"/>
      <c r="AM67" s="4"/>
      <c r="AN67" s="139"/>
      <c r="AO67" s="139"/>
      <c r="AP67" s="139"/>
      <c r="AQ67" s="139"/>
      <c r="AR67" s="139"/>
      <c r="AS67" s="139"/>
      <c r="AT67" s="139"/>
      <c r="AU67" s="30"/>
      <c r="AV67" s="139"/>
      <c r="AW67" s="30"/>
      <c r="AX67" s="139"/>
      <c r="AY67" s="243" t="s">
        <v>154</v>
      </c>
      <c r="AZ67" s="71">
        <v>-9.0999999999999998E-2</v>
      </c>
      <c r="BA67" s="71">
        <v>-3.1E-2</v>
      </c>
      <c r="BD67" s="6"/>
      <c r="BE67" s="6"/>
      <c r="BF67" s="6"/>
      <c r="BG67" s="6"/>
      <c r="BH67" s="6"/>
      <c r="BI67" s="6"/>
      <c r="BJ67" s="6"/>
      <c r="BK67" s="6"/>
      <c r="BL67" s="6"/>
      <c r="BM67" s="6"/>
      <c r="BN67" s="6"/>
      <c r="BO67" s="6"/>
      <c r="BP67" s="6"/>
      <c r="BQ67" s="6"/>
      <c r="BR67" s="6"/>
      <c r="BS67" s="6"/>
      <c r="BT67" s="6"/>
      <c r="BU67" s="6"/>
      <c r="BV67" s="6"/>
      <c r="BW67" s="6"/>
      <c r="BX67" s="6"/>
      <c r="BY67" s="6"/>
      <c r="BZ67" s="6"/>
      <c r="CA67" s="6"/>
    </row>
    <row r="68" spans="1:79" ht="15.75" customHeight="1" x14ac:dyDescent="0.25">
      <c r="A68" s="5">
        <v>4</v>
      </c>
      <c r="B68" s="1" t="s">
        <v>155</v>
      </c>
      <c r="C68" s="48" t="str">
        <f ca="1">IFERROR(__xludf.DUMMYFUNCTION("GoogleFinance(B68,""name"")"),"Loading...")</f>
        <v>Loading...</v>
      </c>
      <c r="D68" s="49">
        <f ca="1">IFERROR(__xludf.DUMMYFUNCTION("GoogleFinance(B68,""marketcap"")/1000000"),124916.486699)</f>
        <v>124916.486699</v>
      </c>
      <c r="E68" s="50" t="s">
        <v>13</v>
      </c>
      <c r="F68" s="50" t="s">
        <v>156</v>
      </c>
      <c r="G68" s="51">
        <v>44911</v>
      </c>
      <c r="H68" s="51">
        <v>44953</v>
      </c>
      <c r="I68" s="12">
        <v>4.5999999999999999E-2</v>
      </c>
      <c r="J68" s="113">
        <v>171.1</v>
      </c>
      <c r="K68" s="53">
        <v>145.9</v>
      </c>
      <c r="L68" s="54">
        <v>14</v>
      </c>
      <c r="M68" s="55">
        <f t="shared" si="11"/>
        <v>2042.6000000000001</v>
      </c>
      <c r="N68" s="56">
        <f t="shared" si="12"/>
        <v>2395.4</v>
      </c>
      <c r="O68" s="56">
        <f t="shared" si="13"/>
        <v>352.79999999999995</v>
      </c>
      <c r="P68" s="57">
        <f t="shared" si="14"/>
        <v>0.17272104180945846</v>
      </c>
      <c r="Q68" s="58">
        <v>34</v>
      </c>
      <c r="R68" s="1" t="s">
        <v>157</v>
      </c>
      <c r="S68" s="4"/>
      <c r="T68" s="4"/>
      <c r="U68" s="4"/>
      <c r="V68" s="4"/>
      <c r="W68" s="4"/>
      <c r="X68" s="4"/>
      <c r="Y68" s="4"/>
      <c r="Z68" s="4"/>
      <c r="AA68" s="4"/>
      <c r="AB68" s="4"/>
      <c r="AC68" s="4"/>
      <c r="AD68" s="4"/>
      <c r="AE68" s="4"/>
      <c r="AF68" s="4"/>
      <c r="AG68" s="4"/>
      <c r="AJ68" s="6"/>
      <c r="AK68" s="6"/>
      <c r="AL68" s="4"/>
      <c r="AM68" s="4"/>
      <c r="AN68" s="139"/>
      <c r="AO68" s="139"/>
      <c r="AP68" s="139"/>
      <c r="AQ68" s="139"/>
      <c r="AR68" s="139"/>
      <c r="AS68" s="139"/>
      <c r="AT68" s="139"/>
      <c r="AU68" s="30"/>
      <c r="AV68" s="139"/>
      <c r="AW68" s="30"/>
      <c r="AX68" s="139"/>
      <c r="AY68" s="244">
        <v>45068</v>
      </c>
      <c r="AZ68" s="71">
        <v>1.52E-2</v>
      </c>
      <c r="BA68" s="71">
        <v>-3.1E-2</v>
      </c>
      <c r="BD68" s="6"/>
      <c r="BE68" s="6"/>
      <c r="BF68" s="6"/>
      <c r="BG68" s="6"/>
      <c r="BH68" s="6"/>
      <c r="BI68" s="6"/>
      <c r="BJ68" s="6"/>
      <c r="BK68" s="6"/>
      <c r="BL68" s="6"/>
      <c r="BM68" s="6"/>
      <c r="BN68" s="6"/>
      <c r="BO68" s="6"/>
      <c r="BP68" s="6"/>
      <c r="BQ68" s="6"/>
      <c r="BR68" s="6"/>
      <c r="BS68" s="6"/>
      <c r="BT68" s="6"/>
      <c r="BU68" s="6"/>
      <c r="BV68" s="6"/>
      <c r="BW68" s="6"/>
      <c r="BX68" s="6"/>
      <c r="BY68" s="6"/>
      <c r="BZ68" s="6"/>
      <c r="CA68" s="6"/>
    </row>
    <row r="69" spans="1:79" ht="15.75" customHeight="1" x14ac:dyDescent="0.25">
      <c r="A69" s="5">
        <v>5</v>
      </c>
      <c r="B69" s="1" t="s">
        <v>158</v>
      </c>
      <c r="C69" s="48" t="str">
        <f ca="1">IFERROR(__xludf.DUMMYFUNCTION("GoogleFinance(B69,""name"")"),"Loading...")</f>
        <v>Loading...</v>
      </c>
      <c r="D69" s="49">
        <f ca="1">IFERROR(__xludf.DUMMYFUNCTION("GoogleFinance(B69,""marketcap"")/1000000"),133146.106362)</f>
        <v>133146.10636199999</v>
      </c>
      <c r="E69" s="50" t="s">
        <v>10</v>
      </c>
      <c r="F69" s="50" t="s">
        <v>159</v>
      </c>
      <c r="G69" s="51">
        <v>44624</v>
      </c>
      <c r="H69" s="51">
        <v>44960</v>
      </c>
      <c r="I69" s="12">
        <f t="shared" ref="I69:I70" ca="1" si="15">N69/$M$44</f>
        <v>2.1505756712441246E-2</v>
      </c>
      <c r="J69" s="113">
        <v>203</v>
      </c>
      <c r="K69" s="53">
        <v>186.58</v>
      </c>
      <c r="L69" s="54">
        <f>2000/K69</f>
        <v>10.719262514738984</v>
      </c>
      <c r="M69" s="55">
        <f t="shared" si="11"/>
        <v>1999.9999999999998</v>
      </c>
      <c r="N69" s="56">
        <f t="shared" si="12"/>
        <v>2176.0102904920136</v>
      </c>
      <c r="O69" s="56">
        <f t="shared" si="13"/>
        <v>176.01029049201384</v>
      </c>
      <c r="P69" s="57">
        <f t="shared" si="14"/>
        <v>8.800514524600711E-2</v>
      </c>
      <c r="Q69" s="58">
        <v>360</v>
      </c>
      <c r="R69" s="1" t="s">
        <v>51</v>
      </c>
      <c r="S69" s="4"/>
      <c r="T69" s="4"/>
      <c r="U69" s="4"/>
      <c r="V69" s="4"/>
      <c r="W69" s="4"/>
      <c r="X69" s="4"/>
      <c r="Y69" s="4"/>
      <c r="Z69" s="4"/>
      <c r="AA69" s="4"/>
      <c r="AB69" s="4"/>
      <c r="AC69" s="4"/>
      <c r="AD69" s="4"/>
      <c r="AE69" s="4"/>
      <c r="AF69" s="4"/>
      <c r="AG69" s="4"/>
      <c r="AJ69" s="6"/>
      <c r="AK69" s="6"/>
      <c r="AL69" s="4"/>
      <c r="AM69" s="4"/>
      <c r="AN69" s="139"/>
      <c r="AO69" s="139"/>
      <c r="AP69" s="139"/>
      <c r="AQ69" s="139"/>
      <c r="AR69" s="139"/>
      <c r="AS69" s="139"/>
      <c r="AT69" s="139"/>
      <c r="AU69" s="30"/>
      <c r="AV69" s="139"/>
      <c r="AW69" s="30"/>
      <c r="AX69" s="139"/>
      <c r="AY69" s="224">
        <v>44734</v>
      </c>
      <c r="AZ69" s="245">
        <v>-9.6000000000000002E-2</v>
      </c>
      <c r="BA69" s="71">
        <v>-8.4000000000000005E-2</v>
      </c>
      <c r="BD69" s="6"/>
      <c r="BE69" s="6"/>
      <c r="BF69" s="6"/>
      <c r="BG69" s="6"/>
      <c r="BH69" s="6"/>
      <c r="BI69" s="6"/>
      <c r="BJ69" s="6"/>
      <c r="BK69" s="6"/>
      <c r="BL69" s="6"/>
      <c r="BM69" s="6"/>
      <c r="BN69" s="6"/>
      <c r="BO69" s="6"/>
      <c r="BP69" s="6"/>
      <c r="BQ69" s="6"/>
      <c r="BR69" s="6"/>
      <c r="BS69" s="6"/>
      <c r="BT69" s="6"/>
      <c r="BU69" s="6"/>
      <c r="BV69" s="6"/>
      <c r="BW69" s="6"/>
      <c r="BX69" s="6"/>
      <c r="BY69" s="6"/>
      <c r="BZ69" s="6"/>
      <c r="CA69" s="6"/>
    </row>
    <row r="70" spans="1:79" ht="15.75" customHeight="1" x14ac:dyDescent="0.25">
      <c r="A70" s="5">
        <v>6</v>
      </c>
      <c r="B70" s="1" t="s">
        <v>160</v>
      </c>
      <c r="C70" s="48" t="str">
        <f ca="1">IFERROR(__xludf.DUMMYFUNCTION("GoogleFinance(B70,""name"")"),"Loading...")</f>
        <v>Loading...</v>
      </c>
      <c r="D70" s="49">
        <f ca="1">IFERROR(__xludf.DUMMYFUNCTION("GoogleFinance(B70,""marketcap"")/1000000"),804048.421125)</f>
        <v>804048.42112499999</v>
      </c>
      <c r="E70" s="50" t="s">
        <v>139</v>
      </c>
      <c r="F70" s="50" t="s">
        <v>161</v>
      </c>
      <c r="G70" s="51">
        <v>44859</v>
      </c>
      <c r="H70" s="51">
        <v>44966</v>
      </c>
      <c r="I70" s="12">
        <f t="shared" ca="1" si="15"/>
        <v>1.0216668596939125E-2</v>
      </c>
      <c r="J70" s="113">
        <v>206.75</v>
      </c>
      <c r="K70" s="53">
        <v>217</v>
      </c>
      <c r="L70" s="54">
        <v>5</v>
      </c>
      <c r="M70" s="55">
        <f t="shared" si="11"/>
        <v>1085</v>
      </c>
      <c r="N70" s="56">
        <f t="shared" si="12"/>
        <v>1033.75</v>
      </c>
      <c r="O70" s="56">
        <f t="shared" si="13"/>
        <v>-51.25</v>
      </c>
      <c r="P70" s="57">
        <f t="shared" si="14"/>
        <v>-4.7235023041474644E-2</v>
      </c>
      <c r="Q70" s="58">
        <v>100</v>
      </c>
      <c r="R70" s="1" t="s">
        <v>157</v>
      </c>
      <c r="S70" s="4"/>
      <c r="T70" s="4"/>
      <c r="U70" s="4"/>
      <c r="V70" s="4"/>
      <c r="W70" s="4"/>
      <c r="X70" s="4"/>
      <c r="Y70" s="4"/>
      <c r="Z70" s="4"/>
      <c r="AA70" s="4"/>
      <c r="AB70" s="4"/>
      <c r="AC70" s="4"/>
      <c r="AD70" s="4"/>
      <c r="AE70" s="4"/>
      <c r="AF70" s="4"/>
      <c r="AG70" s="4"/>
      <c r="AJ70" s="6"/>
      <c r="AK70" s="6"/>
      <c r="AL70" s="4"/>
      <c r="AM70" s="4"/>
      <c r="AN70" s="139"/>
      <c r="AO70" s="139"/>
      <c r="AP70" s="139"/>
      <c r="AQ70" s="139"/>
      <c r="AR70" s="139"/>
      <c r="AS70" s="139"/>
      <c r="AT70" s="139"/>
      <c r="AU70" s="30"/>
      <c r="AV70" s="139"/>
      <c r="AW70" s="30"/>
      <c r="AX70" s="139"/>
      <c r="AY70" s="224">
        <v>44764</v>
      </c>
      <c r="AZ70" s="245">
        <v>5.2999999999999999E-2</v>
      </c>
      <c r="BA70" s="71">
        <v>9.1999999999999998E-2</v>
      </c>
      <c r="BD70" s="6"/>
      <c r="BE70" s="6"/>
      <c r="BF70" s="6"/>
      <c r="BG70" s="6"/>
      <c r="BH70" s="6"/>
      <c r="BI70" s="6"/>
      <c r="BJ70" s="6"/>
      <c r="BK70" s="6"/>
      <c r="BL70" s="6"/>
      <c r="BM70" s="6"/>
      <c r="BN70" s="6"/>
      <c r="BO70" s="6"/>
      <c r="BP70" s="6"/>
      <c r="BQ70" s="6"/>
      <c r="BR70" s="6"/>
      <c r="BS70" s="6"/>
      <c r="BT70" s="6"/>
      <c r="BU70" s="6"/>
      <c r="BV70" s="6"/>
      <c r="BW70" s="6"/>
      <c r="BX70" s="6"/>
      <c r="BY70" s="6"/>
      <c r="BZ70" s="6"/>
      <c r="CA70" s="6"/>
    </row>
    <row r="71" spans="1:79" ht="15.75" customHeight="1" x14ac:dyDescent="0.25">
      <c r="A71" s="5">
        <v>7</v>
      </c>
      <c r="B71" s="22" t="s">
        <v>92</v>
      </c>
      <c r="C71" s="141" t="str">
        <f ca="1">IFERROR(__xludf.DUMMYFUNCTION("GoogleFinance(B71,""name"")"),"Loading...")</f>
        <v>Loading...</v>
      </c>
      <c r="D71" s="142">
        <f ca="1">IFERROR(__xludf.DUMMYFUNCTION("GoogleFinance(B71,""marketcap"")/1000000"),430038.325737)</f>
        <v>430038.32573699998</v>
      </c>
      <c r="E71" s="23" t="s">
        <v>15</v>
      </c>
      <c r="F71" s="23" t="s">
        <v>93</v>
      </c>
      <c r="G71" s="131">
        <v>44547</v>
      </c>
      <c r="H71" s="51">
        <v>44981</v>
      </c>
      <c r="I71" s="143">
        <v>3.6999999999999998E-2</v>
      </c>
      <c r="J71" s="161">
        <v>155.5</v>
      </c>
      <c r="K71" s="145">
        <v>167.97</v>
      </c>
      <c r="L71" s="240">
        <v>23.815000000000001</v>
      </c>
      <c r="M71" s="146">
        <f t="shared" si="11"/>
        <v>4000.2055500000001</v>
      </c>
      <c r="N71" s="146">
        <f t="shared" si="12"/>
        <v>3703.2325000000001</v>
      </c>
      <c r="O71" s="147">
        <f t="shared" si="13"/>
        <v>-296.97305000000006</v>
      </c>
      <c r="P71" s="246">
        <f t="shared" si="14"/>
        <v>-7.4239447520390578E-2</v>
      </c>
      <c r="Q71" s="149">
        <v>420</v>
      </c>
      <c r="R71" s="1" t="s">
        <v>51</v>
      </c>
      <c r="S71" s="139"/>
      <c r="T71" s="139"/>
      <c r="U71" s="139"/>
      <c r="V71" s="139"/>
      <c r="W71" s="139"/>
      <c r="X71" s="139"/>
      <c r="Y71" s="139"/>
      <c r="Z71" s="4"/>
      <c r="AA71" s="4"/>
      <c r="AB71" s="4"/>
      <c r="AC71" s="4"/>
      <c r="AD71" s="4"/>
      <c r="AE71" s="4"/>
      <c r="AF71" s="4"/>
      <c r="AG71" s="88"/>
      <c r="AH71" s="88"/>
      <c r="AI71" s="88"/>
      <c r="AJ71" s="88"/>
      <c r="AK71" s="88"/>
      <c r="AL71" s="4"/>
      <c r="AM71" s="4"/>
      <c r="AN71" s="139"/>
      <c r="AO71" s="139"/>
      <c r="AP71" s="139"/>
      <c r="AQ71" s="139"/>
      <c r="AR71" s="139"/>
      <c r="AS71" s="139"/>
      <c r="AT71" s="139"/>
      <c r="AU71" s="30"/>
      <c r="AV71" s="139"/>
      <c r="AW71" s="30"/>
      <c r="AX71" s="139"/>
      <c r="AY71" s="224">
        <v>44795</v>
      </c>
      <c r="AZ71" s="245">
        <v>-2.1000000000000001E-2</v>
      </c>
      <c r="BA71" s="71">
        <v>-4.1000000000000002E-2</v>
      </c>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row>
    <row r="72" spans="1:79" ht="15.75" customHeight="1" x14ac:dyDescent="0.25">
      <c r="A72" s="5">
        <v>8</v>
      </c>
      <c r="B72" s="1" t="s">
        <v>101</v>
      </c>
      <c r="C72" s="48" t="str">
        <f ca="1">IFERROR(__xludf.DUMMYFUNCTION("GoogleFinance(B72,""name"")"),"Loading...")</f>
        <v>Loading...</v>
      </c>
      <c r="D72" s="49">
        <f ca="1">IFERROR(__xludf.DUMMYFUNCTION("GoogleFinance(B72,""marketcap"")/1000000"),81320.475975)</f>
        <v>81320.475974999994</v>
      </c>
      <c r="E72" s="50" t="s">
        <v>15</v>
      </c>
      <c r="F72" s="50" t="s">
        <v>102</v>
      </c>
      <c r="G72" s="51">
        <v>44651</v>
      </c>
      <c r="H72" s="51">
        <v>44987</v>
      </c>
      <c r="I72" s="12">
        <f t="shared" ref="I72:I73" ca="1" si="16">N72/$M$44</f>
        <v>2.1209161604867098E-2</v>
      </c>
      <c r="J72" s="113">
        <v>290</v>
      </c>
      <c r="K72" s="53">
        <v>269.85000000000002</v>
      </c>
      <c r="L72" s="54">
        <v>7.4</v>
      </c>
      <c r="M72" s="55">
        <f t="shared" si="11"/>
        <v>1996.8900000000003</v>
      </c>
      <c r="N72" s="56">
        <f t="shared" si="12"/>
        <v>2146</v>
      </c>
      <c r="O72" s="56">
        <f t="shared" si="13"/>
        <v>149.10999999999967</v>
      </c>
      <c r="P72" s="57">
        <f t="shared" si="14"/>
        <v>7.4671113581619375E-2</v>
      </c>
      <c r="Q72" s="58">
        <v>325</v>
      </c>
      <c r="R72" s="1" t="s">
        <v>51</v>
      </c>
      <c r="S72" s="4"/>
      <c r="T72" s="4"/>
      <c r="U72" s="4"/>
      <c r="V72" s="4"/>
      <c r="W72" s="4"/>
      <c r="X72" s="4"/>
      <c r="Y72" s="4"/>
      <c r="Z72" s="4"/>
      <c r="AA72" s="4"/>
      <c r="AB72" s="4"/>
      <c r="AC72" s="4"/>
      <c r="AD72" s="4"/>
      <c r="AE72" s="4"/>
      <c r="AF72" s="4"/>
      <c r="AL72" s="4"/>
      <c r="AM72" s="4"/>
      <c r="AN72" s="139"/>
      <c r="AO72" s="139"/>
      <c r="AP72" s="139"/>
      <c r="AQ72" s="139"/>
      <c r="AR72" s="139"/>
      <c r="AS72" s="139"/>
      <c r="AT72" s="139"/>
      <c r="AU72" s="30"/>
      <c r="AV72" s="139"/>
      <c r="AW72" s="30"/>
      <c r="AX72" s="139"/>
      <c r="AY72" s="224">
        <v>44826</v>
      </c>
      <c r="AZ72" s="245">
        <v>-2.5000000000000001E-2</v>
      </c>
      <c r="BA72" s="71">
        <v>-9.6000000000000002E-2</v>
      </c>
      <c r="BD72" s="6"/>
      <c r="BE72" s="6"/>
      <c r="BF72" s="6"/>
      <c r="BG72" s="6"/>
      <c r="BH72" s="6"/>
      <c r="BI72" s="6"/>
      <c r="BJ72" s="6"/>
      <c r="BK72" s="6"/>
      <c r="BL72" s="6"/>
      <c r="BM72" s="6"/>
      <c r="BN72" s="6"/>
      <c r="BO72" s="6"/>
      <c r="BP72" s="6"/>
      <c r="BQ72" s="6"/>
      <c r="BR72" s="6"/>
      <c r="BS72" s="6"/>
      <c r="BT72" s="6"/>
      <c r="BU72" s="6"/>
      <c r="BV72" s="6"/>
      <c r="BW72" s="6"/>
      <c r="BX72" s="6"/>
      <c r="BY72" s="6"/>
      <c r="BZ72" s="6"/>
      <c r="CA72" s="6"/>
    </row>
    <row r="73" spans="1:79" ht="15.75" customHeight="1" x14ac:dyDescent="0.25">
      <c r="A73" s="5">
        <f t="shared" ref="A73:A92" si="17">A72+1</f>
        <v>9</v>
      </c>
      <c r="B73" s="30" t="s">
        <v>162</v>
      </c>
      <c r="C73" s="107" t="str">
        <f ca="1">IFERROR(__xludf.DUMMYFUNCTION("GoogleFinance(B73,""name"")"),"Loading...")</f>
        <v>Loading...</v>
      </c>
      <c r="D73" s="108">
        <f ca="1">IFERROR(__xludf.DUMMYFUNCTION("GoogleFinance(B73,""marketcap"")/1000000"),120819.991566)</f>
        <v>120819.991566</v>
      </c>
      <c r="E73" s="109" t="s">
        <v>10</v>
      </c>
      <c r="F73" s="109" t="s">
        <v>159</v>
      </c>
      <c r="G73" s="110">
        <v>44993</v>
      </c>
      <c r="H73" s="51">
        <v>44995</v>
      </c>
      <c r="I73" s="112">
        <f t="shared" ca="1" si="16"/>
        <v>2.8201994944721975E-2</v>
      </c>
      <c r="J73" s="113">
        <v>232.9</v>
      </c>
      <c r="K73" s="114">
        <v>248.9</v>
      </c>
      <c r="L73" s="115">
        <f>(101653*0.03)/248.9</f>
        <v>12.252269987946965</v>
      </c>
      <c r="M73" s="116">
        <f t="shared" si="11"/>
        <v>3049.5899999999997</v>
      </c>
      <c r="N73" s="117">
        <f t="shared" si="12"/>
        <v>2853.5536801928483</v>
      </c>
      <c r="O73" s="117">
        <f t="shared" si="13"/>
        <v>-196.03631980715136</v>
      </c>
      <c r="P73" s="118">
        <f t="shared" si="14"/>
        <v>-6.4282844515869852E-2</v>
      </c>
      <c r="Q73" s="119">
        <v>2</v>
      </c>
      <c r="R73" s="1" t="s">
        <v>51</v>
      </c>
      <c r="S73" s="4"/>
      <c r="T73" s="4"/>
      <c r="U73" s="4"/>
      <c r="V73" s="4"/>
      <c r="W73" s="4"/>
      <c r="X73" s="4"/>
      <c r="Y73" s="4"/>
      <c r="Z73" s="4"/>
      <c r="AA73" s="4"/>
      <c r="AB73" s="4"/>
      <c r="AC73" s="4"/>
      <c r="AD73" s="4"/>
      <c r="AE73" s="4"/>
      <c r="AF73" s="4"/>
      <c r="AL73" s="4"/>
      <c r="AM73" s="4"/>
      <c r="AN73" s="139"/>
      <c r="AO73" s="139"/>
      <c r="AP73" s="139"/>
      <c r="AQ73" s="139"/>
      <c r="AR73" s="139"/>
      <c r="AS73" s="139"/>
      <c r="AT73" s="139"/>
      <c r="AU73" s="30"/>
      <c r="AV73" s="139"/>
      <c r="AW73" s="30"/>
      <c r="AX73" s="139"/>
      <c r="AY73" s="224">
        <v>44856</v>
      </c>
      <c r="AZ73" s="245">
        <v>4.8000000000000001E-2</v>
      </c>
      <c r="BA73" s="71">
        <v>8.1000000000000003E-2</v>
      </c>
      <c r="BD73" s="6"/>
      <c r="BE73" s="6"/>
      <c r="BF73" s="6"/>
      <c r="BG73" s="6"/>
      <c r="BH73" s="6"/>
      <c r="BI73" s="6"/>
      <c r="BJ73" s="6"/>
      <c r="BK73" s="6"/>
      <c r="BL73" s="6"/>
      <c r="BM73" s="6"/>
      <c r="BN73" s="6"/>
      <c r="BO73" s="6"/>
      <c r="BP73" s="6"/>
      <c r="BQ73" s="6"/>
      <c r="BR73" s="6"/>
      <c r="BS73" s="6"/>
      <c r="BT73" s="6"/>
      <c r="BU73" s="6"/>
      <c r="BV73" s="6"/>
      <c r="BW73" s="6"/>
      <c r="BX73" s="6"/>
      <c r="BY73" s="6"/>
      <c r="BZ73" s="6"/>
      <c r="CA73" s="6"/>
    </row>
    <row r="74" spans="1:79" ht="15.75" customHeight="1" x14ac:dyDescent="0.25">
      <c r="A74" s="5">
        <f t="shared" si="17"/>
        <v>10</v>
      </c>
      <c r="B74" s="1" t="s">
        <v>163</v>
      </c>
      <c r="C74" s="48" t="str">
        <f ca="1">IFERROR(__xludf.DUMMYFUNCTION("GoogleFinance(B74,""name"")"),"Loading...")</f>
        <v>Loading...</v>
      </c>
      <c r="D74" s="49">
        <f ca="1">IFERROR(__xludf.DUMMYFUNCTION("GoogleFinance(B74,""marketcap"")/1000000"),1557582.673975)</f>
        <v>1557582.6739749999</v>
      </c>
      <c r="E74" s="50" t="s">
        <v>12</v>
      </c>
      <c r="F74" s="50" t="s">
        <v>23</v>
      </c>
      <c r="G74" s="51">
        <v>44860</v>
      </c>
      <c r="H74" s="51">
        <v>45001</v>
      </c>
      <c r="I74" s="12">
        <v>0.04</v>
      </c>
      <c r="J74" s="113">
        <v>100</v>
      </c>
      <c r="K74" s="53">
        <v>96</v>
      </c>
      <c r="L74" s="54">
        <v>21</v>
      </c>
      <c r="M74" s="55">
        <f t="shared" si="11"/>
        <v>2016</v>
      </c>
      <c r="N74" s="56">
        <f t="shared" si="12"/>
        <v>2100</v>
      </c>
      <c r="O74" s="56">
        <f t="shared" si="13"/>
        <v>84</v>
      </c>
      <c r="P74" s="57">
        <f t="shared" si="14"/>
        <v>4.1666666666666741E-2</v>
      </c>
      <c r="Q74" s="58">
        <v>140</v>
      </c>
      <c r="R74" s="1" t="s">
        <v>157</v>
      </c>
      <c r="S74" s="4"/>
      <c r="T74" s="31"/>
      <c r="U74" s="31"/>
      <c r="V74" s="31"/>
      <c r="W74" s="31"/>
      <c r="X74" s="31"/>
      <c r="Y74" s="31"/>
      <c r="Z74" s="4"/>
      <c r="AA74" s="4"/>
      <c r="AB74" s="4"/>
      <c r="AC74" s="4"/>
      <c r="AD74" s="4"/>
      <c r="AE74" s="4"/>
      <c r="AF74" s="4"/>
      <c r="AG74" s="31"/>
      <c r="AH74" s="31"/>
      <c r="AI74" s="31"/>
      <c r="AJ74" s="31"/>
      <c r="AK74" s="31"/>
      <c r="AL74" s="4"/>
      <c r="AM74" s="4"/>
      <c r="AN74" s="139"/>
      <c r="AO74" s="139"/>
      <c r="AP74" s="139"/>
      <c r="AQ74" s="139"/>
      <c r="AR74" s="139"/>
      <c r="AS74" s="139"/>
      <c r="AT74" s="139"/>
      <c r="AU74" s="30"/>
      <c r="AV74" s="139"/>
      <c r="AW74" s="30"/>
      <c r="AX74" s="139"/>
      <c r="AY74" s="224">
        <v>44887</v>
      </c>
      <c r="AZ74" s="245">
        <v>1.9986721760933725E-2</v>
      </c>
      <c r="BA74" s="71">
        <v>5.5591517568162496E-2</v>
      </c>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row>
    <row r="75" spans="1:79" ht="15.75" customHeight="1" x14ac:dyDescent="0.25">
      <c r="A75" s="5">
        <f t="shared" si="17"/>
        <v>11</v>
      </c>
      <c r="B75" s="1" t="s">
        <v>163</v>
      </c>
      <c r="C75" s="48" t="str">
        <f ca="1">IFERROR(__xludf.DUMMYFUNCTION("GoogleFinance(B75,""name"")"),"Loading...")</f>
        <v>Loading...</v>
      </c>
      <c r="D75" s="49">
        <f ca="1">IFERROR(__xludf.DUMMYFUNCTION("GoogleFinance(B75,""marketcap"")/1000000"),1557582.673975)</f>
        <v>1557582.6739749999</v>
      </c>
      <c r="E75" s="50" t="s">
        <v>12</v>
      </c>
      <c r="F75" s="50" t="s">
        <v>23</v>
      </c>
      <c r="G75" s="51">
        <v>44860</v>
      </c>
      <c r="H75" s="51">
        <v>45006</v>
      </c>
      <c r="I75" s="12">
        <v>0.04</v>
      </c>
      <c r="J75" s="113">
        <v>102.6</v>
      </c>
      <c r="K75" s="53">
        <v>96</v>
      </c>
      <c r="L75" s="54">
        <v>20.6</v>
      </c>
      <c r="M75" s="55">
        <f t="shared" si="11"/>
        <v>1977.6000000000001</v>
      </c>
      <c r="N75" s="56">
        <f t="shared" si="12"/>
        <v>2113.56</v>
      </c>
      <c r="O75" s="56">
        <f t="shared" si="13"/>
        <v>135.95999999999981</v>
      </c>
      <c r="P75" s="57">
        <f t="shared" si="14"/>
        <v>6.8749999999999867E-2</v>
      </c>
      <c r="Q75" s="58">
        <v>146</v>
      </c>
      <c r="R75" s="1" t="s">
        <v>157</v>
      </c>
      <c r="S75" s="31"/>
      <c r="T75" s="31"/>
      <c r="U75" s="31"/>
      <c r="V75" s="31"/>
      <c r="W75" s="31"/>
      <c r="X75" s="31"/>
      <c r="Y75" s="31"/>
      <c r="Z75" s="4"/>
      <c r="AA75" s="4"/>
      <c r="AB75" s="4"/>
      <c r="AC75" s="4"/>
      <c r="AD75" s="4"/>
      <c r="AE75" s="4"/>
      <c r="AF75" s="4"/>
      <c r="AG75" s="31"/>
      <c r="AH75" s="31"/>
      <c r="AI75" s="31"/>
      <c r="AJ75" s="31"/>
      <c r="AK75" s="31"/>
      <c r="AL75" s="4"/>
      <c r="AM75" s="4"/>
      <c r="AN75" s="139"/>
      <c r="AO75" s="139"/>
      <c r="AP75" s="139"/>
      <c r="AQ75" s="139"/>
      <c r="AR75" s="139"/>
      <c r="AS75" s="139"/>
      <c r="AT75" s="139"/>
      <c r="AU75" s="30"/>
      <c r="AV75" s="139"/>
      <c r="AW75" s="30"/>
      <c r="AX75" s="139"/>
      <c r="AY75" s="224">
        <v>44917</v>
      </c>
      <c r="AZ75" s="245">
        <v>-0.01</v>
      </c>
      <c r="BA75" s="71">
        <v>-6.2E-2</v>
      </c>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row>
    <row r="76" spans="1:79" ht="15.75" customHeight="1" x14ac:dyDescent="0.25">
      <c r="A76" s="5">
        <f t="shared" si="17"/>
        <v>12</v>
      </c>
      <c r="B76" s="1" t="s">
        <v>17</v>
      </c>
      <c r="C76" s="48" t="str">
        <f ca="1">IFERROR(__xludf.DUMMYFUNCTION("GoogleFinance(B76,""name"")"),"Loading...")</f>
        <v>Loading...</v>
      </c>
      <c r="D76" s="49">
        <f ca="1">IFERROR(__xludf.DUMMYFUNCTION("GoogleFinance(B76,""marketcap"")/1000000"),11124.948514)</f>
        <v>11124.948514</v>
      </c>
      <c r="E76" s="50" t="s">
        <v>95</v>
      </c>
      <c r="F76" s="50" t="s">
        <v>95</v>
      </c>
      <c r="G76" s="51">
        <v>44729</v>
      </c>
      <c r="H76" s="51">
        <v>45006</v>
      </c>
      <c r="I76" s="12">
        <f t="shared" ref="I76:I97" ca="1" si="18">N76/$M$44</f>
        <v>3.9749981391608347E-2</v>
      </c>
      <c r="J76" s="113">
        <v>66.7</v>
      </c>
      <c r="K76" s="53">
        <v>66.7</v>
      </c>
      <c r="L76" s="54">
        <v>60.3</v>
      </c>
      <c r="M76" s="55">
        <f t="shared" si="11"/>
        <v>4022.0099999999998</v>
      </c>
      <c r="N76" s="56">
        <f t="shared" si="12"/>
        <v>4022.0099999999998</v>
      </c>
      <c r="O76" s="56">
        <f t="shared" si="13"/>
        <v>0</v>
      </c>
      <c r="P76" s="57">
        <f t="shared" si="14"/>
        <v>0</v>
      </c>
      <c r="Q76" s="58">
        <v>277</v>
      </c>
      <c r="R76" s="1" t="s">
        <v>157</v>
      </c>
      <c r="S76" s="31"/>
      <c r="T76" s="31"/>
      <c r="U76" s="31"/>
      <c r="V76" s="31"/>
      <c r="W76" s="31"/>
      <c r="X76" s="31"/>
      <c r="Y76" s="31"/>
      <c r="Z76" s="31"/>
      <c r="AA76" s="31"/>
      <c r="AB76" s="31"/>
      <c r="AC76" s="31"/>
      <c r="AD76" s="31"/>
      <c r="AE76" s="31"/>
      <c r="AF76" s="31"/>
      <c r="AG76" s="31"/>
      <c r="AH76" s="31"/>
      <c r="AI76" s="31"/>
      <c r="AJ76" s="31"/>
      <c r="AK76" s="31"/>
      <c r="AL76" s="4"/>
      <c r="AM76" s="4"/>
      <c r="AN76" s="139"/>
      <c r="AO76" s="139"/>
      <c r="AP76" s="139"/>
      <c r="AQ76" s="139"/>
      <c r="AR76" s="139"/>
      <c r="AS76" s="139"/>
      <c r="AT76" s="139"/>
      <c r="AU76" s="30"/>
      <c r="AV76" s="139"/>
      <c r="AW76" s="30"/>
      <c r="AX76" s="139"/>
      <c r="AY76" s="224">
        <v>44584</v>
      </c>
      <c r="AZ76" s="245">
        <v>1.4E-2</v>
      </c>
      <c r="BA76" s="71">
        <v>6.4000000000000001E-2</v>
      </c>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row>
    <row r="77" spans="1:79" ht="15.75" customHeight="1" x14ac:dyDescent="0.25">
      <c r="A77" s="5">
        <f t="shared" si="17"/>
        <v>13</v>
      </c>
      <c r="B77" s="1" t="s">
        <v>7</v>
      </c>
      <c r="C77" s="48" t="str">
        <f ca="1">IFERROR(__xludf.DUMMYFUNCTION("GoogleFinance(B77,""name"")"),"Loading...")</f>
        <v>Loading...</v>
      </c>
      <c r="D77" s="49">
        <f ca="1">IFERROR(__xludf.DUMMYFUNCTION("GoogleFinance(B77,""marketcap"")/1000000"),141589.964083)</f>
        <v>141589.964083</v>
      </c>
      <c r="E77" s="50" t="s">
        <v>8</v>
      </c>
      <c r="F77" s="50"/>
      <c r="G77" s="51">
        <v>44981</v>
      </c>
      <c r="H77" s="51">
        <v>45006</v>
      </c>
      <c r="I77" s="12">
        <f t="shared" ca="1" si="18"/>
        <v>0.1560224125477333</v>
      </c>
      <c r="J77" s="113">
        <v>307</v>
      </c>
      <c r="K77" s="53">
        <v>291.7</v>
      </c>
      <c r="L77" s="54">
        <f t="shared" ref="L77:L78" si="19">15000/K77</f>
        <v>51.422694549194382</v>
      </c>
      <c r="M77" s="55">
        <f t="shared" si="11"/>
        <v>15000</v>
      </c>
      <c r="N77" s="56">
        <f t="shared" si="12"/>
        <v>15786.767226602675</v>
      </c>
      <c r="O77" s="56">
        <f t="shared" si="13"/>
        <v>786.76722660267478</v>
      </c>
      <c r="P77" s="57">
        <f t="shared" si="14"/>
        <v>5.2451148440178397E-2</v>
      </c>
      <c r="Q77" s="58">
        <v>26</v>
      </c>
      <c r="R77" s="1" t="s">
        <v>157</v>
      </c>
      <c r="S77" s="31"/>
      <c r="T77" s="31"/>
      <c r="U77" s="31"/>
      <c r="V77" s="31"/>
      <c r="W77" s="31"/>
      <c r="X77" s="31"/>
      <c r="Y77" s="31"/>
      <c r="Z77" s="31"/>
      <c r="AA77" s="31"/>
      <c r="AB77" s="31"/>
      <c r="AC77" s="31"/>
      <c r="AD77" s="31"/>
      <c r="AE77" s="31"/>
      <c r="AF77" s="31"/>
      <c r="AG77" s="31"/>
      <c r="AH77" s="31"/>
      <c r="AI77" s="31"/>
      <c r="AJ77" s="31"/>
      <c r="AK77" s="31"/>
      <c r="AL77" s="4"/>
      <c r="AM77" s="4"/>
      <c r="AN77" s="139"/>
      <c r="AO77" s="139"/>
      <c r="AP77" s="139"/>
      <c r="AQ77" s="139"/>
      <c r="AR77" s="139"/>
      <c r="AS77" s="139"/>
      <c r="AT77" s="139"/>
      <c r="AU77" s="30"/>
      <c r="AV77" s="139"/>
      <c r="AW77" s="30"/>
      <c r="AX77" s="139"/>
      <c r="AY77" s="224">
        <v>44615</v>
      </c>
      <c r="AZ77" s="245">
        <v>-5.0000000000000001E-3</v>
      </c>
      <c r="BA77" s="71">
        <v>-2.5000000000000001E-2</v>
      </c>
      <c r="BC77" s="247">
        <v>100000</v>
      </c>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row>
    <row r="78" spans="1:79" ht="15.75" customHeight="1" x14ac:dyDescent="0.25">
      <c r="A78" s="5">
        <f t="shared" si="17"/>
        <v>14</v>
      </c>
      <c r="B78" s="1" t="s">
        <v>5</v>
      </c>
      <c r="C78" s="48" t="str">
        <f ca="1">IFERROR(__xludf.DUMMYFUNCTION("GoogleFinance(B78,""name"")"),"Loading...")</f>
        <v>Loading...</v>
      </c>
      <c r="D78" s="49">
        <f ca="1">IFERROR(__xludf.DUMMYFUNCTION("GoogleFinance(B78,""marketcap"")/1000000"),391015.728176)</f>
        <v>391015.728176</v>
      </c>
      <c r="E78" s="50" t="s">
        <v>69</v>
      </c>
      <c r="F78" s="50"/>
      <c r="G78" s="51">
        <v>44981</v>
      </c>
      <c r="H78" s="51">
        <v>45007</v>
      </c>
      <c r="I78" s="12">
        <f t="shared" ca="1" si="18"/>
        <v>0.15022731157086575</v>
      </c>
      <c r="J78" s="113">
        <v>402</v>
      </c>
      <c r="K78" s="53">
        <v>396.7</v>
      </c>
      <c r="L78" s="54">
        <f t="shared" si="19"/>
        <v>37.811948575749938</v>
      </c>
      <c r="M78" s="55">
        <f t="shared" si="11"/>
        <v>15000</v>
      </c>
      <c r="N78" s="56">
        <f t="shared" si="12"/>
        <v>15200.403327451475</v>
      </c>
      <c r="O78" s="56">
        <f t="shared" si="13"/>
        <v>200.40332745147498</v>
      </c>
      <c r="P78" s="57">
        <f t="shared" si="14"/>
        <v>1.3360221830098329E-2</v>
      </c>
      <c r="Q78" s="58">
        <v>26</v>
      </c>
      <c r="R78" s="1" t="s">
        <v>157</v>
      </c>
      <c r="S78" s="31"/>
      <c r="T78" s="31"/>
      <c r="U78" s="31"/>
      <c r="V78" s="31"/>
      <c r="W78" s="31"/>
      <c r="X78" s="31"/>
      <c r="Y78" s="31"/>
      <c r="Z78" s="31"/>
      <c r="AA78" s="31"/>
      <c r="AB78" s="31"/>
      <c r="AC78" s="31"/>
      <c r="AD78" s="31"/>
      <c r="AE78" s="31"/>
      <c r="AF78" s="31"/>
      <c r="AG78" s="31"/>
      <c r="AH78" s="31"/>
      <c r="AI78" s="31"/>
      <c r="AJ78" s="31"/>
      <c r="AK78" s="31"/>
      <c r="AL78" s="4"/>
      <c r="AM78" s="4"/>
      <c r="AN78" s="139"/>
      <c r="AO78" s="139"/>
      <c r="AP78" s="139"/>
      <c r="AQ78" s="139"/>
      <c r="AR78" s="139"/>
      <c r="AS78" s="139"/>
      <c r="AT78" s="139"/>
      <c r="AU78" s="30"/>
      <c r="AV78" s="139"/>
      <c r="AW78" s="30"/>
      <c r="AX78" s="139"/>
      <c r="AY78" s="224">
        <v>44643</v>
      </c>
      <c r="AZ78" s="245">
        <v>3.2312635915326501E-2</v>
      </c>
      <c r="BA78" s="71">
        <v>3.3134810477968957E-2</v>
      </c>
      <c r="BB78" s="82"/>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row>
    <row r="79" spans="1:79" ht="15.75" customHeight="1" x14ac:dyDescent="0.25">
      <c r="A79" s="47">
        <f t="shared" si="17"/>
        <v>15</v>
      </c>
      <c r="B79" s="9" t="s">
        <v>24</v>
      </c>
      <c r="C79" s="89" t="str">
        <f ca="1">IFERROR(__xludf.DUMMYFUNCTION("GoogleFinance(B79,""name"")"),"Loading...")</f>
        <v>Loading...</v>
      </c>
      <c r="D79" s="90" t="str">
        <f ca="1">IFERROR(__xludf.DUMMYFUNCTION("GoogleFinance(B79,""marketcap"")/1000000"),"#N/A")</f>
        <v>#N/A</v>
      </c>
      <c r="E79" s="91" t="s">
        <v>11</v>
      </c>
      <c r="F79" s="91" t="s">
        <v>164</v>
      </c>
      <c r="G79" s="92">
        <v>44973</v>
      </c>
      <c r="H79" s="92">
        <v>45007</v>
      </c>
      <c r="I79" s="60">
        <f t="shared" ca="1" si="18"/>
        <v>1.066783272893455E-2</v>
      </c>
      <c r="J79" s="248">
        <v>30.84</v>
      </c>
      <c r="K79" s="94">
        <v>28.8</v>
      </c>
      <c r="L79" s="95">
        <v>35</v>
      </c>
      <c r="M79" s="96">
        <f t="shared" si="11"/>
        <v>1008</v>
      </c>
      <c r="N79" s="97">
        <f t="shared" si="12"/>
        <v>1079.4000000000001</v>
      </c>
      <c r="O79" s="97">
        <f t="shared" si="13"/>
        <v>71.400000000000091</v>
      </c>
      <c r="P79" s="57">
        <f t="shared" si="14"/>
        <v>7.0833333333333304E-2</v>
      </c>
      <c r="Q79" s="98">
        <v>34</v>
      </c>
      <c r="R79" s="9" t="s">
        <v>157</v>
      </c>
      <c r="S79" s="103"/>
      <c r="T79" s="103"/>
      <c r="U79" s="103"/>
      <c r="V79" s="103"/>
      <c r="W79" s="103"/>
      <c r="X79" s="103"/>
      <c r="Y79" s="103"/>
      <c r="Z79" s="103"/>
      <c r="AA79" s="103"/>
      <c r="AB79" s="103"/>
      <c r="AC79" s="103"/>
      <c r="AD79" s="103"/>
      <c r="AE79" s="103"/>
      <c r="AF79" s="103"/>
      <c r="AG79" s="103"/>
      <c r="AH79" s="103"/>
      <c r="AI79" s="103"/>
      <c r="AJ79" s="103"/>
      <c r="AK79" s="103"/>
      <c r="AL79" s="249"/>
      <c r="AM79" s="249"/>
      <c r="AN79" s="250"/>
      <c r="AO79" s="250"/>
      <c r="AP79" s="250"/>
      <c r="AQ79" s="250"/>
      <c r="AR79" s="250"/>
      <c r="AS79" s="250"/>
      <c r="AT79" s="250"/>
      <c r="AU79" s="220"/>
      <c r="AV79" s="250"/>
      <c r="AW79" s="220"/>
      <c r="AX79" s="250"/>
      <c r="AY79" s="224">
        <v>44674</v>
      </c>
      <c r="AZ79" s="245">
        <v>-2E-3</v>
      </c>
      <c r="BA79" s="71">
        <v>1.6E-2</v>
      </c>
      <c r="BB79" s="251"/>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row>
    <row r="80" spans="1:79" ht="15.75" customHeight="1" x14ac:dyDescent="0.25">
      <c r="A80" s="47">
        <f t="shared" si="17"/>
        <v>16</v>
      </c>
      <c r="B80" s="1" t="s">
        <v>165</v>
      </c>
      <c r="C80" s="48" t="str">
        <f ca="1">IFERROR(__xludf.DUMMYFUNCTION("GoogleFinance(B80,""name"")"),"Loading...")</f>
        <v>Loading...</v>
      </c>
      <c r="D80" s="49">
        <f ca="1">IFERROR(__xludf.DUMMYFUNCTION("GoogleFinance(B80,""marketcap"")/1000000"),58502.83752)</f>
        <v>58502.837520000001</v>
      </c>
      <c r="E80" s="50" t="s">
        <v>16</v>
      </c>
      <c r="F80" s="50" t="s">
        <v>72</v>
      </c>
      <c r="G80" s="51">
        <v>44945</v>
      </c>
      <c r="H80" s="92">
        <v>45008</v>
      </c>
      <c r="I80" s="12">
        <f t="shared" ca="1" si="18"/>
        <v>1.8145876897349016E-2</v>
      </c>
      <c r="J80" s="113">
        <v>35.5</v>
      </c>
      <c r="K80" s="53">
        <v>38.67</v>
      </c>
      <c r="L80" s="54">
        <f>2000/38.67</f>
        <v>51.719679337988104</v>
      </c>
      <c r="M80" s="55">
        <f t="shared" si="11"/>
        <v>2000</v>
      </c>
      <c r="N80" s="56">
        <f t="shared" si="12"/>
        <v>1836.0486164985778</v>
      </c>
      <c r="O80" s="56">
        <f t="shared" si="13"/>
        <v>-163.95138350142224</v>
      </c>
      <c r="P80" s="57">
        <f t="shared" si="14"/>
        <v>-8.1975691750711177E-2</v>
      </c>
      <c r="Q80" s="58">
        <v>63</v>
      </c>
      <c r="R80" s="9" t="s">
        <v>51</v>
      </c>
      <c r="S80" s="31"/>
      <c r="T80" s="31"/>
      <c r="U80" s="31"/>
      <c r="V80" s="31"/>
      <c r="W80" s="31"/>
      <c r="X80" s="31"/>
      <c r="Y80" s="31"/>
      <c r="Z80" s="31"/>
      <c r="AA80" s="31"/>
      <c r="AB80" s="31"/>
      <c r="AC80" s="31"/>
      <c r="AD80" s="31"/>
      <c r="AE80" s="31"/>
      <c r="AF80" s="31"/>
      <c r="AG80" s="31"/>
      <c r="AH80" s="31"/>
      <c r="AI80" s="31"/>
      <c r="AJ80" s="31"/>
      <c r="AK80" s="31"/>
      <c r="AL80" s="4"/>
      <c r="AM80" s="4"/>
      <c r="AN80" s="139"/>
      <c r="AO80" s="139"/>
      <c r="AP80" s="139"/>
      <c r="AQ80" s="139"/>
      <c r="AR80" s="139"/>
      <c r="AS80" s="139"/>
      <c r="AT80" s="139"/>
      <c r="AU80" s="30"/>
      <c r="AV80" s="139"/>
      <c r="AW80" s="30"/>
      <c r="AX80" s="139"/>
      <c r="AY80" s="224">
        <v>44704</v>
      </c>
      <c r="AZ80" s="245">
        <v>-2.3E-2</v>
      </c>
      <c r="BA80" s="71">
        <v>3.0000000000000001E-3</v>
      </c>
      <c r="BB80" s="82"/>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row>
    <row r="81" spans="1:79" ht="15.75" customHeight="1" x14ac:dyDescent="0.25">
      <c r="A81" s="47">
        <f t="shared" si="17"/>
        <v>17</v>
      </c>
      <c r="B81" s="252" t="s">
        <v>166</v>
      </c>
      <c r="C81" s="253" t="str">
        <f ca="1">IFERROR(__xludf.DUMMYFUNCTION("GoogleFinance(B81,""name"")"),"Loading...")</f>
        <v>Loading...</v>
      </c>
      <c r="D81" s="254">
        <f ca="1">IFERROR(__xludf.DUMMYFUNCTION("GoogleFinance(B81,""marketcap"")/1000000"),61579.118833)</f>
        <v>61579.118833</v>
      </c>
      <c r="E81" s="255" t="s">
        <v>139</v>
      </c>
      <c r="F81" s="255" t="s">
        <v>23</v>
      </c>
      <c r="G81" s="256">
        <v>44859</v>
      </c>
      <c r="H81" s="92">
        <v>45008</v>
      </c>
      <c r="I81" s="257">
        <f t="shared" ca="1" si="18"/>
        <v>2.7393776848318774E-2</v>
      </c>
      <c r="J81" s="258">
        <v>1205.1199999999999</v>
      </c>
      <c r="K81" s="259">
        <v>851</v>
      </c>
      <c r="L81" s="260">
        <v>2.2999999999999998</v>
      </c>
      <c r="M81" s="261">
        <f t="shared" si="11"/>
        <v>1957.3</v>
      </c>
      <c r="N81" s="262">
        <f t="shared" si="12"/>
        <v>2771.7759999999994</v>
      </c>
      <c r="O81" s="262">
        <f t="shared" si="13"/>
        <v>814.47599999999943</v>
      </c>
      <c r="P81" s="263">
        <f t="shared" si="14"/>
        <v>0.41612220916568732</v>
      </c>
      <c r="Q81" s="264">
        <f ca="1">TODAY()-G81</f>
        <v>245</v>
      </c>
      <c r="R81" s="9" t="s">
        <v>157</v>
      </c>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row>
    <row r="82" spans="1:79" ht="15.75" customHeight="1" x14ac:dyDescent="0.25">
      <c r="A82" s="47">
        <f t="shared" si="17"/>
        <v>18</v>
      </c>
      <c r="B82" s="9" t="s">
        <v>24</v>
      </c>
      <c r="C82" s="89" t="str">
        <f ca="1">IFERROR(__xludf.DUMMYFUNCTION("GoogleFinance(B82,""name"")"),"Loading...")</f>
        <v>Loading...</v>
      </c>
      <c r="D82" s="90" t="str">
        <f ca="1">IFERROR(__xludf.DUMMYFUNCTION("GoogleFinance(B82,""marketcap"")/1000000"),"#N/A")</f>
        <v>#N/A</v>
      </c>
      <c r="E82" s="91" t="s">
        <v>11</v>
      </c>
      <c r="F82" s="91" t="s">
        <v>164</v>
      </c>
      <c r="G82" s="92">
        <v>44973</v>
      </c>
      <c r="H82" s="92">
        <v>45007</v>
      </c>
      <c r="I82" s="60">
        <f t="shared" ca="1" si="18"/>
        <v>1.0799278138694444E-2</v>
      </c>
      <c r="J82" s="248">
        <v>31.22</v>
      </c>
      <c r="K82" s="94">
        <v>28.8</v>
      </c>
      <c r="L82" s="95">
        <v>35</v>
      </c>
      <c r="M82" s="96">
        <f t="shared" si="11"/>
        <v>1008</v>
      </c>
      <c r="N82" s="97">
        <f t="shared" si="12"/>
        <v>1092.7</v>
      </c>
      <c r="O82" s="97">
        <f t="shared" si="13"/>
        <v>84.700000000000045</v>
      </c>
      <c r="P82" s="57">
        <f t="shared" si="14"/>
        <v>8.4027777777777812E-2</v>
      </c>
      <c r="Q82" s="98">
        <v>34</v>
      </c>
      <c r="R82" s="9" t="s">
        <v>157</v>
      </c>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row>
    <row r="83" spans="1:79" ht="15.75" customHeight="1" x14ac:dyDescent="0.25">
      <c r="A83" s="47">
        <f t="shared" si="17"/>
        <v>19</v>
      </c>
      <c r="B83" s="252" t="s">
        <v>166</v>
      </c>
      <c r="C83" s="253" t="str">
        <f ca="1">IFERROR(__xludf.DUMMYFUNCTION("GoogleFinance(B83,""name"")"),"Loading...")</f>
        <v>Loading...</v>
      </c>
      <c r="D83" s="254">
        <f ca="1">IFERROR(__xludf.DUMMYFUNCTION("GoogleFinance(B83,""marketcap"")/1000000"),61579.118833)</f>
        <v>61579.118833</v>
      </c>
      <c r="E83" s="255" t="s">
        <v>139</v>
      </c>
      <c r="F83" s="255" t="s">
        <v>23</v>
      </c>
      <c r="G83" s="256">
        <v>44859</v>
      </c>
      <c r="H83" s="92">
        <v>45016</v>
      </c>
      <c r="I83" s="257">
        <f t="shared" ca="1" si="18"/>
        <v>1.0404941909414761E-2</v>
      </c>
      <c r="J83" s="258">
        <v>1316</v>
      </c>
      <c r="K83" s="259">
        <v>851</v>
      </c>
      <c r="L83" s="260">
        <v>0.8</v>
      </c>
      <c r="M83" s="261">
        <f t="shared" si="11"/>
        <v>680.80000000000007</v>
      </c>
      <c r="N83" s="262">
        <f t="shared" si="12"/>
        <v>1052.8</v>
      </c>
      <c r="O83" s="262">
        <f t="shared" si="13"/>
        <v>371.99999999999989</v>
      </c>
      <c r="P83" s="263">
        <f t="shared" si="14"/>
        <v>0.54641598119858981</v>
      </c>
      <c r="Q83" s="264">
        <f ca="1">TODAY()-G83</f>
        <v>245</v>
      </c>
      <c r="R83" s="9" t="s">
        <v>167</v>
      </c>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row>
    <row r="84" spans="1:79" ht="15.75" customHeight="1" x14ac:dyDescent="0.25">
      <c r="A84" s="47">
        <f t="shared" si="17"/>
        <v>20</v>
      </c>
      <c r="B84" s="9" t="s">
        <v>24</v>
      </c>
      <c r="C84" s="89" t="str">
        <f ca="1">IFERROR(__xludf.DUMMYFUNCTION("GoogleFinance(B84,""name"")"),"Loading...")</f>
        <v>Loading...</v>
      </c>
      <c r="D84" s="90" t="str">
        <f ca="1">IFERROR(__xludf.DUMMYFUNCTION("GoogleFinance(B84,""marketcap"")/1000000"),"#N/A")</f>
        <v>#N/A</v>
      </c>
      <c r="E84" s="91" t="s">
        <v>11</v>
      </c>
      <c r="F84" s="91" t="s">
        <v>164</v>
      </c>
      <c r="G84" s="92">
        <v>44973</v>
      </c>
      <c r="H84" s="92">
        <v>45029</v>
      </c>
      <c r="I84" s="60">
        <f t="shared" ca="1" si="18"/>
        <v>1.2059928566313469E-2</v>
      </c>
      <c r="J84" s="248">
        <v>35.68</v>
      </c>
      <c r="K84" s="94">
        <v>28.8</v>
      </c>
      <c r="L84" s="95">
        <v>34.200000000000003</v>
      </c>
      <c r="M84" s="96">
        <f t="shared" si="11"/>
        <v>984.96000000000015</v>
      </c>
      <c r="N84" s="97">
        <f t="shared" si="12"/>
        <v>1220.2560000000001</v>
      </c>
      <c r="O84" s="97">
        <f t="shared" si="13"/>
        <v>235.29599999999994</v>
      </c>
      <c r="P84" s="57">
        <f t="shared" si="14"/>
        <v>0.23888888888888893</v>
      </c>
      <c r="Q84" s="98">
        <v>56</v>
      </c>
      <c r="R84" s="9" t="s">
        <v>167</v>
      </c>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row>
    <row r="85" spans="1:79" ht="15.75" customHeight="1" x14ac:dyDescent="0.25">
      <c r="A85" s="47">
        <f t="shared" si="17"/>
        <v>21</v>
      </c>
      <c r="B85" s="252" t="s">
        <v>166</v>
      </c>
      <c r="C85" s="253" t="str">
        <f ca="1">IFERROR(__xludf.DUMMYFUNCTION("GoogleFinance(B85,""name"")"),"Loading...")</f>
        <v>Loading...</v>
      </c>
      <c r="D85" s="254">
        <f ca="1">IFERROR(__xludf.DUMMYFUNCTION("GoogleFinance(B85,""marketcap"")/1000000"),61579.118833)</f>
        <v>61579.118833</v>
      </c>
      <c r="E85" s="255" t="s">
        <v>139</v>
      </c>
      <c r="F85" s="255" t="s">
        <v>23</v>
      </c>
      <c r="G85" s="256">
        <v>44859</v>
      </c>
      <c r="H85" s="92">
        <v>45034</v>
      </c>
      <c r="I85" s="257">
        <f t="shared" ca="1" si="18"/>
        <v>1.0444474363477887E-2</v>
      </c>
      <c r="J85" s="258">
        <v>1321</v>
      </c>
      <c r="K85" s="259">
        <v>851</v>
      </c>
      <c r="L85" s="260">
        <v>0.8</v>
      </c>
      <c r="M85" s="261">
        <f t="shared" si="11"/>
        <v>680.80000000000007</v>
      </c>
      <c r="N85" s="262">
        <f t="shared" si="12"/>
        <v>1056.8</v>
      </c>
      <c r="O85" s="262">
        <f t="shared" si="13"/>
        <v>375.99999999999989</v>
      </c>
      <c r="P85" s="263">
        <f t="shared" si="14"/>
        <v>0.55229142185663926</v>
      </c>
      <c r="Q85" s="264">
        <f ca="1">TODAY()-G85</f>
        <v>245</v>
      </c>
      <c r="R85" s="9" t="s">
        <v>167</v>
      </c>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row>
    <row r="86" spans="1:79" ht="15.75" customHeight="1" x14ac:dyDescent="0.25">
      <c r="A86" s="47">
        <f t="shared" si="17"/>
        <v>22</v>
      </c>
      <c r="B86" s="1" t="s">
        <v>152</v>
      </c>
      <c r="C86" s="48" t="str">
        <f ca="1">IFERROR(__xludf.DUMMYFUNCTION("GoogleFinance(B86,""name"")"),"Loading...")</f>
        <v>Loading...</v>
      </c>
      <c r="D86" s="49">
        <f ca="1">IFERROR(__xludf.DUMMYFUNCTION("GoogleFinance(B86,""marketcap"")/1000000"),444102.2163)</f>
        <v>444102.21629999997</v>
      </c>
      <c r="E86" s="50" t="s">
        <v>15</v>
      </c>
      <c r="F86" s="50" t="s">
        <v>90</v>
      </c>
      <c r="G86" s="51">
        <v>45033</v>
      </c>
      <c r="H86" s="92">
        <v>45043</v>
      </c>
      <c r="I86" s="12">
        <f t="shared" ca="1" si="18"/>
        <v>2.9412145822965741E-2</v>
      </c>
      <c r="J86" s="52">
        <v>480</v>
      </c>
      <c r="K86" s="53">
        <v>505.7</v>
      </c>
      <c r="L86" s="54">
        <v>6.2</v>
      </c>
      <c r="M86" s="55">
        <f t="shared" si="11"/>
        <v>3135.34</v>
      </c>
      <c r="N86" s="56">
        <f t="shared" si="12"/>
        <v>2976</v>
      </c>
      <c r="O86" s="56">
        <f t="shared" si="13"/>
        <v>-159.34000000000015</v>
      </c>
      <c r="P86" s="57">
        <f t="shared" si="14"/>
        <v>-5.0820644650978797E-2</v>
      </c>
      <c r="Q86" s="58">
        <v>10</v>
      </c>
      <c r="R86" s="9" t="s">
        <v>51</v>
      </c>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row>
    <row r="87" spans="1:79" ht="15.75" customHeight="1" x14ac:dyDescent="0.25">
      <c r="A87" s="47">
        <f t="shared" si="17"/>
        <v>23</v>
      </c>
      <c r="B87" s="252" t="s">
        <v>166</v>
      </c>
      <c r="C87" s="253" t="str">
        <f ca="1">IFERROR(__xludf.DUMMYFUNCTION("GoogleFinance(B87,""name"")"),"Loading...")</f>
        <v>Loading...</v>
      </c>
      <c r="D87" s="254">
        <f ca="1">IFERROR(__xludf.DUMMYFUNCTION("GoogleFinance(B87,""marketcap"")/1000000"),61579.118833)</f>
        <v>61579.118833</v>
      </c>
      <c r="E87" s="255" t="s">
        <v>139</v>
      </c>
      <c r="F87" s="255" t="s">
        <v>23</v>
      </c>
      <c r="G87" s="256">
        <v>44859</v>
      </c>
      <c r="H87" s="92">
        <v>45050</v>
      </c>
      <c r="I87" s="257">
        <f t="shared" ca="1" si="18"/>
        <v>1.0393082173195825E-2</v>
      </c>
      <c r="J87" s="258">
        <v>1314.5</v>
      </c>
      <c r="K87" s="259">
        <v>851</v>
      </c>
      <c r="L87" s="260">
        <v>0.8</v>
      </c>
      <c r="M87" s="261">
        <f t="shared" si="11"/>
        <v>680.80000000000007</v>
      </c>
      <c r="N87" s="262">
        <f t="shared" si="12"/>
        <v>1051.6000000000001</v>
      </c>
      <c r="O87" s="262">
        <f t="shared" si="13"/>
        <v>370.80000000000007</v>
      </c>
      <c r="P87" s="263">
        <f t="shared" si="14"/>
        <v>0.54465334900117512</v>
      </c>
      <c r="Q87" s="264">
        <f t="shared" ref="Q87:Q90" ca="1" si="20">TODAY()-G87</f>
        <v>245</v>
      </c>
      <c r="R87" s="9" t="s">
        <v>167</v>
      </c>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row>
    <row r="88" spans="1:79" ht="15.75" customHeight="1" x14ac:dyDescent="0.25">
      <c r="A88" s="47">
        <f t="shared" si="17"/>
        <v>24</v>
      </c>
      <c r="B88" s="1" t="s">
        <v>155</v>
      </c>
      <c r="C88" s="48" t="str">
        <f ca="1">IFERROR(__xludf.DUMMYFUNCTION("GoogleFinance(B88,""name"")"),"Loading...")</f>
        <v>Loading...</v>
      </c>
      <c r="D88" s="49">
        <f ca="1">IFERROR(__xludf.DUMMYFUNCTION("GoogleFinance(B88,""marketcap"")/1000000"),124916.486699)</f>
        <v>124916.486699</v>
      </c>
      <c r="E88" s="50" t="s">
        <v>13</v>
      </c>
      <c r="F88" s="50" t="s">
        <v>156</v>
      </c>
      <c r="G88" s="51">
        <v>44911</v>
      </c>
      <c r="H88" s="92">
        <v>45050</v>
      </c>
      <c r="I88" s="12">
        <f t="shared" ca="1" si="18"/>
        <v>4.0028586361618219E-2</v>
      </c>
      <c r="J88" s="52">
        <v>154</v>
      </c>
      <c r="K88" s="53">
        <v>151.47999999999999</v>
      </c>
      <c r="L88" s="54">
        <f>27.4-14+12.9</f>
        <v>26.299999999999997</v>
      </c>
      <c r="M88" s="55">
        <f t="shared" si="11"/>
        <v>3983.9239999999995</v>
      </c>
      <c r="N88" s="56">
        <f t="shared" si="12"/>
        <v>4050.1999999999994</v>
      </c>
      <c r="O88" s="56">
        <f t="shared" si="13"/>
        <v>66.27599999999984</v>
      </c>
      <c r="P88" s="57">
        <f t="shared" si="14"/>
        <v>1.6635859519408491E-2</v>
      </c>
      <c r="Q88" s="58">
        <f t="shared" ca="1" si="20"/>
        <v>193</v>
      </c>
      <c r="R88" s="59" t="s">
        <v>51</v>
      </c>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row>
    <row r="89" spans="1:79" ht="15.75" customHeight="1" x14ac:dyDescent="0.25">
      <c r="A89" s="47">
        <f t="shared" si="17"/>
        <v>25</v>
      </c>
      <c r="B89" s="252" t="s">
        <v>105</v>
      </c>
      <c r="C89" s="253" t="str">
        <f ca="1">IFERROR(__xludf.DUMMYFUNCTION("GoogleFinance(B89,""name"")"),"Loading...")</f>
        <v>Loading...</v>
      </c>
      <c r="D89" s="254">
        <f ca="1">IFERROR(__xludf.DUMMYFUNCTION("GoogleFinance(B89,""marketcap"")/1000000"),116915.798175)</f>
        <v>116915.798175</v>
      </c>
      <c r="E89" s="255" t="s">
        <v>10</v>
      </c>
      <c r="F89" s="255" t="s">
        <v>106</v>
      </c>
      <c r="G89" s="256">
        <v>44826</v>
      </c>
      <c r="H89" s="92">
        <v>45057</v>
      </c>
      <c r="I89" s="257">
        <f t="shared" ca="1" si="18"/>
        <v>2.2295315780251485E-2</v>
      </c>
      <c r="J89" s="265">
        <v>451.18</v>
      </c>
      <c r="K89" s="259">
        <v>422.3</v>
      </c>
      <c r="L89" s="260">
        <v>5</v>
      </c>
      <c r="M89" s="261">
        <f t="shared" si="11"/>
        <v>2111.5</v>
      </c>
      <c r="N89" s="262">
        <f t="shared" si="12"/>
        <v>2255.9</v>
      </c>
      <c r="O89" s="262">
        <f t="shared" si="13"/>
        <v>144.40000000000009</v>
      </c>
      <c r="P89" s="263">
        <f t="shared" si="14"/>
        <v>6.8387402320625235E-2</v>
      </c>
      <c r="Q89" s="264">
        <f t="shared" ca="1" si="20"/>
        <v>278</v>
      </c>
      <c r="R89" s="59" t="s">
        <v>51</v>
      </c>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row>
    <row r="90" spans="1:79" ht="15.75" customHeight="1" x14ac:dyDescent="0.25">
      <c r="A90" s="47">
        <f t="shared" si="17"/>
        <v>26</v>
      </c>
      <c r="B90" s="1" t="s">
        <v>160</v>
      </c>
      <c r="C90" s="48" t="str">
        <f ca="1">IFERROR(__xludf.DUMMYFUNCTION("GoogleFinance(B90,""name"")"),"Loading...")</f>
        <v>Loading...</v>
      </c>
      <c r="D90" s="49">
        <f ca="1">IFERROR(__xludf.DUMMYFUNCTION("GoogleFinance(B90,""marketcap"")/1000000"),804048.421125)</f>
        <v>804048.42112499999</v>
      </c>
      <c r="E90" s="50" t="s">
        <v>139</v>
      </c>
      <c r="F90" s="50" t="s">
        <v>161</v>
      </c>
      <c r="G90" s="51">
        <v>44859</v>
      </c>
      <c r="H90" s="92">
        <v>45057</v>
      </c>
      <c r="I90" s="12">
        <f t="shared" ca="1" si="18"/>
        <v>1.6929022111290291E-2</v>
      </c>
      <c r="J90" s="52">
        <v>172.35</v>
      </c>
      <c r="K90" s="53">
        <v>192.2</v>
      </c>
      <c r="L90" s="54">
        <f>4.2+1010/176</f>
        <v>9.9386363636363626</v>
      </c>
      <c r="M90" s="55">
        <f t="shared" si="11"/>
        <v>1910.2059090909088</v>
      </c>
      <c r="N90" s="56">
        <f t="shared" si="12"/>
        <v>1712.9239772727271</v>
      </c>
      <c r="O90" s="56">
        <f t="shared" si="13"/>
        <v>-197.28193181818165</v>
      </c>
      <c r="P90" s="57">
        <f t="shared" si="14"/>
        <v>-0.10327783558792925</v>
      </c>
      <c r="Q90" s="58">
        <f t="shared" ca="1" si="20"/>
        <v>245</v>
      </c>
      <c r="R90" s="59" t="s">
        <v>168</v>
      </c>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row>
    <row r="91" spans="1:79" ht="15.75" customHeight="1" x14ac:dyDescent="0.25">
      <c r="A91" s="47">
        <f t="shared" si="17"/>
        <v>27</v>
      </c>
      <c r="B91" s="1" t="s">
        <v>169</v>
      </c>
      <c r="C91" s="48" t="str">
        <f ca="1">IFERROR(__xludf.DUMMYFUNCTION("GoogleFinance(B91,""name"")"),"Loading...")</f>
        <v>Loading...</v>
      </c>
      <c r="D91" s="49">
        <f ca="1">IFERROR(__xludf.DUMMYFUNCTION("GoogleFinance(B91,""marketcap"")/1000000"),239802.157649)</f>
        <v>239802.157649</v>
      </c>
      <c r="E91" s="50" t="s">
        <v>15</v>
      </c>
      <c r="F91" s="50" t="s">
        <v>93</v>
      </c>
      <c r="G91" s="51">
        <v>44862</v>
      </c>
      <c r="H91" s="92">
        <v>45063</v>
      </c>
      <c r="I91" s="12">
        <f t="shared" ca="1" si="18"/>
        <v>3.9571986517189121E-2</v>
      </c>
      <c r="J91" s="52">
        <v>143</v>
      </c>
      <c r="K91" s="53">
        <f>(143.34+148.8)/2</f>
        <v>146.07</v>
      </c>
      <c r="L91" s="54">
        <v>28</v>
      </c>
      <c r="M91" s="55">
        <f t="shared" si="11"/>
        <v>4089.96</v>
      </c>
      <c r="N91" s="56">
        <f t="shared" si="12"/>
        <v>4004</v>
      </c>
      <c r="O91" s="56">
        <f t="shared" si="13"/>
        <v>-85.960000000000036</v>
      </c>
      <c r="P91" s="57">
        <f t="shared" si="14"/>
        <v>-2.1017320462791811E-2</v>
      </c>
      <c r="Q91" s="58">
        <v>200</v>
      </c>
      <c r="R91" s="59" t="s">
        <v>51</v>
      </c>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row>
    <row r="92" spans="1:79" ht="15.75" customHeight="1" x14ac:dyDescent="0.25">
      <c r="A92" s="47">
        <f t="shared" si="17"/>
        <v>28</v>
      </c>
      <c r="B92" s="1" t="s">
        <v>170</v>
      </c>
      <c r="C92" s="48" t="str">
        <f ca="1">IFERROR(__xludf.DUMMYFUNCTION("GoogleFinance(B92,""name"")"),"Loading...")</f>
        <v>Loading...</v>
      </c>
      <c r="D92" s="49">
        <f ca="1">IFERROR(__xludf.DUMMYFUNCTION("GoogleFinance(B92,""marketcap"")/1000000"),121350.891741)</f>
        <v>121350.891741</v>
      </c>
      <c r="E92" s="50" t="s">
        <v>15</v>
      </c>
      <c r="F92" s="50" t="s">
        <v>93</v>
      </c>
      <c r="G92" s="51">
        <v>44923</v>
      </c>
      <c r="H92" s="92">
        <v>45063</v>
      </c>
      <c r="I92" s="12">
        <f t="shared" ca="1" si="18"/>
        <v>3.3320642059309097E-2</v>
      </c>
      <c r="J92" s="52">
        <v>221</v>
      </c>
      <c r="K92" s="53">
        <v>262.2</v>
      </c>
      <c r="L92" s="54">
        <f>4000/K92</f>
        <v>15.255530129672007</v>
      </c>
      <c r="M92" s="55">
        <f t="shared" si="11"/>
        <v>4000</v>
      </c>
      <c r="N92" s="56">
        <f t="shared" si="12"/>
        <v>3371.4721586575133</v>
      </c>
      <c r="O92" s="56">
        <f t="shared" si="13"/>
        <v>-628.52784134248668</v>
      </c>
      <c r="P92" s="57">
        <f t="shared" si="14"/>
        <v>-0.1571319603356216</v>
      </c>
      <c r="Q92" s="58">
        <v>142</v>
      </c>
      <c r="R92" s="59" t="s">
        <v>51</v>
      </c>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row>
    <row r="93" spans="1:79" ht="15.75" customHeight="1" x14ac:dyDescent="0.25">
      <c r="A93" s="47">
        <f>A89+1</f>
        <v>26</v>
      </c>
      <c r="B93" s="1" t="s">
        <v>118</v>
      </c>
      <c r="C93" s="48" t="str">
        <f ca="1">IFERROR(__xludf.DUMMYFUNCTION("GoogleFinance(B93,""name"")"),"Loading...")</f>
        <v>Loading...</v>
      </c>
      <c r="D93" s="49" t="str">
        <f ca="1">IFERROR(__xludf.DUMMYFUNCTION("GoogleFinance(B93,""marketcap"")/1000000"),"#N/A")</f>
        <v>#N/A</v>
      </c>
      <c r="E93" s="50" t="s">
        <v>119</v>
      </c>
      <c r="F93" s="50" t="s">
        <v>69</v>
      </c>
      <c r="G93" s="51">
        <v>45057</v>
      </c>
      <c r="H93" s="92">
        <v>45078</v>
      </c>
      <c r="I93" s="12">
        <f t="shared" ca="1" si="18"/>
        <v>9.4538525399751425E-2</v>
      </c>
      <c r="J93" s="52">
        <v>12.5</v>
      </c>
      <c r="K93" s="53">
        <v>13.44</v>
      </c>
      <c r="L93" s="54">
        <f>10285/K93</f>
        <v>765.25297619047626</v>
      </c>
      <c r="M93" s="55">
        <f t="shared" si="11"/>
        <v>10285</v>
      </c>
      <c r="N93" s="56">
        <f t="shared" si="12"/>
        <v>9565.6622023809541</v>
      </c>
      <c r="O93" s="56">
        <f t="shared" si="13"/>
        <v>-719.33779761904589</v>
      </c>
      <c r="P93" s="57">
        <f t="shared" si="14"/>
        <v>-6.9940476190476164E-2</v>
      </c>
      <c r="Q93" s="58">
        <f ca="1">TODAY()-G93</f>
        <v>47</v>
      </c>
      <c r="R93" s="31" t="s">
        <v>51</v>
      </c>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row>
    <row r="94" spans="1:79" ht="15.75" customHeight="1" x14ac:dyDescent="0.25">
      <c r="A94" s="47">
        <f>A93+1</f>
        <v>27</v>
      </c>
      <c r="B94" s="1" t="s">
        <v>171</v>
      </c>
      <c r="C94" s="48" t="str">
        <f ca="1">IFERROR(__xludf.DUMMYFUNCTION("GoogleFinance(B94,""name"")"),"Loading...")</f>
        <v>Loading...</v>
      </c>
      <c r="D94" s="49">
        <f ca="1">IFERROR(__xludf.DUMMYFUNCTION("GoogleFinance(B94,""marketcap"")/1000000"),1326971.084287)</f>
        <v>1326971.0842869999</v>
      </c>
      <c r="E94" s="50" t="s">
        <v>139</v>
      </c>
      <c r="F94" s="50" t="s">
        <v>23</v>
      </c>
      <c r="G94" s="51">
        <v>44609</v>
      </c>
      <c r="H94" s="92">
        <v>45090</v>
      </c>
      <c r="I94" s="12">
        <f t="shared" ca="1" si="18"/>
        <v>1.6115707624832894E-2</v>
      </c>
      <c r="J94" s="52">
        <v>126.7</v>
      </c>
      <c r="K94" s="53">
        <v>155.4</v>
      </c>
      <c r="L94" s="54">
        <f>2000/K94</f>
        <v>12.87001287001287</v>
      </c>
      <c r="M94" s="55">
        <f t="shared" si="11"/>
        <v>2000</v>
      </c>
      <c r="N94" s="56">
        <f t="shared" si="12"/>
        <v>1630.6306306306305</v>
      </c>
      <c r="O94" s="56">
        <f t="shared" si="13"/>
        <v>-369.36936936936945</v>
      </c>
      <c r="P94" s="57">
        <f t="shared" si="14"/>
        <v>-0.18468468468468469</v>
      </c>
      <c r="Q94" s="58">
        <v>481</v>
      </c>
      <c r="R94" s="59" t="s">
        <v>168</v>
      </c>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row>
    <row r="95" spans="1:79" ht="15.75" customHeight="1" x14ac:dyDescent="0.25">
      <c r="A95" s="47">
        <f t="shared" ref="A95:A97" si="21">A93+1</f>
        <v>27</v>
      </c>
      <c r="B95" s="22" t="s">
        <v>172</v>
      </c>
      <c r="C95" s="141" t="str">
        <f ca="1">IFERROR(__xludf.DUMMYFUNCTION("GoogleFinance(B95,""name"")"),"Loading...")</f>
        <v>Loading...</v>
      </c>
      <c r="D95" s="142">
        <f ca="1">IFERROR(__xludf.DUMMYFUNCTION("GoogleFinance(B95,""marketcap"")/1000000"),44070.080482)</f>
        <v>44070.080481999998</v>
      </c>
      <c r="E95" s="23" t="s">
        <v>16</v>
      </c>
      <c r="F95" s="23" t="s">
        <v>82</v>
      </c>
      <c r="G95" s="131">
        <v>45026</v>
      </c>
      <c r="H95" s="92">
        <v>45090</v>
      </c>
      <c r="I95" s="143">
        <f t="shared" ca="1" si="18"/>
        <v>2.9329219132694505E-2</v>
      </c>
      <c r="J95" s="144">
        <v>37</v>
      </c>
      <c r="K95" s="145">
        <v>38.9</v>
      </c>
      <c r="L95" s="240">
        <f>104000*0.03/K95</f>
        <v>80.205655526992288</v>
      </c>
      <c r="M95" s="146">
        <f t="shared" si="11"/>
        <v>3120</v>
      </c>
      <c r="N95" s="146">
        <f t="shared" si="12"/>
        <v>2967.6092544987146</v>
      </c>
      <c r="O95" s="241">
        <f t="shared" si="13"/>
        <v>-152.39074550128544</v>
      </c>
      <c r="P95" s="148">
        <f t="shared" si="14"/>
        <v>-4.8843187660668308E-2</v>
      </c>
      <c r="Q95" s="58">
        <v>63</v>
      </c>
      <c r="R95" s="59" t="s">
        <v>51</v>
      </c>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row>
    <row r="96" spans="1:79" ht="15.75" customHeight="1" x14ac:dyDescent="0.25">
      <c r="A96" s="47">
        <f t="shared" si="21"/>
        <v>28</v>
      </c>
      <c r="B96" s="1" t="s">
        <v>173</v>
      </c>
      <c r="C96" s="48" t="str">
        <f ca="1">IFERROR(__xludf.DUMMYFUNCTION("GoogleFinance(B96,""name"")"),"Loading...")</f>
        <v>Loading...</v>
      </c>
      <c r="D96" s="49" t="str">
        <f ca="1">IFERROR(__xludf.DUMMYFUNCTION("GoogleFinance(B96,""marketcap"")/1000000"),"#N/A")</f>
        <v>#N/A</v>
      </c>
      <c r="E96" s="50" t="s">
        <v>11</v>
      </c>
      <c r="F96" s="50" t="s">
        <v>174</v>
      </c>
      <c r="G96" s="51">
        <v>45079</v>
      </c>
      <c r="H96" s="92">
        <v>45091</v>
      </c>
      <c r="I96" s="12">
        <f t="shared" ca="1" si="18"/>
        <v>5.3407524879473402E-2</v>
      </c>
      <c r="J96" s="52">
        <v>63.3</v>
      </c>
      <c r="K96" s="53">
        <v>59.74</v>
      </c>
      <c r="L96" s="54">
        <f t="shared" ref="L96:L97" si="22">5100/K96</f>
        <v>85.369936391027778</v>
      </c>
      <c r="M96" s="55">
        <v>5100</v>
      </c>
      <c r="N96" s="56">
        <f t="shared" si="12"/>
        <v>5403.9169735520582</v>
      </c>
      <c r="O96" s="56">
        <f t="shared" si="13"/>
        <v>303.91697355205815</v>
      </c>
      <c r="P96" s="57">
        <f t="shared" si="14"/>
        <v>5.9591563441580009E-2</v>
      </c>
      <c r="Q96" s="58">
        <v>12</v>
      </c>
      <c r="R96" s="59" t="s">
        <v>175</v>
      </c>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row>
    <row r="97" spans="1:79" ht="15.75" customHeight="1" x14ac:dyDescent="0.25">
      <c r="A97" s="47">
        <f t="shared" si="21"/>
        <v>28</v>
      </c>
      <c r="B97" s="22" t="s">
        <v>176</v>
      </c>
      <c r="C97" s="141" t="str">
        <f ca="1">IFERROR(__xludf.DUMMYFUNCTION("GoogleFinance(B97,""name"")"),"Loading...")</f>
        <v>Loading...</v>
      </c>
      <c r="D97" s="142" t="str">
        <f ca="1">IFERROR(__xludf.DUMMYFUNCTION("GoogleFinance(B97,""marketcap"")/1000000"),"#N/A")</f>
        <v>#N/A</v>
      </c>
      <c r="E97" s="23" t="s">
        <v>11</v>
      </c>
      <c r="F97" s="23" t="s">
        <v>177</v>
      </c>
      <c r="G97" s="131">
        <v>45079</v>
      </c>
      <c r="H97" s="28">
        <v>0.05</v>
      </c>
      <c r="I97" s="143">
        <f t="shared" ca="1" si="18"/>
        <v>5.3174065306021721E-2</v>
      </c>
      <c r="J97" s="144">
        <v>39.35</v>
      </c>
      <c r="K97" s="145">
        <v>37.299999999999997</v>
      </c>
      <c r="L97" s="240">
        <f t="shared" si="22"/>
        <v>136.72922252010724</v>
      </c>
      <c r="M97" s="146">
        <v>5100</v>
      </c>
      <c r="N97" s="146">
        <f t="shared" si="12"/>
        <v>5380.2949061662202</v>
      </c>
      <c r="O97" s="147">
        <f t="shared" si="13"/>
        <v>280.29490616622024</v>
      </c>
      <c r="P97" s="246">
        <f t="shared" si="14"/>
        <v>5.4959785522788351E-2</v>
      </c>
      <c r="Q97" s="58">
        <v>12</v>
      </c>
      <c r="R97" s="59" t="s">
        <v>175</v>
      </c>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row>
    <row r="98" spans="1:79" ht="15.75" customHeight="1" x14ac:dyDescent="0.25">
      <c r="A98" s="31"/>
      <c r="B98" s="31"/>
      <c r="C98" s="266"/>
      <c r="D98" s="31"/>
      <c r="E98" s="31"/>
      <c r="F98" s="31"/>
      <c r="G98" s="32"/>
      <c r="H98" s="32"/>
      <c r="I98" s="31"/>
      <c r="J98" s="32"/>
      <c r="K98" s="31"/>
      <c r="L98" s="31"/>
      <c r="M98" s="31"/>
      <c r="N98" s="32"/>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row>
    <row r="99" spans="1:79" ht="15.75" customHeight="1" x14ac:dyDescent="0.25">
      <c r="A99" s="31"/>
      <c r="B99" s="31"/>
      <c r="C99" s="266"/>
      <c r="D99" s="31"/>
      <c r="E99" s="31"/>
      <c r="F99" s="31"/>
      <c r="G99" s="32"/>
      <c r="H99" s="32"/>
      <c r="I99" s="31"/>
      <c r="J99" s="32"/>
      <c r="K99" s="31"/>
      <c r="L99" s="31"/>
      <c r="M99" s="31"/>
      <c r="N99" s="32"/>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row>
    <row r="100" spans="1:79" ht="15.75" customHeight="1" x14ac:dyDescent="0.25">
      <c r="A100" s="31"/>
      <c r="B100" s="31"/>
      <c r="C100" s="266"/>
      <c r="D100" s="31"/>
      <c r="E100" s="31"/>
      <c r="F100" s="31"/>
      <c r="G100" s="32"/>
      <c r="H100" s="32"/>
      <c r="I100" s="31"/>
      <c r="J100" s="32"/>
      <c r="K100" s="31"/>
      <c r="L100" s="31"/>
      <c r="M100" s="31"/>
      <c r="N100" s="32"/>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row>
    <row r="101" spans="1:79" ht="15.75" customHeight="1" x14ac:dyDescent="0.25">
      <c r="A101" s="31"/>
      <c r="B101" s="31"/>
      <c r="C101" s="266"/>
      <c r="D101" s="31"/>
      <c r="E101" s="31"/>
      <c r="F101" s="31"/>
      <c r="G101" s="32"/>
      <c r="H101" s="32"/>
      <c r="I101" s="31"/>
      <c r="J101" s="32"/>
      <c r="K101" s="31"/>
      <c r="L101" s="31"/>
      <c r="M101" s="31"/>
      <c r="N101" s="32"/>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row>
    <row r="102" spans="1:79" ht="15.75" customHeight="1" x14ac:dyDescent="0.25">
      <c r="A102" s="31"/>
      <c r="B102" s="31"/>
      <c r="C102" s="266"/>
      <c r="D102" s="31"/>
      <c r="E102" s="31"/>
      <c r="F102" s="31"/>
      <c r="G102" s="32"/>
      <c r="H102" s="32"/>
      <c r="I102" s="31"/>
      <c r="J102" s="32"/>
      <c r="K102" s="31"/>
      <c r="L102" s="31"/>
      <c r="M102" s="31"/>
      <c r="N102" s="32"/>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row>
    <row r="103" spans="1:79" ht="15.75" customHeight="1" x14ac:dyDescent="0.25">
      <c r="A103" s="31"/>
      <c r="B103" s="31"/>
      <c r="C103" s="266"/>
      <c r="D103" s="31"/>
      <c r="E103" s="31"/>
      <c r="F103" s="31"/>
      <c r="G103" s="32"/>
      <c r="H103" s="32"/>
      <c r="I103" s="31"/>
      <c r="J103" s="32"/>
      <c r="K103" s="31"/>
      <c r="L103" s="31"/>
      <c r="M103" s="31"/>
      <c r="N103" s="32"/>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row>
    <row r="104" spans="1:79" ht="15.75" customHeight="1" x14ac:dyDescent="0.25">
      <c r="A104" s="31"/>
      <c r="B104" s="31"/>
      <c r="C104" s="266"/>
      <c r="D104" s="31"/>
      <c r="E104" s="31"/>
      <c r="F104" s="31"/>
      <c r="G104" s="32"/>
      <c r="H104" s="32"/>
      <c r="I104" s="31"/>
      <c r="J104" s="32"/>
      <c r="K104" s="31"/>
      <c r="L104" s="31"/>
      <c r="M104" s="31"/>
      <c r="N104" s="32"/>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row>
    <row r="105" spans="1:79" ht="15.75" customHeight="1" x14ac:dyDescent="0.25">
      <c r="A105" s="31"/>
      <c r="B105" s="31"/>
      <c r="C105" s="266"/>
      <c r="D105" s="31"/>
      <c r="E105" s="31"/>
      <c r="F105" s="31"/>
      <c r="G105" s="32"/>
      <c r="H105" s="32"/>
      <c r="I105" s="31"/>
      <c r="J105" s="32"/>
      <c r="K105" s="31"/>
      <c r="L105" s="31"/>
      <c r="M105" s="31"/>
      <c r="N105" s="32"/>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row>
    <row r="106" spans="1:79" ht="15.75" customHeight="1" x14ac:dyDescent="0.25">
      <c r="A106" s="31"/>
      <c r="B106" s="31"/>
      <c r="C106" s="266"/>
      <c r="D106" s="31"/>
      <c r="E106" s="31"/>
      <c r="F106" s="31"/>
      <c r="G106" s="32"/>
      <c r="H106" s="32"/>
      <c r="I106" s="31"/>
      <c r="J106" s="32"/>
      <c r="K106" s="31"/>
      <c r="L106" s="31"/>
      <c r="M106" s="31"/>
      <c r="N106" s="32"/>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row>
    <row r="107" spans="1:79" ht="15.75" customHeight="1" x14ac:dyDescent="0.25">
      <c r="A107" s="31"/>
      <c r="B107" s="31"/>
      <c r="C107" s="266"/>
      <c r="D107" s="31"/>
      <c r="E107" s="31"/>
      <c r="F107" s="31"/>
      <c r="G107" s="32"/>
      <c r="H107" s="32"/>
      <c r="I107" s="31"/>
      <c r="J107" s="32"/>
      <c r="K107" s="31"/>
      <c r="L107" s="31"/>
      <c r="M107" s="31"/>
      <c r="N107" s="32"/>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row>
    <row r="108" spans="1:79" ht="15.75" customHeight="1" x14ac:dyDescent="0.25">
      <c r="A108" s="31"/>
      <c r="B108" s="31"/>
      <c r="C108" s="266"/>
      <c r="D108" s="31"/>
      <c r="E108" s="31"/>
      <c r="F108" s="31"/>
      <c r="G108" s="32"/>
      <c r="H108" s="32"/>
      <c r="I108" s="31"/>
      <c r="J108" s="32"/>
      <c r="K108" s="31"/>
      <c r="L108" s="31"/>
      <c r="M108" s="31"/>
      <c r="N108" s="32"/>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row>
    <row r="109" spans="1:79" ht="15.75" customHeight="1" x14ac:dyDescent="0.25">
      <c r="A109" s="31"/>
      <c r="B109" s="31"/>
      <c r="C109" s="266"/>
      <c r="D109" s="31"/>
      <c r="E109" s="31"/>
      <c r="F109" s="31"/>
      <c r="G109" s="32"/>
      <c r="H109" s="32"/>
      <c r="I109" s="31"/>
      <c r="J109" s="32"/>
      <c r="K109" s="31"/>
      <c r="L109" s="31"/>
      <c r="M109" s="31"/>
      <c r="N109" s="32"/>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row>
    <row r="110" spans="1:79" ht="15.75" customHeight="1" x14ac:dyDescent="0.25">
      <c r="A110" s="31"/>
      <c r="B110" s="31"/>
      <c r="C110" s="266"/>
      <c r="D110" s="31"/>
      <c r="E110" s="31"/>
      <c r="F110" s="31"/>
      <c r="G110" s="32"/>
      <c r="H110" s="32"/>
      <c r="I110" s="31"/>
      <c r="J110" s="32"/>
      <c r="K110" s="31"/>
      <c r="L110" s="31"/>
      <c r="M110" s="31"/>
      <c r="N110" s="32"/>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row>
    <row r="111" spans="1:79" ht="15.75" customHeight="1" x14ac:dyDescent="0.25">
      <c r="A111" s="31"/>
      <c r="B111" s="31"/>
      <c r="C111" s="266"/>
      <c r="D111" s="31"/>
      <c r="E111" s="31"/>
      <c r="F111" s="31"/>
      <c r="G111" s="32"/>
      <c r="H111" s="32"/>
      <c r="I111" s="31"/>
      <c r="J111" s="32"/>
      <c r="K111" s="31"/>
      <c r="L111" s="31"/>
      <c r="M111" s="31"/>
      <c r="N111" s="32"/>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row>
    <row r="112" spans="1:79" ht="15.75" customHeight="1" x14ac:dyDescent="0.25">
      <c r="A112" s="31"/>
      <c r="B112" s="31"/>
      <c r="C112" s="266"/>
      <c r="D112" s="31"/>
      <c r="E112" s="31"/>
      <c r="F112" s="31"/>
      <c r="G112" s="32"/>
      <c r="H112" s="32"/>
      <c r="I112" s="31"/>
      <c r="J112" s="32"/>
      <c r="K112" s="31"/>
      <c r="L112" s="31"/>
      <c r="M112" s="31"/>
      <c r="N112" s="32"/>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row>
    <row r="113" spans="1:79" ht="15.75" customHeight="1" x14ac:dyDescent="0.25">
      <c r="A113" s="31"/>
      <c r="B113" s="31"/>
      <c r="C113" s="266"/>
      <c r="D113" s="31"/>
      <c r="E113" s="31"/>
      <c r="F113" s="31"/>
      <c r="G113" s="32"/>
      <c r="H113" s="32"/>
      <c r="I113" s="31"/>
      <c r="J113" s="32"/>
      <c r="K113" s="31"/>
      <c r="L113" s="31"/>
      <c r="M113" s="31"/>
      <c r="N113" s="32"/>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row>
    <row r="114" spans="1:79" ht="15.75" customHeight="1" x14ac:dyDescent="0.25">
      <c r="A114" s="31"/>
      <c r="B114" s="31"/>
      <c r="C114" s="266"/>
      <c r="D114" s="31"/>
      <c r="E114" s="31"/>
      <c r="F114" s="31"/>
      <c r="G114" s="32"/>
      <c r="H114" s="32"/>
      <c r="I114" s="31"/>
      <c r="J114" s="32"/>
      <c r="K114" s="31"/>
      <c r="L114" s="31"/>
      <c r="M114" s="31"/>
      <c r="N114" s="32"/>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row>
    <row r="115" spans="1:79" ht="15.75" customHeight="1" x14ac:dyDescent="0.25">
      <c r="A115" s="31"/>
      <c r="B115" s="31"/>
      <c r="C115" s="266"/>
      <c r="D115" s="31"/>
      <c r="E115" s="31"/>
      <c r="F115" s="31"/>
      <c r="G115" s="32"/>
      <c r="H115" s="32"/>
      <c r="I115" s="31"/>
      <c r="J115" s="32"/>
      <c r="K115" s="31"/>
      <c r="L115" s="31"/>
      <c r="M115" s="31"/>
      <c r="N115" s="32"/>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row>
    <row r="116" spans="1:79" ht="15.75" customHeight="1" x14ac:dyDescent="0.25">
      <c r="A116" s="31"/>
      <c r="B116" s="31"/>
      <c r="C116" s="266"/>
      <c r="D116" s="31"/>
      <c r="E116" s="31"/>
      <c r="F116" s="31"/>
      <c r="G116" s="32"/>
      <c r="H116" s="32"/>
      <c r="I116" s="31"/>
      <c r="J116" s="32"/>
      <c r="K116" s="31"/>
      <c r="L116" s="31"/>
      <c r="M116" s="31"/>
      <c r="N116" s="32"/>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row>
    <row r="117" spans="1:79" ht="15.75" customHeight="1" x14ac:dyDescent="0.25">
      <c r="A117" s="31"/>
      <c r="B117" s="31"/>
      <c r="C117" s="266"/>
      <c r="D117" s="31"/>
      <c r="E117" s="31"/>
      <c r="F117" s="31"/>
      <c r="G117" s="32"/>
      <c r="H117" s="32"/>
      <c r="I117" s="31"/>
      <c r="J117" s="32"/>
      <c r="K117" s="31"/>
      <c r="L117" s="31"/>
      <c r="M117" s="31"/>
      <c r="N117" s="32"/>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row>
    <row r="118" spans="1:79" ht="15.75" customHeight="1" x14ac:dyDescent="0.25">
      <c r="A118" s="31"/>
      <c r="B118" s="31"/>
      <c r="C118" s="266"/>
      <c r="D118" s="31"/>
      <c r="E118" s="31"/>
      <c r="F118" s="31"/>
      <c r="G118" s="32"/>
      <c r="H118" s="32"/>
      <c r="I118" s="31"/>
      <c r="J118" s="32"/>
      <c r="K118" s="31"/>
      <c r="L118" s="31"/>
      <c r="M118" s="31"/>
      <c r="N118" s="32"/>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row>
    <row r="119" spans="1:79" ht="15.75" customHeight="1" x14ac:dyDescent="0.25">
      <c r="A119" s="31"/>
      <c r="B119" s="31"/>
      <c r="C119" s="266"/>
      <c r="D119" s="31"/>
      <c r="E119" s="31"/>
      <c r="F119" s="31"/>
      <c r="G119" s="32"/>
      <c r="H119" s="32"/>
      <c r="I119" s="31"/>
      <c r="J119" s="32"/>
      <c r="K119" s="31"/>
      <c r="L119" s="31"/>
      <c r="M119" s="31"/>
      <c r="N119" s="32"/>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row>
    <row r="120" spans="1:79" ht="15.75" customHeight="1" x14ac:dyDescent="0.25">
      <c r="A120" s="31"/>
      <c r="B120" s="31"/>
      <c r="C120" s="266"/>
      <c r="D120" s="31"/>
      <c r="E120" s="31"/>
      <c r="F120" s="31"/>
      <c r="G120" s="32"/>
      <c r="H120" s="32"/>
      <c r="I120" s="31"/>
      <c r="J120" s="32"/>
      <c r="K120" s="31"/>
      <c r="L120" s="31"/>
      <c r="M120" s="31"/>
      <c r="N120" s="32"/>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row>
    <row r="121" spans="1:79" ht="15.75" customHeight="1" x14ac:dyDescent="0.25">
      <c r="A121" s="31"/>
      <c r="B121" s="31"/>
      <c r="C121" s="266"/>
      <c r="D121" s="31"/>
      <c r="E121" s="31"/>
      <c r="F121" s="31"/>
      <c r="G121" s="32"/>
      <c r="H121" s="32"/>
      <c r="I121" s="31"/>
      <c r="J121" s="32"/>
      <c r="K121" s="31"/>
      <c r="L121" s="31"/>
      <c r="M121" s="31"/>
      <c r="N121" s="32"/>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row>
    <row r="122" spans="1:79" ht="15.75" customHeight="1" x14ac:dyDescent="0.25">
      <c r="A122" s="31"/>
      <c r="B122" s="31"/>
      <c r="C122" s="266"/>
      <c r="D122" s="31"/>
      <c r="E122" s="31"/>
      <c r="F122" s="31"/>
      <c r="G122" s="32"/>
      <c r="H122" s="32"/>
      <c r="I122" s="31"/>
      <c r="J122" s="32"/>
      <c r="K122" s="31"/>
      <c r="L122" s="31"/>
      <c r="M122" s="31"/>
      <c r="N122" s="32"/>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row>
    <row r="123" spans="1:79" ht="15.75" customHeight="1" x14ac:dyDescent="0.25">
      <c r="A123" s="31"/>
      <c r="B123" s="31"/>
      <c r="C123" s="266"/>
      <c r="D123" s="31"/>
      <c r="E123" s="31"/>
      <c r="F123" s="31"/>
      <c r="G123" s="32"/>
      <c r="H123" s="32"/>
      <c r="I123" s="31"/>
      <c r="J123" s="32"/>
      <c r="K123" s="31"/>
      <c r="L123" s="31"/>
      <c r="M123" s="31"/>
      <c r="N123" s="32"/>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row>
    <row r="124" spans="1:79" ht="15.75" customHeight="1" x14ac:dyDescent="0.25">
      <c r="A124" s="31"/>
      <c r="B124" s="31"/>
      <c r="C124" s="266"/>
      <c r="D124" s="31"/>
      <c r="E124" s="31"/>
      <c r="F124" s="31"/>
      <c r="G124" s="32"/>
      <c r="H124" s="32"/>
      <c r="I124" s="31"/>
      <c r="J124" s="32"/>
      <c r="K124" s="31"/>
      <c r="L124" s="31"/>
      <c r="M124" s="31"/>
      <c r="N124" s="32"/>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row>
    <row r="125" spans="1:79" ht="15.75" customHeight="1" x14ac:dyDescent="0.25">
      <c r="A125" s="31"/>
      <c r="B125" s="31"/>
      <c r="C125" s="266"/>
      <c r="D125" s="31"/>
      <c r="E125" s="31"/>
      <c r="F125" s="31"/>
      <c r="G125" s="32"/>
      <c r="H125" s="32"/>
      <c r="I125" s="31"/>
      <c r="J125" s="32"/>
      <c r="K125" s="31"/>
      <c r="L125" s="31"/>
      <c r="M125" s="31"/>
      <c r="N125" s="32"/>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row>
    <row r="126" spans="1:79" ht="15.75" customHeight="1" x14ac:dyDescent="0.25">
      <c r="A126" s="31"/>
      <c r="B126" s="31"/>
      <c r="C126" s="266"/>
      <c r="D126" s="31"/>
      <c r="E126" s="31"/>
      <c r="F126" s="31"/>
      <c r="G126" s="32"/>
      <c r="H126" s="32"/>
      <c r="I126" s="31"/>
      <c r="J126" s="32"/>
      <c r="K126" s="31"/>
      <c r="L126" s="31"/>
      <c r="M126" s="31"/>
      <c r="N126" s="32"/>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row>
    <row r="127" spans="1:79" ht="15.75" customHeight="1" x14ac:dyDescent="0.25">
      <c r="A127" s="31"/>
      <c r="B127" s="31"/>
      <c r="C127" s="266"/>
      <c r="D127" s="31"/>
      <c r="E127" s="31"/>
      <c r="F127" s="31"/>
      <c r="G127" s="32"/>
      <c r="H127" s="32"/>
      <c r="I127" s="31"/>
      <c r="J127" s="32"/>
      <c r="K127" s="31"/>
      <c r="L127" s="31"/>
      <c r="M127" s="31"/>
      <c r="N127" s="32"/>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row>
    <row r="128" spans="1:79" ht="15.75" customHeight="1" x14ac:dyDescent="0.25">
      <c r="A128" s="31"/>
      <c r="B128" s="31"/>
      <c r="C128" s="266"/>
      <c r="D128" s="31"/>
      <c r="E128" s="31"/>
      <c r="F128" s="31"/>
      <c r="G128" s="32"/>
      <c r="H128" s="32"/>
      <c r="I128" s="31"/>
      <c r="J128" s="32"/>
      <c r="K128" s="31"/>
      <c r="L128" s="31"/>
      <c r="M128" s="31"/>
      <c r="N128" s="32"/>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row>
    <row r="129" spans="1:79" ht="15.75" customHeight="1" x14ac:dyDescent="0.25">
      <c r="A129" s="31"/>
      <c r="B129" s="31"/>
      <c r="C129" s="266"/>
      <c r="D129" s="31"/>
      <c r="E129" s="31"/>
      <c r="F129" s="31"/>
      <c r="G129" s="32"/>
      <c r="H129" s="32"/>
      <c r="I129" s="31"/>
      <c r="J129" s="32"/>
      <c r="K129" s="31"/>
      <c r="L129" s="31"/>
      <c r="M129" s="31"/>
      <c r="N129" s="32"/>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row>
    <row r="130" spans="1:79" ht="15.75" customHeight="1" x14ac:dyDescent="0.25">
      <c r="A130" s="31"/>
      <c r="B130" s="31"/>
      <c r="C130" s="266"/>
      <c r="D130" s="31"/>
      <c r="E130" s="31"/>
      <c r="F130" s="31"/>
      <c r="G130" s="32"/>
      <c r="H130" s="32"/>
      <c r="I130" s="31"/>
      <c r="J130" s="32"/>
      <c r="K130" s="31"/>
      <c r="L130" s="31"/>
      <c r="M130" s="31"/>
      <c r="N130" s="32"/>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row>
    <row r="131" spans="1:79" ht="15.75" customHeight="1" x14ac:dyDescent="0.25">
      <c r="A131" s="31"/>
      <c r="B131" s="31"/>
      <c r="C131" s="266"/>
      <c r="D131" s="31"/>
      <c r="E131" s="31"/>
      <c r="F131" s="31"/>
      <c r="G131" s="32"/>
      <c r="H131" s="32"/>
      <c r="I131" s="31"/>
      <c r="J131" s="32"/>
      <c r="K131" s="31"/>
      <c r="L131" s="31"/>
      <c r="M131" s="31"/>
      <c r="N131" s="32"/>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row>
    <row r="132" spans="1:79" ht="15.75" customHeight="1" x14ac:dyDescent="0.25">
      <c r="A132" s="31"/>
      <c r="B132" s="31"/>
      <c r="C132" s="266"/>
      <c r="D132" s="31"/>
      <c r="E132" s="31"/>
      <c r="F132" s="31"/>
      <c r="G132" s="32"/>
      <c r="H132" s="32"/>
      <c r="I132" s="31"/>
      <c r="J132" s="32"/>
      <c r="K132" s="31"/>
      <c r="L132" s="31"/>
      <c r="M132" s="31"/>
      <c r="N132" s="32"/>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row>
    <row r="133" spans="1:79" ht="15.75" customHeight="1" x14ac:dyDescent="0.25">
      <c r="A133" s="31"/>
      <c r="B133" s="31"/>
      <c r="C133" s="266"/>
      <c r="D133" s="31"/>
      <c r="E133" s="31"/>
      <c r="F133" s="31"/>
      <c r="G133" s="32"/>
      <c r="H133" s="32"/>
      <c r="I133" s="31"/>
      <c r="J133" s="32"/>
      <c r="K133" s="31"/>
      <c r="L133" s="31"/>
      <c r="M133" s="31"/>
      <c r="N133" s="32"/>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row>
    <row r="134" spans="1:79" ht="15.75" customHeight="1" x14ac:dyDescent="0.25">
      <c r="A134" s="31"/>
      <c r="B134" s="31"/>
      <c r="C134" s="266"/>
      <c r="D134" s="31"/>
      <c r="E134" s="31"/>
      <c r="F134" s="31"/>
      <c r="G134" s="32"/>
      <c r="H134" s="32"/>
      <c r="I134" s="31"/>
      <c r="J134" s="32"/>
      <c r="K134" s="31"/>
      <c r="L134" s="31"/>
      <c r="M134" s="31"/>
      <c r="N134" s="32"/>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row>
    <row r="135" spans="1:79" ht="15.75" customHeight="1" x14ac:dyDescent="0.25">
      <c r="A135" s="31"/>
      <c r="B135" s="31"/>
      <c r="C135" s="266"/>
      <c r="D135" s="31"/>
      <c r="E135" s="31"/>
      <c r="F135" s="31"/>
      <c r="G135" s="32"/>
      <c r="H135" s="32"/>
      <c r="I135" s="31"/>
      <c r="J135" s="32"/>
      <c r="K135" s="31"/>
      <c r="L135" s="31"/>
      <c r="M135" s="31"/>
      <c r="N135" s="32"/>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row>
    <row r="136" spans="1:79" ht="15.75" customHeight="1" x14ac:dyDescent="0.25">
      <c r="A136" s="31"/>
      <c r="B136" s="31"/>
      <c r="C136" s="266"/>
      <c r="D136" s="31"/>
      <c r="E136" s="31"/>
      <c r="F136" s="31"/>
      <c r="G136" s="32"/>
      <c r="H136" s="32"/>
      <c r="I136" s="31"/>
      <c r="J136" s="32"/>
      <c r="K136" s="31"/>
      <c r="L136" s="31"/>
      <c r="M136" s="31"/>
      <c r="N136" s="32"/>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row>
    <row r="137" spans="1:79" ht="15.75" customHeight="1" x14ac:dyDescent="0.25">
      <c r="A137" s="31"/>
      <c r="B137" s="31"/>
      <c r="C137" s="266"/>
      <c r="D137" s="31"/>
      <c r="E137" s="31"/>
      <c r="F137" s="31"/>
      <c r="G137" s="32"/>
      <c r="H137" s="32"/>
      <c r="I137" s="31"/>
      <c r="J137" s="32"/>
      <c r="K137" s="31"/>
      <c r="L137" s="31"/>
      <c r="M137" s="31"/>
      <c r="N137" s="32"/>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row>
    <row r="138" spans="1:79" ht="15.75" customHeight="1" x14ac:dyDescent="0.25">
      <c r="A138" s="31"/>
      <c r="B138" s="31"/>
      <c r="C138" s="266"/>
      <c r="D138" s="31"/>
      <c r="E138" s="31"/>
      <c r="F138" s="31"/>
      <c r="G138" s="32"/>
      <c r="H138" s="32"/>
      <c r="I138" s="31"/>
      <c r="J138" s="32"/>
      <c r="K138" s="31"/>
      <c r="L138" s="31"/>
      <c r="M138" s="31"/>
      <c r="N138" s="32"/>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row>
    <row r="139" spans="1:79" ht="15.75" customHeight="1" x14ac:dyDescent="0.25">
      <c r="A139" s="31"/>
      <c r="B139" s="31"/>
      <c r="C139" s="266"/>
      <c r="D139" s="31"/>
      <c r="E139" s="31"/>
      <c r="F139" s="31"/>
      <c r="G139" s="32"/>
      <c r="H139" s="32"/>
      <c r="I139" s="31"/>
      <c r="J139" s="32"/>
      <c r="K139" s="31"/>
      <c r="L139" s="31"/>
      <c r="M139" s="31"/>
      <c r="N139" s="32"/>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row>
    <row r="140" spans="1:79" ht="15.75" customHeight="1" x14ac:dyDescent="0.25">
      <c r="A140" s="31"/>
      <c r="B140" s="31"/>
      <c r="C140" s="266"/>
      <c r="D140" s="31"/>
      <c r="E140" s="31"/>
      <c r="F140" s="31"/>
      <c r="G140" s="32"/>
      <c r="H140" s="32"/>
      <c r="I140" s="31"/>
      <c r="J140" s="32"/>
      <c r="K140" s="31"/>
      <c r="L140" s="31"/>
      <c r="M140" s="31"/>
      <c r="N140" s="32"/>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row>
    <row r="141" spans="1:79" ht="15.75" customHeight="1" x14ac:dyDescent="0.25">
      <c r="A141" s="31"/>
      <c r="B141" s="31"/>
      <c r="C141" s="266"/>
      <c r="D141" s="31"/>
      <c r="E141" s="31"/>
      <c r="F141" s="31"/>
      <c r="G141" s="32"/>
      <c r="H141" s="32"/>
      <c r="I141" s="31"/>
      <c r="J141" s="32"/>
      <c r="K141" s="31"/>
      <c r="L141" s="31"/>
      <c r="M141" s="31"/>
      <c r="N141" s="32"/>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row>
    <row r="142" spans="1:79" ht="15.75" customHeight="1" x14ac:dyDescent="0.25">
      <c r="A142" s="31"/>
      <c r="B142" s="31"/>
      <c r="C142" s="266"/>
      <c r="D142" s="31"/>
      <c r="E142" s="31"/>
      <c r="F142" s="31"/>
      <c r="G142" s="32"/>
      <c r="H142" s="32"/>
      <c r="I142" s="31"/>
      <c r="J142" s="32"/>
      <c r="K142" s="31"/>
      <c r="L142" s="31"/>
      <c r="M142" s="31"/>
      <c r="N142" s="32"/>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row>
    <row r="143" spans="1:79" ht="15.75" customHeight="1" x14ac:dyDescent="0.25">
      <c r="A143" s="31"/>
      <c r="B143" s="31"/>
      <c r="C143" s="266"/>
      <c r="D143" s="31"/>
      <c r="E143" s="31"/>
      <c r="F143" s="31"/>
      <c r="G143" s="32"/>
      <c r="H143" s="32"/>
      <c r="I143" s="31"/>
      <c r="J143" s="32"/>
      <c r="K143" s="31"/>
      <c r="L143" s="31"/>
      <c r="M143" s="31"/>
      <c r="N143" s="32"/>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row>
    <row r="144" spans="1:79" ht="15.75" customHeight="1" x14ac:dyDescent="0.25">
      <c r="A144" s="31"/>
      <c r="B144" s="31"/>
      <c r="C144" s="266"/>
      <c r="D144" s="31"/>
      <c r="E144" s="31"/>
      <c r="F144" s="31"/>
      <c r="G144" s="32"/>
      <c r="H144" s="32"/>
      <c r="I144" s="31"/>
      <c r="J144" s="32"/>
      <c r="K144" s="31"/>
      <c r="L144" s="31"/>
      <c r="M144" s="31"/>
      <c r="N144" s="32"/>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row>
    <row r="145" spans="1:79" ht="15.75" customHeight="1" x14ac:dyDescent="0.25">
      <c r="A145" s="31"/>
      <c r="B145" s="31"/>
      <c r="C145" s="266"/>
      <c r="D145" s="31"/>
      <c r="E145" s="31"/>
      <c r="F145" s="31"/>
      <c r="G145" s="32"/>
      <c r="H145" s="32"/>
      <c r="I145" s="31"/>
      <c r="J145" s="32"/>
      <c r="K145" s="31"/>
      <c r="L145" s="31"/>
      <c r="M145" s="31"/>
      <c r="N145" s="32"/>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row>
    <row r="146" spans="1:79" ht="15.75" customHeight="1" x14ac:dyDescent="0.25">
      <c r="A146" s="31"/>
      <c r="B146" s="31"/>
      <c r="C146" s="266"/>
      <c r="D146" s="31"/>
      <c r="E146" s="31"/>
      <c r="F146" s="31"/>
      <c r="G146" s="32"/>
      <c r="H146" s="32"/>
      <c r="I146" s="31"/>
      <c r="J146" s="32"/>
      <c r="K146" s="31"/>
      <c r="L146" s="31"/>
      <c r="M146" s="31"/>
      <c r="N146" s="32"/>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row>
    <row r="147" spans="1:79" ht="15.75" customHeight="1" x14ac:dyDescent="0.25">
      <c r="A147" s="31"/>
      <c r="B147" s="31"/>
      <c r="C147" s="266"/>
      <c r="D147" s="31"/>
      <c r="E147" s="31"/>
      <c r="F147" s="31"/>
      <c r="G147" s="32"/>
      <c r="H147" s="32"/>
      <c r="I147" s="31"/>
      <c r="J147" s="32"/>
      <c r="K147" s="31"/>
      <c r="L147" s="31"/>
      <c r="M147" s="31"/>
      <c r="N147" s="32"/>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row>
    <row r="148" spans="1:79" ht="15.75" customHeight="1" x14ac:dyDescent="0.25">
      <c r="A148" s="31"/>
      <c r="B148" s="31"/>
      <c r="C148" s="266"/>
      <c r="D148" s="31"/>
      <c r="E148" s="31"/>
      <c r="F148" s="31"/>
      <c r="G148" s="32"/>
      <c r="H148" s="32"/>
      <c r="I148" s="31"/>
      <c r="J148" s="32"/>
      <c r="K148" s="31"/>
      <c r="L148" s="31"/>
      <c r="M148" s="31"/>
      <c r="N148" s="32"/>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row>
    <row r="149" spans="1:79" ht="15.75" customHeight="1" x14ac:dyDescent="0.25">
      <c r="A149" s="31"/>
      <c r="B149" s="31"/>
      <c r="C149" s="266"/>
      <c r="D149" s="31"/>
      <c r="E149" s="31"/>
      <c r="F149" s="31"/>
      <c r="G149" s="32"/>
      <c r="H149" s="32"/>
      <c r="I149" s="31"/>
      <c r="J149" s="32"/>
      <c r="K149" s="31"/>
      <c r="L149" s="31"/>
      <c r="M149" s="31"/>
      <c r="N149" s="32"/>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row>
    <row r="150" spans="1:79" ht="15.75" customHeight="1" x14ac:dyDescent="0.25">
      <c r="A150" s="31"/>
      <c r="B150" s="31"/>
      <c r="C150" s="266"/>
      <c r="D150" s="31"/>
      <c r="E150" s="31"/>
      <c r="F150" s="31"/>
      <c r="G150" s="32"/>
      <c r="H150" s="32"/>
      <c r="I150" s="31"/>
      <c r="J150" s="32"/>
      <c r="K150" s="31"/>
      <c r="L150" s="31"/>
      <c r="M150" s="31"/>
      <c r="N150" s="32"/>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row>
    <row r="151" spans="1:79" ht="15.75" customHeight="1" x14ac:dyDescent="0.25">
      <c r="A151" s="31"/>
      <c r="B151" s="31"/>
      <c r="C151" s="266"/>
      <c r="D151" s="31"/>
      <c r="E151" s="31"/>
      <c r="F151" s="31"/>
      <c r="G151" s="32"/>
      <c r="H151" s="32"/>
      <c r="I151" s="31"/>
      <c r="J151" s="32"/>
      <c r="K151" s="31"/>
      <c r="L151" s="31"/>
      <c r="M151" s="31"/>
      <c r="N151" s="32"/>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row>
    <row r="152" spans="1:79" ht="15.75" customHeight="1" x14ac:dyDescent="0.25">
      <c r="A152" s="31"/>
      <c r="B152" s="31"/>
      <c r="C152" s="266"/>
      <c r="D152" s="31"/>
      <c r="E152" s="31"/>
      <c r="F152" s="31"/>
      <c r="G152" s="32"/>
      <c r="H152" s="32"/>
      <c r="I152" s="31"/>
      <c r="J152" s="32"/>
      <c r="K152" s="31"/>
      <c r="L152" s="31"/>
      <c r="M152" s="31"/>
      <c r="N152" s="32"/>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row>
    <row r="153" spans="1:79" ht="15.75" customHeight="1" x14ac:dyDescent="0.25">
      <c r="A153" s="31"/>
      <c r="B153" s="31"/>
      <c r="C153" s="266"/>
      <c r="D153" s="31"/>
      <c r="E153" s="31"/>
      <c r="F153" s="31"/>
      <c r="G153" s="32"/>
      <c r="H153" s="32"/>
      <c r="I153" s="31"/>
      <c r="J153" s="32"/>
      <c r="K153" s="31"/>
      <c r="L153" s="31"/>
      <c r="M153" s="31"/>
      <c r="N153" s="32"/>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row>
    <row r="154" spans="1:79" ht="15.75" customHeight="1" x14ac:dyDescent="0.25">
      <c r="A154" s="31"/>
      <c r="B154" s="31"/>
      <c r="C154" s="266"/>
      <c r="D154" s="31"/>
      <c r="E154" s="31"/>
      <c r="F154" s="31"/>
      <c r="G154" s="32"/>
      <c r="H154" s="32"/>
      <c r="I154" s="31"/>
      <c r="J154" s="32"/>
      <c r="K154" s="31"/>
      <c r="L154" s="31"/>
      <c r="M154" s="31"/>
      <c r="N154" s="32"/>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row>
    <row r="155" spans="1:79" ht="15.75" customHeight="1" x14ac:dyDescent="0.25">
      <c r="A155" s="31"/>
      <c r="B155" s="31"/>
      <c r="C155" s="266"/>
      <c r="D155" s="31"/>
      <c r="E155" s="31"/>
      <c r="F155" s="31"/>
      <c r="G155" s="32"/>
      <c r="H155" s="32"/>
      <c r="I155" s="31"/>
      <c r="J155" s="32"/>
      <c r="K155" s="31"/>
      <c r="L155" s="31"/>
      <c r="M155" s="31"/>
      <c r="N155" s="32"/>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row>
    <row r="156" spans="1:79" ht="15.75" customHeight="1" x14ac:dyDescent="0.25">
      <c r="A156" s="31"/>
      <c r="B156" s="31"/>
      <c r="C156" s="266"/>
      <c r="D156" s="31"/>
      <c r="E156" s="31"/>
      <c r="F156" s="31"/>
      <c r="G156" s="32"/>
      <c r="H156" s="32"/>
      <c r="I156" s="31"/>
      <c r="J156" s="32"/>
      <c r="K156" s="31"/>
      <c r="L156" s="31"/>
      <c r="M156" s="31"/>
      <c r="N156" s="32"/>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row>
    <row r="157" spans="1:79" ht="15.75" customHeight="1" x14ac:dyDescent="0.25">
      <c r="A157" s="31"/>
      <c r="B157" s="31"/>
      <c r="C157" s="266"/>
      <c r="D157" s="31"/>
      <c r="E157" s="31"/>
      <c r="F157" s="31"/>
      <c r="G157" s="32"/>
      <c r="H157" s="32"/>
      <c r="I157" s="31"/>
      <c r="J157" s="32"/>
      <c r="K157" s="31"/>
      <c r="L157" s="31"/>
      <c r="M157" s="31"/>
      <c r="N157" s="32"/>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row>
    <row r="158" spans="1:79" ht="15.75" customHeight="1" x14ac:dyDescent="0.25">
      <c r="A158" s="31"/>
      <c r="B158" s="31"/>
      <c r="C158" s="266"/>
      <c r="D158" s="31"/>
      <c r="E158" s="31"/>
      <c r="F158" s="31"/>
      <c r="G158" s="32"/>
      <c r="H158" s="32"/>
      <c r="I158" s="31"/>
      <c r="J158" s="32"/>
      <c r="K158" s="31"/>
      <c r="L158" s="31"/>
      <c r="M158" s="31"/>
      <c r="N158" s="32"/>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row>
    <row r="159" spans="1:79" ht="15.75" customHeight="1" x14ac:dyDescent="0.25">
      <c r="A159" s="31"/>
      <c r="B159" s="31"/>
      <c r="C159" s="266"/>
      <c r="D159" s="31"/>
      <c r="E159" s="31"/>
      <c r="F159" s="31"/>
      <c r="G159" s="32"/>
      <c r="H159" s="32"/>
      <c r="I159" s="31"/>
      <c r="J159" s="32"/>
      <c r="K159" s="31"/>
      <c r="L159" s="31"/>
      <c r="M159" s="31"/>
      <c r="N159" s="32"/>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row>
    <row r="160" spans="1:79" ht="15.75" customHeight="1" x14ac:dyDescent="0.25">
      <c r="A160" s="31"/>
      <c r="B160" s="31"/>
      <c r="C160" s="266"/>
      <c r="D160" s="31"/>
      <c r="E160" s="31"/>
      <c r="F160" s="31"/>
      <c r="G160" s="32"/>
      <c r="H160" s="32"/>
      <c r="I160" s="31"/>
      <c r="J160" s="32"/>
      <c r="K160" s="31"/>
      <c r="L160" s="31"/>
      <c r="M160" s="31"/>
      <c r="N160" s="32"/>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row>
    <row r="161" spans="1:79" ht="15.75" customHeight="1" x14ac:dyDescent="0.25">
      <c r="A161" s="31"/>
      <c r="B161" s="31"/>
      <c r="C161" s="266"/>
      <c r="D161" s="31"/>
      <c r="E161" s="31"/>
      <c r="F161" s="31"/>
      <c r="G161" s="32"/>
      <c r="H161" s="32"/>
      <c r="I161" s="31"/>
      <c r="J161" s="32"/>
      <c r="K161" s="31"/>
      <c r="L161" s="31"/>
      <c r="M161" s="31"/>
      <c r="N161" s="32"/>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row>
    <row r="162" spans="1:79" ht="15.75" customHeight="1" x14ac:dyDescent="0.25">
      <c r="A162" s="31"/>
      <c r="B162" s="31"/>
      <c r="C162" s="266"/>
      <c r="D162" s="31"/>
      <c r="E162" s="31"/>
      <c r="F162" s="31"/>
      <c r="G162" s="32"/>
      <c r="H162" s="32"/>
      <c r="I162" s="31"/>
      <c r="J162" s="32"/>
      <c r="K162" s="31"/>
      <c r="L162" s="31"/>
      <c r="M162" s="31"/>
      <c r="N162" s="32"/>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row>
    <row r="163" spans="1:79" ht="15.75" customHeight="1" x14ac:dyDescent="0.25">
      <c r="A163" s="31"/>
      <c r="B163" s="31"/>
      <c r="C163" s="266"/>
      <c r="D163" s="31"/>
      <c r="E163" s="31"/>
      <c r="F163" s="31"/>
      <c r="G163" s="32"/>
      <c r="H163" s="32"/>
      <c r="I163" s="31"/>
      <c r="J163" s="32"/>
      <c r="K163" s="31"/>
      <c r="L163" s="31"/>
      <c r="M163" s="31"/>
      <c r="N163" s="32"/>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row>
    <row r="164" spans="1:79" ht="15.75" customHeight="1" x14ac:dyDescent="0.25">
      <c r="A164" s="31"/>
      <c r="B164" s="31"/>
      <c r="C164" s="266"/>
      <c r="D164" s="31"/>
      <c r="E164" s="31"/>
      <c r="F164" s="31"/>
      <c r="G164" s="32"/>
      <c r="H164" s="32"/>
      <c r="I164" s="31"/>
      <c r="J164" s="32"/>
      <c r="K164" s="31"/>
      <c r="L164" s="31"/>
      <c r="M164" s="31"/>
      <c r="N164" s="32"/>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row>
    <row r="165" spans="1:79" ht="15.75" customHeight="1" x14ac:dyDescent="0.25">
      <c r="A165" s="31"/>
      <c r="B165" s="31"/>
      <c r="C165" s="266"/>
      <c r="D165" s="31"/>
      <c r="E165" s="31"/>
      <c r="F165" s="31"/>
      <c r="G165" s="32"/>
      <c r="H165" s="32"/>
      <c r="I165" s="31"/>
      <c r="J165" s="32"/>
      <c r="K165" s="31"/>
      <c r="L165" s="31"/>
      <c r="M165" s="31"/>
      <c r="N165" s="32"/>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row>
    <row r="166" spans="1:79" ht="15.75" customHeight="1" x14ac:dyDescent="0.25">
      <c r="A166" s="31"/>
      <c r="B166" s="31"/>
      <c r="C166" s="266"/>
      <c r="D166" s="31"/>
      <c r="E166" s="31"/>
      <c r="F166" s="31"/>
      <c r="G166" s="32"/>
      <c r="H166" s="32"/>
      <c r="I166" s="31"/>
      <c r="J166" s="32"/>
      <c r="K166" s="31"/>
      <c r="L166" s="31"/>
      <c r="M166" s="31"/>
      <c r="N166" s="32"/>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row>
    <row r="167" spans="1:79" ht="15.75" customHeight="1" x14ac:dyDescent="0.25">
      <c r="A167" s="31"/>
      <c r="B167" s="31"/>
      <c r="C167" s="266"/>
      <c r="D167" s="31"/>
      <c r="E167" s="31"/>
      <c r="F167" s="31"/>
      <c r="G167" s="32"/>
      <c r="H167" s="32"/>
      <c r="I167" s="31"/>
      <c r="J167" s="32"/>
      <c r="K167" s="31"/>
      <c r="L167" s="31"/>
      <c r="M167" s="31"/>
      <c r="N167" s="32"/>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row>
    <row r="168" spans="1:79" ht="15.75" customHeight="1" x14ac:dyDescent="0.25">
      <c r="A168" s="31"/>
      <c r="B168" s="31"/>
      <c r="C168" s="266"/>
      <c r="D168" s="31"/>
      <c r="E168" s="31"/>
      <c r="F168" s="31"/>
      <c r="G168" s="32"/>
      <c r="H168" s="32"/>
      <c r="I168" s="31"/>
      <c r="J168" s="32"/>
      <c r="K168" s="31"/>
      <c r="L168" s="31"/>
      <c r="M168" s="31"/>
      <c r="N168" s="32"/>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row>
    <row r="169" spans="1:79" ht="15.75" customHeight="1" x14ac:dyDescent="0.25">
      <c r="A169" s="31"/>
      <c r="B169" s="31"/>
      <c r="C169" s="266"/>
      <c r="D169" s="31"/>
      <c r="E169" s="31"/>
      <c r="F169" s="31"/>
      <c r="G169" s="32"/>
      <c r="H169" s="32"/>
      <c r="I169" s="31"/>
      <c r="J169" s="32"/>
      <c r="K169" s="31"/>
      <c r="L169" s="31"/>
      <c r="M169" s="31"/>
      <c r="N169" s="32"/>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row>
    <row r="170" spans="1:79" ht="15.75" customHeight="1" x14ac:dyDescent="0.25">
      <c r="A170" s="31"/>
      <c r="B170" s="31"/>
      <c r="C170" s="266"/>
      <c r="D170" s="31"/>
      <c r="E170" s="31"/>
      <c r="F170" s="31"/>
      <c r="G170" s="32"/>
      <c r="H170" s="32"/>
      <c r="I170" s="31"/>
      <c r="J170" s="32"/>
      <c r="K170" s="31"/>
      <c r="L170" s="31"/>
      <c r="M170" s="31"/>
      <c r="N170" s="32"/>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row>
    <row r="171" spans="1:79" ht="15.75" customHeight="1" x14ac:dyDescent="0.25">
      <c r="A171" s="31"/>
      <c r="B171" s="31"/>
      <c r="C171" s="266"/>
      <c r="D171" s="31"/>
      <c r="E171" s="31"/>
      <c r="F171" s="31"/>
      <c r="G171" s="32"/>
      <c r="H171" s="32"/>
      <c r="I171" s="31"/>
      <c r="J171" s="32"/>
      <c r="K171" s="31"/>
      <c r="L171" s="31"/>
      <c r="M171" s="31"/>
      <c r="N171" s="32"/>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row>
    <row r="172" spans="1:79" ht="15.75" customHeight="1" x14ac:dyDescent="0.25">
      <c r="A172" s="31"/>
      <c r="B172" s="31"/>
      <c r="C172" s="266"/>
      <c r="D172" s="31"/>
      <c r="E172" s="31"/>
      <c r="F172" s="31"/>
      <c r="G172" s="32"/>
      <c r="H172" s="32"/>
      <c r="I172" s="31"/>
      <c r="J172" s="32"/>
      <c r="K172" s="31"/>
      <c r="L172" s="31"/>
      <c r="M172" s="31"/>
      <c r="N172" s="32"/>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row>
    <row r="173" spans="1:79" ht="15.75" customHeight="1" x14ac:dyDescent="0.25">
      <c r="A173" s="31"/>
      <c r="B173" s="31"/>
      <c r="C173" s="266"/>
      <c r="D173" s="31"/>
      <c r="E173" s="31"/>
      <c r="F173" s="31"/>
      <c r="G173" s="32"/>
      <c r="H173" s="32"/>
      <c r="I173" s="31"/>
      <c r="J173" s="32"/>
      <c r="K173" s="31"/>
      <c r="L173" s="31"/>
      <c r="M173" s="31"/>
      <c r="N173" s="32"/>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row>
    <row r="174" spans="1:79" ht="15.75" customHeight="1" x14ac:dyDescent="0.25">
      <c r="A174" s="31"/>
      <c r="B174" s="31"/>
      <c r="C174" s="266"/>
      <c r="D174" s="31"/>
      <c r="E174" s="31"/>
      <c r="F174" s="31"/>
      <c r="G174" s="32"/>
      <c r="H174" s="32"/>
      <c r="I174" s="31"/>
      <c r="J174" s="32"/>
      <c r="K174" s="31"/>
      <c r="L174" s="31"/>
      <c r="M174" s="31"/>
      <c r="N174" s="32"/>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c r="CA174" s="31"/>
    </row>
    <row r="175" spans="1:79" ht="15.75" customHeight="1" x14ac:dyDescent="0.25">
      <c r="A175" s="31"/>
      <c r="B175" s="31"/>
      <c r="C175" s="266"/>
      <c r="D175" s="31"/>
      <c r="E175" s="31"/>
      <c r="F175" s="31"/>
      <c r="G175" s="32"/>
      <c r="H175" s="32"/>
      <c r="I175" s="31"/>
      <c r="J175" s="32"/>
      <c r="K175" s="31"/>
      <c r="L175" s="31"/>
      <c r="M175" s="31"/>
      <c r="N175" s="32"/>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row>
    <row r="176" spans="1:79" ht="15.75" customHeight="1" x14ac:dyDescent="0.25">
      <c r="A176" s="31"/>
      <c r="B176" s="31"/>
      <c r="C176" s="266"/>
      <c r="D176" s="31"/>
      <c r="E176" s="31"/>
      <c r="F176" s="31"/>
      <c r="G176" s="32"/>
      <c r="H176" s="32"/>
      <c r="I176" s="31"/>
      <c r="J176" s="32"/>
      <c r="K176" s="31"/>
      <c r="L176" s="31"/>
      <c r="M176" s="31"/>
      <c r="N176" s="32"/>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row>
    <row r="177" spans="1:79" ht="15.75" customHeight="1" x14ac:dyDescent="0.25">
      <c r="A177" s="31"/>
      <c r="B177" s="31"/>
      <c r="C177" s="266"/>
      <c r="D177" s="31"/>
      <c r="E177" s="31"/>
      <c r="F177" s="31"/>
      <c r="G177" s="32"/>
      <c r="H177" s="32"/>
      <c r="I177" s="31"/>
      <c r="J177" s="32"/>
      <c r="K177" s="31"/>
      <c r="L177" s="31"/>
      <c r="M177" s="31"/>
      <c r="N177" s="32"/>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row>
    <row r="178" spans="1:79" ht="15.75" customHeight="1" x14ac:dyDescent="0.25">
      <c r="A178" s="31"/>
      <c r="B178" s="31"/>
      <c r="C178" s="266"/>
      <c r="D178" s="31"/>
      <c r="E178" s="31"/>
      <c r="F178" s="31"/>
      <c r="G178" s="32"/>
      <c r="H178" s="32"/>
      <c r="I178" s="31"/>
      <c r="J178" s="32"/>
      <c r="K178" s="31"/>
      <c r="L178" s="31"/>
      <c r="M178" s="31"/>
      <c r="N178" s="32"/>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row>
    <row r="179" spans="1:79" ht="15.75" customHeight="1" x14ac:dyDescent="0.25">
      <c r="A179" s="31"/>
      <c r="B179" s="31"/>
      <c r="C179" s="266"/>
      <c r="D179" s="31"/>
      <c r="E179" s="31"/>
      <c r="F179" s="31"/>
      <c r="G179" s="32"/>
      <c r="H179" s="32"/>
      <c r="I179" s="31"/>
      <c r="J179" s="32"/>
      <c r="K179" s="31"/>
      <c r="L179" s="31"/>
      <c r="M179" s="31"/>
      <c r="N179" s="32"/>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row>
    <row r="180" spans="1:79" ht="15.75" customHeight="1" x14ac:dyDescent="0.25">
      <c r="A180" s="31"/>
      <c r="B180" s="31"/>
      <c r="C180" s="266"/>
      <c r="D180" s="31"/>
      <c r="E180" s="31"/>
      <c r="F180" s="31"/>
      <c r="G180" s="32"/>
      <c r="H180" s="32"/>
      <c r="I180" s="31"/>
      <c r="J180" s="32"/>
      <c r="K180" s="31"/>
      <c r="L180" s="31"/>
      <c r="M180" s="31"/>
      <c r="N180" s="32"/>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row>
    <row r="181" spans="1:79" ht="15.75" customHeight="1" x14ac:dyDescent="0.25">
      <c r="A181" s="31"/>
      <c r="B181" s="31"/>
      <c r="C181" s="266"/>
      <c r="D181" s="31"/>
      <c r="E181" s="31"/>
      <c r="F181" s="31"/>
      <c r="G181" s="32"/>
      <c r="H181" s="32"/>
      <c r="I181" s="31"/>
      <c r="J181" s="32"/>
      <c r="K181" s="31"/>
      <c r="L181" s="31"/>
      <c r="M181" s="31"/>
      <c r="N181" s="32"/>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row>
    <row r="182" spans="1:79" ht="15.75" customHeight="1" x14ac:dyDescent="0.25">
      <c r="A182" s="31"/>
      <c r="B182" s="31"/>
      <c r="C182" s="266"/>
      <c r="D182" s="31"/>
      <c r="E182" s="31"/>
      <c r="F182" s="31"/>
      <c r="G182" s="32"/>
      <c r="H182" s="32"/>
      <c r="I182" s="31"/>
      <c r="J182" s="32"/>
      <c r="K182" s="31"/>
      <c r="L182" s="31"/>
      <c r="M182" s="31"/>
      <c r="N182" s="32"/>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row>
    <row r="183" spans="1:79" ht="15.75" customHeight="1" x14ac:dyDescent="0.25">
      <c r="A183" s="31"/>
      <c r="B183" s="31"/>
      <c r="C183" s="266"/>
      <c r="D183" s="31"/>
      <c r="E183" s="31"/>
      <c r="F183" s="31"/>
      <c r="G183" s="32"/>
      <c r="H183" s="32"/>
      <c r="I183" s="31"/>
      <c r="J183" s="32"/>
      <c r="K183" s="31"/>
      <c r="L183" s="31"/>
      <c r="M183" s="31"/>
      <c r="N183" s="32"/>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row>
    <row r="184" spans="1:79" ht="15.75" customHeight="1" x14ac:dyDescent="0.25">
      <c r="A184" s="31"/>
      <c r="B184" s="31"/>
      <c r="C184" s="266"/>
      <c r="D184" s="31"/>
      <c r="E184" s="31"/>
      <c r="F184" s="31"/>
      <c r="G184" s="32"/>
      <c r="H184" s="32"/>
      <c r="I184" s="31"/>
      <c r="J184" s="32"/>
      <c r="K184" s="31"/>
      <c r="L184" s="31"/>
      <c r="M184" s="31"/>
      <c r="N184" s="32"/>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c r="CA184" s="31"/>
    </row>
    <row r="185" spans="1:79" ht="15.75" customHeight="1" x14ac:dyDescent="0.25">
      <c r="A185" s="31"/>
      <c r="B185" s="31"/>
      <c r="C185" s="266"/>
      <c r="D185" s="31"/>
      <c r="E185" s="31"/>
      <c r="F185" s="31"/>
      <c r="G185" s="32"/>
      <c r="H185" s="32"/>
      <c r="I185" s="31"/>
      <c r="J185" s="32"/>
      <c r="K185" s="31"/>
      <c r="L185" s="31"/>
      <c r="M185" s="31"/>
      <c r="N185" s="32"/>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c r="CA185" s="31"/>
    </row>
    <row r="186" spans="1:79" ht="15.75" customHeight="1" x14ac:dyDescent="0.25">
      <c r="A186" s="31"/>
      <c r="B186" s="31"/>
      <c r="C186" s="266"/>
      <c r="D186" s="31"/>
      <c r="E186" s="31"/>
      <c r="F186" s="31"/>
      <c r="G186" s="32"/>
      <c r="H186" s="32"/>
      <c r="I186" s="31"/>
      <c r="J186" s="32"/>
      <c r="K186" s="31"/>
      <c r="L186" s="31"/>
      <c r="M186" s="31"/>
      <c r="N186" s="32"/>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row>
    <row r="187" spans="1:79" ht="15.75" customHeight="1" x14ac:dyDescent="0.25">
      <c r="A187" s="31"/>
      <c r="B187" s="31"/>
      <c r="C187" s="266"/>
      <c r="D187" s="31"/>
      <c r="E187" s="31"/>
      <c r="F187" s="31"/>
      <c r="G187" s="32"/>
      <c r="H187" s="32"/>
      <c r="I187" s="31"/>
      <c r="J187" s="32"/>
      <c r="K187" s="31"/>
      <c r="L187" s="31"/>
      <c r="M187" s="31"/>
      <c r="N187" s="32"/>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row>
    <row r="188" spans="1:79" ht="15.75" customHeight="1" x14ac:dyDescent="0.25">
      <c r="A188" s="31"/>
      <c r="B188" s="31"/>
      <c r="C188" s="266"/>
      <c r="D188" s="31"/>
      <c r="E188" s="31"/>
      <c r="F188" s="31"/>
      <c r="G188" s="32"/>
      <c r="H188" s="32"/>
      <c r="I188" s="31"/>
      <c r="J188" s="32"/>
      <c r="K188" s="31"/>
      <c r="L188" s="31"/>
      <c r="M188" s="31"/>
      <c r="N188" s="32"/>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c r="CA188" s="31"/>
    </row>
    <row r="189" spans="1:79" ht="15.75" customHeight="1" x14ac:dyDescent="0.25">
      <c r="A189" s="31"/>
      <c r="B189" s="31"/>
      <c r="C189" s="266"/>
      <c r="D189" s="31"/>
      <c r="E189" s="31"/>
      <c r="F189" s="31"/>
      <c r="G189" s="32"/>
      <c r="H189" s="32"/>
      <c r="I189" s="31"/>
      <c r="J189" s="32"/>
      <c r="K189" s="31"/>
      <c r="L189" s="31"/>
      <c r="M189" s="31"/>
      <c r="N189" s="32"/>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c r="CA189" s="31"/>
    </row>
    <row r="190" spans="1:79" ht="15.75" customHeight="1" x14ac:dyDescent="0.25">
      <c r="A190" s="31"/>
      <c r="B190" s="31"/>
      <c r="C190" s="266"/>
      <c r="D190" s="31"/>
      <c r="E190" s="31"/>
      <c r="F190" s="31"/>
      <c r="G190" s="32"/>
      <c r="H190" s="32"/>
      <c r="I190" s="31"/>
      <c r="J190" s="32"/>
      <c r="K190" s="31"/>
      <c r="L190" s="31"/>
      <c r="M190" s="31"/>
      <c r="N190" s="32"/>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c r="BR190" s="31"/>
      <c r="BS190" s="31"/>
      <c r="BT190" s="31"/>
      <c r="BU190" s="31"/>
      <c r="BV190" s="31"/>
      <c r="BW190" s="31"/>
      <c r="BX190" s="31"/>
      <c r="BY190" s="31"/>
      <c r="BZ190" s="31"/>
      <c r="CA190" s="31"/>
    </row>
    <row r="191" spans="1:79" ht="15.75" customHeight="1" x14ac:dyDescent="0.25">
      <c r="A191" s="31"/>
      <c r="B191" s="31"/>
      <c r="C191" s="266"/>
      <c r="D191" s="31"/>
      <c r="E191" s="31"/>
      <c r="F191" s="31"/>
      <c r="G191" s="32"/>
      <c r="H191" s="32"/>
      <c r="I191" s="31"/>
      <c r="J191" s="32"/>
      <c r="K191" s="31"/>
      <c r="L191" s="31"/>
      <c r="M191" s="31"/>
      <c r="N191" s="32"/>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c r="CA191" s="31"/>
    </row>
    <row r="192" spans="1:79" ht="15.75" customHeight="1" x14ac:dyDescent="0.25">
      <c r="A192" s="31"/>
      <c r="B192" s="31"/>
      <c r="C192" s="266"/>
      <c r="D192" s="31"/>
      <c r="E192" s="31"/>
      <c r="F192" s="31"/>
      <c r="G192" s="32"/>
      <c r="H192" s="32"/>
      <c r="I192" s="31"/>
      <c r="J192" s="32"/>
      <c r="K192" s="31"/>
      <c r="L192" s="31"/>
      <c r="M192" s="31"/>
      <c r="N192" s="32"/>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1"/>
      <c r="BQ192" s="31"/>
      <c r="BR192" s="31"/>
      <c r="BS192" s="31"/>
      <c r="BT192" s="31"/>
      <c r="BU192" s="31"/>
      <c r="BV192" s="31"/>
      <c r="BW192" s="31"/>
      <c r="BX192" s="31"/>
      <c r="BY192" s="31"/>
      <c r="BZ192" s="31"/>
      <c r="CA192" s="31"/>
    </row>
    <row r="193" spans="1:79" ht="15.75" customHeight="1" x14ac:dyDescent="0.25">
      <c r="A193" s="31"/>
      <c r="B193" s="31"/>
      <c r="C193" s="266"/>
      <c r="D193" s="31"/>
      <c r="E193" s="31"/>
      <c r="F193" s="31"/>
      <c r="G193" s="32"/>
      <c r="H193" s="32"/>
      <c r="I193" s="31"/>
      <c r="J193" s="32"/>
      <c r="K193" s="31"/>
      <c r="L193" s="31"/>
      <c r="M193" s="31"/>
      <c r="N193" s="32"/>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c r="BR193" s="31"/>
      <c r="BS193" s="31"/>
      <c r="BT193" s="31"/>
      <c r="BU193" s="31"/>
      <c r="BV193" s="31"/>
      <c r="BW193" s="31"/>
      <c r="BX193" s="31"/>
      <c r="BY193" s="31"/>
      <c r="BZ193" s="31"/>
      <c r="CA193" s="31"/>
    </row>
    <row r="194" spans="1:79" ht="15.75" customHeight="1" x14ac:dyDescent="0.25">
      <c r="A194" s="31"/>
      <c r="B194" s="31"/>
      <c r="C194" s="266"/>
      <c r="D194" s="31"/>
      <c r="E194" s="31"/>
      <c r="F194" s="31"/>
      <c r="G194" s="32"/>
      <c r="H194" s="32"/>
      <c r="I194" s="31"/>
      <c r="J194" s="32"/>
      <c r="K194" s="31"/>
      <c r="L194" s="31"/>
      <c r="M194" s="31"/>
      <c r="N194" s="32"/>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31"/>
      <c r="BR194" s="31"/>
      <c r="BS194" s="31"/>
      <c r="BT194" s="31"/>
      <c r="BU194" s="31"/>
      <c r="BV194" s="31"/>
      <c r="BW194" s="31"/>
      <c r="BX194" s="31"/>
      <c r="BY194" s="31"/>
      <c r="BZ194" s="31"/>
      <c r="CA194" s="31"/>
    </row>
    <row r="195" spans="1:79" ht="15.75" customHeight="1" x14ac:dyDescent="0.25">
      <c r="A195" s="31"/>
      <c r="B195" s="31"/>
      <c r="C195" s="266"/>
      <c r="D195" s="31"/>
      <c r="E195" s="31"/>
      <c r="F195" s="31"/>
      <c r="G195" s="32"/>
      <c r="H195" s="32"/>
      <c r="I195" s="31"/>
      <c r="J195" s="32"/>
      <c r="K195" s="31"/>
      <c r="L195" s="31"/>
      <c r="M195" s="31"/>
      <c r="N195" s="32"/>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c r="BU195" s="31"/>
      <c r="BV195" s="31"/>
      <c r="BW195" s="31"/>
      <c r="BX195" s="31"/>
      <c r="BY195" s="31"/>
      <c r="BZ195" s="31"/>
      <c r="CA195" s="31"/>
    </row>
    <row r="196" spans="1:79" ht="15.75" customHeight="1" x14ac:dyDescent="0.25">
      <c r="C196" s="267"/>
    </row>
    <row r="197" spans="1:79" ht="15.75" customHeight="1" x14ac:dyDescent="0.25">
      <c r="C197" s="267"/>
    </row>
    <row r="198" spans="1:79" ht="15.75" customHeight="1" x14ac:dyDescent="0.25">
      <c r="C198" s="267"/>
    </row>
    <row r="199" spans="1:79" ht="15.75" customHeight="1" x14ac:dyDescent="0.25">
      <c r="C199" s="267"/>
    </row>
    <row r="200" spans="1:79" ht="15.75" customHeight="1" x14ac:dyDescent="0.25">
      <c r="C200" s="267"/>
    </row>
    <row r="201" spans="1:79" ht="15.75" customHeight="1" x14ac:dyDescent="0.25">
      <c r="C201" s="267"/>
    </row>
    <row r="202" spans="1:79" ht="15.75" customHeight="1" x14ac:dyDescent="0.25">
      <c r="C202" s="267"/>
    </row>
    <row r="203" spans="1:79" ht="15.75" customHeight="1" x14ac:dyDescent="0.25">
      <c r="C203" s="267"/>
    </row>
    <row r="204" spans="1:79" ht="15.75" customHeight="1" x14ac:dyDescent="0.25">
      <c r="C204" s="267"/>
    </row>
    <row r="205" spans="1:79" ht="15.75" customHeight="1" x14ac:dyDescent="0.25">
      <c r="C205" s="267"/>
    </row>
    <row r="206" spans="1:79" ht="15.75" customHeight="1" x14ac:dyDescent="0.25">
      <c r="C206" s="267"/>
    </row>
    <row r="207" spans="1:79" ht="15.75" customHeight="1" x14ac:dyDescent="0.25">
      <c r="C207" s="267"/>
    </row>
    <row r="208" spans="1:79" ht="15.75" customHeight="1" x14ac:dyDescent="0.25">
      <c r="C208" s="267"/>
    </row>
    <row r="209" spans="3:3" ht="15.75" customHeight="1" x14ac:dyDescent="0.25">
      <c r="C209" s="267"/>
    </row>
    <row r="210" spans="3:3" ht="15.75" customHeight="1" x14ac:dyDescent="0.25">
      <c r="C210" s="267"/>
    </row>
    <row r="211" spans="3:3" ht="15.75" customHeight="1" x14ac:dyDescent="0.25">
      <c r="C211" s="267"/>
    </row>
    <row r="212" spans="3:3" ht="15.75" customHeight="1" x14ac:dyDescent="0.25">
      <c r="C212" s="267"/>
    </row>
    <row r="213" spans="3:3" ht="15.75" customHeight="1" x14ac:dyDescent="0.25">
      <c r="C213" s="267"/>
    </row>
    <row r="214" spans="3:3" ht="15.75" customHeight="1" x14ac:dyDescent="0.25">
      <c r="C214" s="267"/>
    </row>
    <row r="215" spans="3:3" ht="15.75" customHeight="1" x14ac:dyDescent="0.25">
      <c r="C215" s="267"/>
    </row>
    <row r="216" spans="3:3" ht="15.75" customHeight="1" x14ac:dyDescent="0.25">
      <c r="C216" s="267"/>
    </row>
    <row r="217" spans="3:3" ht="15.75" customHeight="1" x14ac:dyDescent="0.25">
      <c r="C217" s="267"/>
    </row>
    <row r="218" spans="3:3" ht="15.75" customHeight="1" x14ac:dyDescent="0.25">
      <c r="C218" s="267"/>
    </row>
    <row r="219" spans="3:3" ht="15.75" customHeight="1" x14ac:dyDescent="0.25">
      <c r="C219" s="267"/>
    </row>
    <row r="220" spans="3:3" ht="15.75" customHeight="1" x14ac:dyDescent="0.25">
      <c r="C220" s="267"/>
    </row>
    <row r="221" spans="3:3" ht="15.75" customHeight="1" x14ac:dyDescent="0.25">
      <c r="C221" s="267"/>
    </row>
    <row r="222" spans="3:3" ht="15.75" customHeight="1" x14ac:dyDescent="0.25">
      <c r="C222" s="267"/>
    </row>
    <row r="223" spans="3:3" ht="15.75" customHeight="1" x14ac:dyDescent="0.25">
      <c r="C223" s="267"/>
    </row>
    <row r="224" spans="3:3" ht="15.75" customHeight="1" x14ac:dyDescent="0.25">
      <c r="C224" s="267"/>
    </row>
    <row r="225" spans="3:3" ht="15.75" customHeight="1" x14ac:dyDescent="0.25">
      <c r="C225" s="267"/>
    </row>
    <row r="226" spans="3:3" ht="15.75" customHeight="1" x14ac:dyDescent="0.25">
      <c r="C226" s="267"/>
    </row>
    <row r="227" spans="3:3" ht="15.75" customHeight="1" x14ac:dyDescent="0.25">
      <c r="C227" s="267"/>
    </row>
    <row r="228" spans="3:3" ht="15.75" customHeight="1" x14ac:dyDescent="0.25">
      <c r="C228" s="267"/>
    </row>
    <row r="229" spans="3:3" ht="15.75" customHeight="1" x14ac:dyDescent="0.25">
      <c r="C229" s="267"/>
    </row>
    <row r="230" spans="3:3" ht="15.75" customHeight="1" x14ac:dyDescent="0.25">
      <c r="C230" s="267"/>
    </row>
    <row r="231" spans="3:3" ht="15.75" customHeight="1" x14ac:dyDescent="0.25">
      <c r="C231" s="267"/>
    </row>
    <row r="232" spans="3:3" ht="15.75" customHeight="1" x14ac:dyDescent="0.25">
      <c r="C232" s="267"/>
    </row>
    <row r="233" spans="3:3" ht="15.75" customHeight="1" x14ac:dyDescent="0.25">
      <c r="C233" s="267"/>
    </row>
    <row r="234" spans="3:3" ht="15.75" customHeight="1" x14ac:dyDescent="0.25">
      <c r="C234" s="267"/>
    </row>
    <row r="235" spans="3:3" ht="15.75" customHeight="1" x14ac:dyDescent="0.25">
      <c r="C235" s="267"/>
    </row>
    <row r="236" spans="3:3" ht="15.75" customHeight="1" x14ac:dyDescent="0.25">
      <c r="C236" s="267"/>
    </row>
    <row r="237" spans="3:3" ht="15.75" customHeight="1" x14ac:dyDescent="0.25">
      <c r="C237" s="267"/>
    </row>
    <row r="238" spans="3:3" ht="15.75" customHeight="1" x14ac:dyDescent="0.25">
      <c r="C238" s="267"/>
    </row>
    <row r="239" spans="3:3" ht="15.75" customHeight="1" x14ac:dyDescent="0.25">
      <c r="C239" s="267"/>
    </row>
    <row r="240" spans="3:3" ht="15.75" customHeight="1" x14ac:dyDescent="0.25">
      <c r="C240" s="267"/>
    </row>
    <row r="241" spans="3:3" ht="15.75" customHeight="1" x14ac:dyDescent="0.25">
      <c r="C241" s="267"/>
    </row>
    <row r="242" spans="3:3" ht="15.75" customHeight="1" x14ac:dyDescent="0.25">
      <c r="C242" s="267"/>
    </row>
    <row r="243" spans="3:3" ht="15.75" customHeight="1" x14ac:dyDescent="0.25">
      <c r="C243" s="267"/>
    </row>
    <row r="244" spans="3:3" ht="15.75" customHeight="1" x14ac:dyDescent="0.25">
      <c r="C244" s="267"/>
    </row>
    <row r="245" spans="3:3" ht="15.75" customHeight="1" x14ac:dyDescent="0.25">
      <c r="C245" s="267"/>
    </row>
    <row r="246" spans="3:3" ht="15.75" customHeight="1" x14ac:dyDescent="0.25">
      <c r="C246" s="267"/>
    </row>
    <row r="247" spans="3:3" ht="15.75" customHeight="1" x14ac:dyDescent="0.25">
      <c r="C247" s="267"/>
    </row>
    <row r="248" spans="3:3" ht="15.75" customHeight="1" x14ac:dyDescent="0.25">
      <c r="C248" s="267"/>
    </row>
    <row r="249" spans="3:3" ht="15.75" customHeight="1" x14ac:dyDescent="0.25">
      <c r="C249" s="267"/>
    </row>
    <row r="250" spans="3:3" ht="15.75" customHeight="1" x14ac:dyDescent="0.25">
      <c r="C250" s="267"/>
    </row>
    <row r="251" spans="3:3" ht="15.75" customHeight="1" x14ac:dyDescent="0.25">
      <c r="C251" s="267"/>
    </row>
    <row r="252" spans="3:3" ht="15.75" customHeight="1" x14ac:dyDescent="0.25">
      <c r="C252" s="267"/>
    </row>
    <row r="253" spans="3:3" ht="15.75" customHeight="1" x14ac:dyDescent="0.25">
      <c r="C253" s="267"/>
    </row>
    <row r="254" spans="3:3" ht="15.75" customHeight="1" x14ac:dyDescent="0.25">
      <c r="C254" s="267"/>
    </row>
    <row r="255" spans="3:3" ht="15.75" customHeight="1" x14ac:dyDescent="0.25">
      <c r="C255" s="267"/>
    </row>
    <row r="256" spans="3:3" ht="15.75" customHeight="1" x14ac:dyDescent="0.25">
      <c r="C256" s="267"/>
    </row>
    <row r="257" spans="3:3" ht="15.75" customHeight="1" x14ac:dyDescent="0.25">
      <c r="C257" s="267"/>
    </row>
    <row r="258" spans="3:3" ht="15.75" customHeight="1" x14ac:dyDescent="0.25">
      <c r="C258" s="267"/>
    </row>
    <row r="259" spans="3:3" ht="15.75" customHeight="1" x14ac:dyDescent="0.25">
      <c r="C259" s="267"/>
    </row>
    <row r="260" spans="3:3" ht="15.75" customHeight="1" x14ac:dyDescent="0.25">
      <c r="C260" s="267"/>
    </row>
    <row r="261" spans="3:3" ht="15.75" customHeight="1" x14ac:dyDescent="0.25">
      <c r="C261" s="267"/>
    </row>
    <row r="262" spans="3:3" ht="15.75" customHeight="1" x14ac:dyDescent="0.25">
      <c r="C262" s="267"/>
    </row>
    <row r="263" spans="3:3" ht="15.75" customHeight="1" x14ac:dyDescent="0.25">
      <c r="C263" s="267"/>
    </row>
    <row r="264" spans="3:3" ht="15.75" customHeight="1" x14ac:dyDescent="0.25">
      <c r="C264" s="267"/>
    </row>
    <row r="265" spans="3:3" ht="15.75" customHeight="1" x14ac:dyDescent="0.25">
      <c r="C265" s="267"/>
    </row>
    <row r="266" spans="3:3" ht="15.75" customHeight="1" x14ac:dyDescent="0.25">
      <c r="C266" s="267"/>
    </row>
    <row r="267" spans="3:3" ht="15.75" customHeight="1" x14ac:dyDescent="0.25">
      <c r="C267" s="267"/>
    </row>
    <row r="268" spans="3:3" ht="15.75" customHeight="1" x14ac:dyDescent="0.25">
      <c r="C268" s="267"/>
    </row>
    <row r="269" spans="3:3" ht="15.75" customHeight="1" x14ac:dyDescent="0.25">
      <c r="C269" s="267"/>
    </row>
    <row r="270" spans="3:3" ht="15.75" customHeight="1" x14ac:dyDescent="0.25">
      <c r="C270" s="267"/>
    </row>
    <row r="271" spans="3:3" ht="15.75" customHeight="1" x14ac:dyDescent="0.25">
      <c r="C271" s="267"/>
    </row>
    <row r="272" spans="3:3" ht="15.75" customHeight="1" x14ac:dyDescent="0.25">
      <c r="C272" s="267"/>
    </row>
    <row r="273" spans="3:3" ht="15.75" customHeight="1" x14ac:dyDescent="0.25">
      <c r="C273" s="267"/>
    </row>
    <row r="274" spans="3:3" ht="15.75" customHeight="1" x14ac:dyDescent="0.25">
      <c r="C274" s="267"/>
    </row>
    <row r="275" spans="3:3" ht="15.75" customHeight="1" x14ac:dyDescent="0.25">
      <c r="C275" s="267"/>
    </row>
    <row r="276" spans="3:3" ht="15.75" customHeight="1" x14ac:dyDescent="0.25">
      <c r="C276" s="267"/>
    </row>
    <row r="277" spans="3:3" ht="15.75" customHeight="1" x14ac:dyDescent="0.25">
      <c r="C277" s="267"/>
    </row>
    <row r="278" spans="3:3" ht="15.75" customHeight="1" x14ac:dyDescent="0.25">
      <c r="C278" s="267"/>
    </row>
    <row r="279" spans="3:3" ht="15.75" customHeight="1" x14ac:dyDescent="0.25">
      <c r="C279" s="267"/>
    </row>
    <row r="280" spans="3:3" ht="15.75" customHeight="1" x14ac:dyDescent="0.25">
      <c r="C280" s="267"/>
    </row>
    <row r="281" spans="3:3" ht="15.75" customHeight="1" x14ac:dyDescent="0.25">
      <c r="C281" s="267"/>
    </row>
    <row r="282" spans="3:3" ht="15.75" customHeight="1" x14ac:dyDescent="0.25">
      <c r="C282" s="267"/>
    </row>
    <row r="283" spans="3:3" ht="15.75" customHeight="1" x14ac:dyDescent="0.25">
      <c r="C283" s="267"/>
    </row>
    <row r="284" spans="3:3" ht="15.75" customHeight="1" x14ac:dyDescent="0.25">
      <c r="C284" s="267"/>
    </row>
    <row r="285" spans="3:3" ht="15.75" customHeight="1" x14ac:dyDescent="0.25">
      <c r="C285" s="267"/>
    </row>
    <row r="286" spans="3:3" ht="15.75" customHeight="1" x14ac:dyDescent="0.25">
      <c r="C286" s="267"/>
    </row>
    <row r="287" spans="3:3" ht="15.75" customHeight="1" x14ac:dyDescent="0.25">
      <c r="C287" s="267"/>
    </row>
    <row r="288" spans="3:3" ht="15.75" customHeight="1" x14ac:dyDescent="0.25">
      <c r="C288" s="267"/>
    </row>
    <row r="289" spans="3:3" ht="15.75" customHeight="1" x14ac:dyDescent="0.25">
      <c r="C289" s="267"/>
    </row>
    <row r="290" spans="3:3" ht="15.75" customHeight="1" x14ac:dyDescent="0.25">
      <c r="C290" s="267"/>
    </row>
    <row r="291" spans="3:3" ht="15.75" customHeight="1" x14ac:dyDescent="0.25">
      <c r="C291" s="267"/>
    </row>
    <row r="292" spans="3:3" ht="15.75" customHeight="1" x14ac:dyDescent="0.25">
      <c r="C292" s="267"/>
    </row>
    <row r="293" spans="3:3" ht="15.75" customHeight="1" x14ac:dyDescent="0.25">
      <c r="C293" s="267"/>
    </row>
    <row r="294" spans="3:3" ht="15.75" customHeight="1" x14ac:dyDescent="0.25">
      <c r="C294" s="267"/>
    </row>
    <row r="295" spans="3:3" ht="15.75" customHeight="1" x14ac:dyDescent="0.25">
      <c r="C295" s="267"/>
    </row>
    <row r="296" spans="3:3" ht="15.75" customHeight="1" x14ac:dyDescent="0.25">
      <c r="C296" s="267"/>
    </row>
    <row r="297" spans="3:3" ht="15.75" customHeight="1" x14ac:dyDescent="0.25">
      <c r="C297" s="267"/>
    </row>
    <row r="298" spans="3:3" ht="15.75" customHeight="1" x14ac:dyDescent="0.25">
      <c r="C298" s="267"/>
    </row>
    <row r="299" spans="3:3" ht="15.75" customHeight="1" x14ac:dyDescent="0.25">
      <c r="C299" s="267"/>
    </row>
    <row r="300" spans="3:3" ht="15.75" customHeight="1" x14ac:dyDescent="0.25">
      <c r="C300" s="267"/>
    </row>
    <row r="301" spans="3:3" ht="15.75" customHeight="1" x14ac:dyDescent="0.25">
      <c r="C301" s="267"/>
    </row>
    <row r="302" spans="3:3" ht="15.75" customHeight="1" x14ac:dyDescent="0.25">
      <c r="C302" s="267"/>
    </row>
    <row r="303" spans="3:3" ht="15.75" customHeight="1" x14ac:dyDescent="0.25">
      <c r="C303" s="267"/>
    </row>
    <row r="304" spans="3:3" ht="15.75" customHeight="1" x14ac:dyDescent="0.25">
      <c r="C304" s="267"/>
    </row>
    <row r="305" spans="3:3" ht="15.75" customHeight="1" x14ac:dyDescent="0.25">
      <c r="C305" s="267"/>
    </row>
    <row r="306" spans="3:3" ht="15.75" customHeight="1" x14ac:dyDescent="0.25">
      <c r="C306" s="267"/>
    </row>
    <row r="307" spans="3:3" ht="15.75" customHeight="1" x14ac:dyDescent="0.25">
      <c r="C307" s="267"/>
    </row>
    <row r="308" spans="3:3" ht="15.75" customHeight="1" x14ac:dyDescent="0.25">
      <c r="C308" s="267"/>
    </row>
    <row r="309" spans="3:3" ht="15.75" customHeight="1" x14ac:dyDescent="0.25">
      <c r="C309" s="267"/>
    </row>
    <row r="310" spans="3:3" ht="15.75" customHeight="1" x14ac:dyDescent="0.25">
      <c r="C310" s="267"/>
    </row>
    <row r="311" spans="3:3" ht="15.75" customHeight="1" x14ac:dyDescent="0.25">
      <c r="C311" s="267"/>
    </row>
    <row r="312" spans="3:3" ht="15.75" customHeight="1" x14ac:dyDescent="0.25">
      <c r="C312" s="267"/>
    </row>
    <row r="313" spans="3:3" ht="15.75" customHeight="1" x14ac:dyDescent="0.25">
      <c r="C313" s="267"/>
    </row>
    <row r="314" spans="3:3" ht="15.75" customHeight="1" x14ac:dyDescent="0.25">
      <c r="C314" s="267"/>
    </row>
    <row r="315" spans="3:3" ht="15.75" customHeight="1" x14ac:dyDescent="0.25">
      <c r="C315" s="267"/>
    </row>
    <row r="316" spans="3:3" ht="15.75" customHeight="1" x14ac:dyDescent="0.25">
      <c r="C316" s="267"/>
    </row>
    <row r="317" spans="3:3" ht="15.75" customHeight="1" x14ac:dyDescent="0.25">
      <c r="C317" s="267"/>
    </row>
    <row r="318" spans="3:3" ht="15.75" customHeight="1" x14ac:dyDescent="0.25">
      <c r="C318" s="267"/>
    </row>
    <row r="319" spans="3:3" ht="15.75" customHeight="1" x14ac:dyDescent="0.25">
      <c r="C319" s="267"/>
    </row>
    <row r="320" spans="3:3" ht="15.75" customHeight="1" x14ac:dyDescent="0.25">
      <c r="C320" s="267"/>
    </row>
    <row r="321" spans="3:3" ht="15.75" customHeight="1" x14ac:dyDescent="0.25">
      <c r="C321" s="267"/>
    </row>
    <row r="322" spans="3:3" ht="15.75" customHeight="1" x14ac:dyDescent="0.25">
      <c r="C322" s="267"/>
    </row>
    <row r="323" spans="3:3" ht="15.75" customHeight="1" x14ac:dyDescent="0.25">
      <c r="C323" s="267"/>
    </row>
    <row r="324" spans="3:3" ht="15.75" customHeight="1" x14ac:dyDescent="0.25">
      <c r="C324" s="267"/>
    </row>
    <row r="325" spans="3:3" ht="15.75" customHeight="1" x14ac:dyDescent="0.25">
      <c r="C325" s="267"/>
    </row>
    <row r="326" spans="3:3" ht="15.75" customHeight="1" x14ac:dyDescent="0.25">
      <c r="C326" s="267"/>
    </row>
    <row r="327" spans="3:3" ht="15.75" customHeight="1" x14ac:dyDescent="0.25">
      <c r="C327" s="267"/>
    </row>
    <row r="328" spans="3:3" ht="15.75" customHeight="1" x14ac:dyDescent="0.25">
      <c r="C328" s="267"/>
    </row>
    <row r="329" spans="3:3" ht="15.75" customHeight="1" x14ac:dyDescent="0.25">
      <c r="C329" s="267"/>
    </row>
    <row r="330" spans="3:3" ht="15.75" customHeight="1" x14ac:dyDescent="0.25">
      <c r="C330" s="267"/>
    </row>
    <row r="331" spans="3:3" ht="15.75" customHeight="1" x14ac:dyDescent="0.25">
      <c r="C331" s="267"/>
    </row>
    <row r="332" spans="3:3" ht="15.75" customHeight="1" x14ac:dyDescent="0.25">
      <c r="C332" s="267"/>
    </row>
    <row r="333" spans="3:3" ht="15.75" customHeight="1" x14ac:dyDescent="0.25">
      <c r="C333" s="267"/>
    </row>
    <row r="334" spans="3:3" ht="15.75" customHeight="1" x14ac:dyDescent="0.25">
      <c r="C334" s="267"/>
    </row>
    <row r="335" spans="3:3" ht="15.75" customHeight="1" x14ac:dyDescent="0.25">
      <c r="C335" s="267"/>
    </row>
    <row r="336" spans="3:3" ht="15.75" customHeight="1" x14ac:dyDescent="0.25">
      <c r="C336" s="267"/>
    </row>
    <row r="337" spans="3:3" ht="15.75" customHeight="1" x14ac:dyDescent="0.25">
      <c r="C337" s="267"/>
    </row>
    <row r="338" spans="3:3" ht="15.75" customHeight="1" x14ac:dyDescent="0.25">
      <c r="C338" s="267"/>
    </row>
    <row r="339" spans="3:3" ht="15.75" customHeight="1" x14ac:dyDescent="0.25">
      <c r="C339" s="267"/>
    </row>
    <row r="340" spans="3:3" ht="15.75" customHeight="1" x14ac:dyDescent="0.25">
      <c r="C340" s="267"/>
    </row>
    <row r="341" spans="3:3" ht="15.75" customHeight="1" x14ac:dyDescent="0.25">
      <c r="C341" s="267"/>
    </row>
    <row r="342" spans="3:3" ht="15.75" customHeight="1" x14ac:dyDescent="0.25">
      <c r="C342" s="267"/>
    </row>
    <row r="343" spans="3:3" ht="15.75" customHeight="1" x14ac:dyDescent="0.25">
      <c r="C343" s="267"/>
    </row>
    <row r="344" spans="3:3" ht="15.75" customHeight="1" x14ac:dyDescent="0.25">
      <c r="C344" s="267"/>
    </row>
    <row r="345" spans="3:3" ht="15.75" customHeight="1" x14ac:dyDescent="0.25">
      <c r="C345" s="267"/>
    </row>
    <row r="346" spans="3:3" ht="15.75" customHeight="1" x14ac:dyDescent="0.25">
      <c r="C346" s="267"/>
    </row>
    <row r="347" spans="3:3" ht="15.75" customHeight="1" x14ac:dyDescent="0.25">
      <c r="C347" s="267"/>
    </row>
    <row r="348" spans="3:3" ht="15.75" customHeight="1" x14ac:dyDescent="0.25">
      <c r="C348" s="267"/>
    </row>
    <row r="349" spans="3:3" ht="15.75" customHeight="1" x14ac:dyDescent="0.25">
      <c r="C349" s="267"/>
    </row>
    <row r="350" spans="3:3" ht="15.75" customHeight="1" x14ac:dyDescent="0.25">
      <c r="C350" s="267"/>
    </row>
    <row r="351" spans="3:3" ht="15.75" customHeight="1" x14ac:dyDescent="0.25">
      <c r="C351" s="267"/>
    </row>
    <row r="352" spans="3:3" ht="15.75" customHeight="1" x14ac:dyDescent="0.25">
      <c r="C352" s="267"/>
    </row>
    <row r="353" spans="3:3" ht="15.75" customHeight="1" x14ac:dyDescent="0.25">
      <c r="C353" s="267"/>
    </row>
    <row r="354" spans="3:3" ht="15.75" customHeight="1" x14ac:dyDescent="0.25">
      <c r="C354" s="267"/>
    </row>
    <row r="355" spans="3:3" ht="15.75" customHeight="1" x14ac:dyDescent="0.25">
      <c r="C355" s="267"/>
    </row>
    <row r="356" spans="3:3" ht="15.75" customHeight="1" x14ac:dyDescent="0.25">
      <c r="C356" s="267"/>
    </row>
    <row r="357" spans="3:3" ht="15.75" customHeight="1" x14ac:dyDescent="0.25">
      <c r="C357" s="267"/>
    </row>
    <row r="358" spans="3:3" ht="15.75" customHeight="1" x14ac:dyDescent="0.25">
      <c r="C358" s="267"/>
    </row>
    <row r="359" spans="3:3" ht="15.75" customHeight="1" x14ac:dyDescent="0.25">
      <c r="C359" s="267"/>
    </row>
    <row r="360" spans="3:3" ht="15.75" customHeight="1" x14ac:dyDescent="0.25">
      <c r="C360" s="267"/>
    </row>
    <row r="361" spans="3:3" ht="15.75" customHeight="1" x14ac:dyDescent="0.25">
      <c r="C361" s="267"/>
    </row>
    <row r="362" spans="3:3" ht="15.75" customHeight="1" x14ac:dyDescent="0.25">
      <c r="C362" s="267"/>
    </row>
    <row r="363" spans="3:3" ht="15.75" customHeight="1" x14ac:dyDescent="0.25">
      <c r="C363" s="267"/>
    </row>
    <row r="364" spans="3:3" ht="15.75" customHeight="1" x14ac:dyDescent="0.25">
      <c r="C364" s="267"/>
    </row>
    <row r="365" spans="3:3" ht="15.75" customHeight="1" x14ac:dyDescent="0.25">
      <c r="C365" s="267"/>
    </row>
    <row r="366" spans="3:3" ht="15.75" customHeight="1" x14ac:dyDescent="0.25">
      <c r="C366" s="267"/>
    </row>
    <row r="367" spans="3:3" ht="15.75" customHeight="1" x14ac:dyDescent="0.25">
      <c r="C367" s="267"/>
    </row>
    <row r="368" spans="3:3" ht="15.75" customHeight="1" x14ac:dyDescent="0.25">
      <c r="C368" s="267"/>
    </row>
    <row r="369" spans="3:3" ht="15.75" customHeight="1" x14ac:dyDescent="0.25">
      <c r="C369" s="267"/>
    </row>
    <row r="370" spans="3:3" ht="15.75" customHeight="1" x14ac:dyDescent="0.25">
      <c r="C370" s="267"/>
    </row>
    <row r="371" spans="3:3" ht="15.75" customHeight="1" x14ac:dyDescent="0.25">
      <c r="C371" s="267"/>
    </row>
    <row r="372" spans="3:3" ht="15.75" customHeight="1" x14ac:dyDescent="0.25">
      <c r="C372" s="267"/>
    </row>
    <row r="373" spans="3:3" ht="15.75" customHeight="1" x14ac:dyDescent="0.25">
      <c r="C373" s="267"/>
    </row>
    <row r="374" spans="3:3" ht="15.75" customHeight="1" x14ac:dyDescent="0.25">
      <c r="C374" s="267"/>
    </row>
    <row r="375" spans="3:3" ht="15.75" customHeight="1" x14ac:dyDescent="0.25">
      <c r="C375" s="267"/>
    </row>
    <row r="376" spans="3:3" ht="15.75" customHeight="1" x14ac:dyDescent="0.25">
      <c r="C376" s="267"/>
    </row>
    <row r="377" spans="3:3" ht="15.75" customHeight="1" x14ac:dyDescent="0.25">
      <c r="C377" s="267"/>
    </row>
    <row r="378" spans="3:3" ht="15.75" customHeight="1" x14ac:dyDescent="0.25">
      <c r="C378" s="267"/>
    </row>
    <row r="379" spans="3:3" ht="15.75" customHeight="1" x14ac:dyDescent="0.25">
      <c r="C379" s="267"/>
    </row>
    <row r="380" spans="3:3" ht="15.75" customHeight="1" x14ac:dyDescent="0.25">
      <c r="C380" s="267"/>
    </row>
    <row r="381" spans="3:3" ht="15.75" customHeight="1" x14ac:dyDescent="0.25">
      <c r="C381" s="267"/>
    </row>
    <row r="382" spans="3:3" ht="15.75" customHeight="1" x14ac:dyDescent="0.25">
      <c r="C382" s="267"/>
    </row>
    <row r="383" spans="3:3" ht="15.75" customHeight="1" x14ac:dyDescent="0.25">
      <c r="C383" s="267"/>
    </row>
    <row r="384" spans="3:3" ht="15.75" customHeight="1" x14ac:dyDescent="0.25">
      <c r="C384" s="267"/>
    </row>
    <row r="385" spans="3:3" ht="15.75" customHeight="1" x14ac:dyDescent="0.25">
      <c r="C385" s="267"/>
    </row>
    <row r="386" spans="3:3" ht="15.75" customHeight="1" x14ac:dyDescent="0.25">
      <c r="C386" s="267"/>
    </row>
    <row r="387" spans="3:3" ht="15.75" customHeight="1" x14ac:dyDescent="0.25">
      <c r="C387" s="267"/>
    </row>
    <row r="388" spans="3:3" ht="15.75" customHeight="1" x14ac:dyDescent="0.25">
      <c r="C388" s="267"/>
    </row>
    <row r="389" spans="3:3" ht="15.75" customHeight="1" x14ac:dyDescent="0.25">
      <c r="C389" s="267"/>
    </row>
    <row r="390" spans="3:3" ht="15.75" customHeight="1" x14ac:dyDescent="0.25">
      <c r="C390" s="267"/>
    </row>
    <row r="391" spans="3:3" ht="15.75" customHeight="1" x14ac:dyDescent="0.25">
      <c r="C391" s="267"/>
    </row>
    <row r="392" spans="3:3" ht="15.75" customHeight="1" x14ac:dyDescent="0.25">
      <c r="C392" s="267"/>
    </row>
    <row r="393" spans="3:3" ht="15.75" customHeight="1" x14ac:dyDescent="0.25">
      <c r="C393" s="267"/>
    </row>
    <row r="394" spans="3:3" ht="15.75" customHeight="1" x14ac:dyDescent="0.25">
      <c r="C394" s="267"/>
    </row>
    <row r="395" spans="3:3" ht="15.75" customHeight="1" x14ac:dyDescent="0.25">
      <c r="C395" s="267"/>
    </row>
    <row r="396" spans="3:3" ht="15.75" customHeight="1" x14ac:dyDescent="0.25">
      <c r="C396" s="267"/>
    </row>
    <row r="397" spans="3:3" ht="15.75" customHeight="1" x14ac:dyDescent="0.25">
      <c r="C397" s="267"/>
    </row>
    <row r="398" spans="3:3" ht="15.75" customHeight="1" x14ac:dyDescent="0.25">
      <c r="C398" s="267"/>
    </row>
    <row r="399" spans="3:3" ht="15.75" customHeight="1" x14ac:dyDescent="0.25">
      <c r="C399" s="267"/>
    </row>
    <row r="400" spans="3:3" ht="15.75" customHeight="1" x14ac:dyDescent="0.25">
      <c r="C400" s="267"/>
    </row>
    <row r="401" spans="3:3" ht="15.75" customHeight="1" x14ac:dyDescent="0.25">
      <c r="C401" s="267"/>
    </row>
    <row r="402" spans="3:3" ht="15.75" customHeight="1" x14ac:dyDescent="0.25">
      <c r="C402" s="267"/>
    </row>
    <row r="403" spans="3:3" ht="15.75" customHeight="1" x14ac:dyDescent="0.25">
      <c r="C403" s="267"/>
    </row>
    <row r="404" spans="3:3" ht="15.75" customHeight="1" x14ac:dyDescent="0.25">
      <c r="C404" s="267"/>
    </row>
    <row r="405" spans="3:3" ht="15.75" customHeight="1" x14ac:dyDescent="0.25">
      <c r="C405" s="267"/>
    </row>
    <row r="406" spans="3:3" ht="15.75" customHeight="1" x14ac:dyDescent="0.25">
      <c r="C406" s="267"/>
    </row>
    <row r="407" spans="3:3" ht="15.75" customHeight="1" x14ac:dyDescent="0.25">
      <c r="C407" s="267"/>
    </row>
    <row r="408" spans="3:3" ht="15.75" customHeight="1" x14ac:dyDescent="0.25">
      <c r="C408" s="267"/>
    </row>
    <row r="409" spans="3:3" ht="15.75" customHeight="1" x14ac:dyDescent="0.25">
      <c r="C409" s="267"/>
    </row>
    <row r="410" spans="3:3" ht="15.75" customHeight="1" x14ac:dyDescent="0.25">
      <c r="C410" s="267"/>
    </row>
    <row r="411" spans="3:3" ht="15.75" customHeight="1" x14ac:dyDescent="0.25">
      <c r="C411" s="267"/>
    </row>
    <row r="412" spans="3:3" ht="15.75" customHeight="1" x14ac:dyDescent="0.25">
      <c r="C412" s="267"/>
    </row>
    <row r="413" spans="3:3" ht="15.75" customHeight="1" x14ac:dyDescent="0.25">
      <c r="C413" s="267"/>
    </row>
    <row r="414" spans="3:3" ht="15.75" customHeight="1" x14ac:dyDescent="0.25">
      <c r="C414" s="267"/>
    </row>
    <row r="415" spans="3:3" ht="15.75" customHeight="1" x14ac:dyDescent="0.25">
      <c r="C415" s="267"/>
    </row>
    <row r="416" spans="3:3" ht="15.75" customHeight="1" x14ac:dyDescent="0.25">
      <c r="C416" s="267"/>
    </row>
    <row r="417" spans="3:3" ht="15.75" customHeight="1" x14ac:dyDescent="0.25">
      <c r="C417" s="267"/>
    </row>
    <row r="418" spans="3:3" ht="15.75" customHeight="1" x14ac:dyDescent="0.25">
      <c r="C418" s="267"/>
    </row>
    <row r="419" spans="3:3" ht="15.75" customHeight="1" x14ac:dyDescent="0.25">
      <c r="C419" s="267"/>
    </row>
    <row r="420" spans="3:3" ht="15.75" customHeight="1" x14ac:dyDescent="0.25">
      <c r="C420" s="267"/>
    </row>
    <row r="421" spans="3:3" ht="15.75" customHeight="1" x14ac:dyDescent="0.25">
      <c r="C421" s="267"/>
    </row>
    <row r="422" spans="3:3" ht="15.75" customHeight="1" x14ac:dyDescent="0.25">
      <c r="C422" s="267"/>
    </row>
    <row r="423" spans="3:3" ht="15.75" customHeight="1" x14ac:dyDescent="0.25">
      <c r="C423" s="267"/>
    </row>
    <row r="424" spans="3:3" ht="15.75" customHeight="1" x14ac:dyDescent="0.25">
      <c r="C424" s="267"/>
    </row>
    <row r="425" spans="3:3" ht="15.75" customHeight="1" x14ac:dyDescent="0.25">
      <c r="C425" s="267"/>
    </row>
    <row r="426" spans="3:3" ht="15.75" customHeight="1" x14ac:dyDescent="0.25">
      <c r="C426" s="267"/>
    </row>
    <row r="427" spans="3:3" ht="15.75" customHeight="1" x14ac:dyDescent="0.25">
      <c r="C427" s="267"/>
    </row>
    <row r="428" spans="3:3" ht="15.75" customHeight="1" x14ac:dyDescent="0.25">
      <c r="C428" s="267"/>
    </row>
    <row r="429" spans="3:3" ht="15.75" customHeight="1" x14ac:dyDescent="0.25">
      <c r="C429" s="267"/>
    </row>
    <row r="430" spans="3:3" ht="15.75" customHeight="1" x14ac:dyDescent="0.25">
      <c r="C430" s="267"/>
    </row>
    <row r="431" spans="3:3" ht="15.75" customHeight="1" x14ac:dyDescent="0.25">
      <c r="C431" s="267"/>
    </row>
    <row r="432" spans="3:3" ht="15.75" customHeight="1" x14ac:dyDescent="0.25">
      <c r="C432" s="267"/>
    </row>
    <row r="433" spans="3:3" ht="15.75" customHeight="1" x14ac:dyDescent="0.25">
      <c r="C433" s="267"/>
    </row>
    <row r="434" spans="3:3" ht="15.75" customHeight="1" x14ac:dyDescent="0.25">
      <c r="C434" s="267"/>
    </row>
    <row r="435" spans="3:3" ht="15.75" customHeight="1" x14ac:dyDescent="0.25">
      <c r="C435" s="267"/>
    </row>
    <row r="436" spans="3:3" ht="15.75" customHeight="1" x14ac:dyDescent="0.25">
      <c r="C436" s="267"/>
    </row>
    <row r="437" spans="3:3" ht="15.75" customHeight="1" x14ac:dyDescent="0.25">
      <c r="C437" s="267"/>
    </row>
    <row r="438" spans="3:3" ht="15.75" customHeight="1" x14ac:dyDescent="0.25">
      <c r="C438" s="267"/>
    </row>
    <row r="439" spans="3:3" ht="15.75" customHeight="1" x14ac:dyDescent="0.25">
      <c r="C439" s="267"/>
    </row>
    <row r="440" spans="3:3" ht="15.75" customHeight="1" x14ac:dyDescent="0.25">
      <c r="C440" s="267"/>
    </row>
    <row r="441" spans="3:3" ht="15.75" customHeight="1" x14ac:dyDescent="0.25">
      <c r="C441" s="267"/>
    </row>
    <row r="442" spans="3:3" ht="15.75" customHeight="1" x14ac:dyDescent="0.25">
      <c r="C442" s="267"/>
    </row>
    <row r="443" spans="3:3" ht="15.75" customHeight="1" x14ac:dyDescent="0.25">
      <c r="C443" s="267"/>
    </row>
    <row r="444" spans="3:3" ht="15.75" customHeight="1" x14ac:dyDescent="0.25">
      <c r="C444" s="267"/>
    </row>
    <row r="445" spans="3:3" ht="15.75" customHeight="1" x14ac:dyDescent="0.25">
      <c r="C445" s="267"/>
    </row>
    <row r="446" spans="3:3" ht="15.75" customHeight="1" x14ac:dyDescent="0.25">
      <c r="C446" s="267"/>
    </row>
    <row r="447" spans="3:3" ht="15.75" customHeight="1" x14ac:dyDescent="0.25">
      <c r="C447" s="267"/>
    </row>
    <row r="448" spans="3:3" ht="15.75" customHeight="1" x14ac:dyDescent="0.25">
      <c r="C448" s="267"/>
    </row>
    <row r="449" spans="3:3" ht="15.75" customHeight="1" x14ac:dyDescent="0.25">
      <c r="C449" s="267"/>
    </row>
    <row r="450" spans="3:3" ht="15.75" customHeight="1" x14ac:dyDescent="0.25">
      <c r="C450" s="267"/>
    </row>
    <row r="451" spans="3:3" ht="15.75" customHeight="1" x14ac:dyDescent="0.25">
      <c r="C451" s="267"/>
    </row>
    <row r="452" spans="3:3" ht="15.75" customHeight="1" x14ac:dyDescent="0.25">
      <c r="C452" s="267"/>
    </row>
    <row r="453" spans="3:3" ht="15.75" customHeight="1" x14ac:dyDescent="0.25">
      <c r="C453" s="267"/>
    </row>
    <row r="454" spans="3:3" ht="15.75" customHeight="1" x14ac:dyDescent="0.25">
      <c r="C454" s="267"/>
    </row>
    <row r="455" spans="3:3" ht="15.75" customHeight="1" x14ac:dyDescent="0.25">
      <c r="C455" s="267"/>
    </row>
    <row r="456" spans="3:3" ht="15.75" customHeight="1" x14ac:dyDescent="0.25">
      <c r="C456" s="267"/>
    </row>
    <row r="457" spans="3:3" ht="15.75" customHeight="1" x14ac:dyDescent="0.25">
      <c r="C457" s="267"/>
    </row>
    <row r="458" spans="3:3" ht="15.75" customHeight="1" x14ac:dyDescent="0.25">
      <c r="C458" s="267"/>
    </row>
    <row r="459" spans="3:3" ht="15.75" customHeight="1" x14ac:dyDescent="0.25">
      <c r="C459" s="267"/>
    </row>
    <row r="460" spans="3:3" ht="15.75" customHeight="1" x14ac:dyDescent="0.25">
      <c r="C460" s="267"/>
    </row>
    <row r="461" spans="3:3" ht="15.75" customHeight="1" x14ac:dyDescent="0.25">
      <c r="C461" s="267"/>
    </row>
    <row r="462" spans="3:3" ht="15.75" customHeight="1" x14ac:dyDescent="0.25">
      <c r="C462" s="267"/>
    </row>
    <row r="463" spans="3:3" ht="15.75" customHeight="1" x14ac:dyDescent="0.25">
      <c r="C463" s="267"/>
    </row>
    <row r="464" spans="3:3" ht="15.75" customHeight="1" x14ac:dyDescent="0.25">
      <c r="C464" s="267"/>
    </row>
    <row r="465" spans="3:3" ht="15.75" customHeight="1" x14ac:dyDescent="0.25">
      <c r="C465" s="267"/>
    </row>
    <row r="466" spans="3:3" ht="15.75" customHeight="1" x14ac:dyDescent="0.25">
      <c r="C466" s="267"/>
    </row>
    <row r="467" spans="3:3" ht="15.75" customHeight="1" x14ac:dyDescent="0.25">
      <c r="C467" s="267"/>
    </row>
    <row r="468" spans="3:3" ht="15.75" customHeight="1" x14ac:dyDescent="0.25">
      <c r="C468" s="267"/>
    </row>
    <row r="469" spans="3:3" ht="15.75" customHeight="1" x14ac:dyDescent="0.25">
      <c r="C469" s="267"/>
    </row>
    <row r="470" spans="3:3" ht="15.75" customHeight="1" x14ac:dyDescent="0.25">
      <c r="C470" s="267"/>
    </row>
    <row r="471" spans="3:3" ht="15.75" customHeight="1" x14ac:dyDescent="0.25">
      <c r="C471" s="267"/>
    </row>
    <row r="472" spans="3:3" ht="15.75" customHeight="1" x14ac:dyDescent="0.25">
      <c r="C472" s="267"/>
    </row>
    <row r="473" spans="3:3" ht="15.75" customHeight="1" x14ac:dyDescent="0.25">
      <c r="C473" s="267"/>
    </row>
    <row r="474" spans="3:3" ht="15.75" customHeight="1" x14ac:dyDescent="0.25">
      <c r="C474" s="267"/>
    </row>
    <row r="475" spans="3:3" ht="15.75" customHeight="1" x14ac:dyDescent="0.25">
      <c r="C475" s="267"/>
    </row>
    <row r="476" spans="3:3" ht="15.75" customHeight="1" x14ac:dyDescent="0.25">
      <c r="C476" s="267"/>
    </row>
    <row r="477" spans="3:3" ht="15.75" customHeight="1" x14ac:dyDescent="0.25">
      <c r="C477" s="267"/>
    </row>
    <row r="478" spans="3:3" ht="15.75" customHeight="1" x14ac:dyDescent="0.25">
      <c r="C478" s="267"/>
    </row>
    <row r="479" spans="3:3" ht="15.75" customHeight="1" x14ac:dyDescent="0.25">
      <c r="C479" s="267"/>
    </row>
    <row r="480" spans="3:3" ht="15.75" customHeight="1" x14ac:dyDescent="0.25">
      <c r="C480" s="267"/>
    </row>
    <row r="481" spans="3:3" ht="15.75" customHeight="1" x14ac:dyDescent="0.25">
      <c r="C481" s="267"/>
    </row>
    <row r="482" spans="3:3" ht="15.75" customHeight="1" x14ac:dyDescent="0.25">
      <c r="C482" s="267"/>
    </row>
    <row r="483" spans="3:3" ht="15.75" customHeight="1" x14ac:dyDescent="0.25">
      <c r="C483" s="267"/>
    </row>
    <row r="484" spans="3:3" ht="15.75" customHeight="1" x14ac:dyDescent="0.25">
      <c r="C484" s="267"/>
    </row>
    <row r="485" spans="3:3" ht="15.75" customHeight="1" x14ac:dyDescent="0.25">
      <c r="C485" s="267"/>
    </row>
    <row r="486" spans="3:3" ht="15.75" customHeight="1" x14ac:dyDescent="0.25">
      <c r="C486" s="267"/>
    </row>
    <row r="487" spans="3:3" ht="15.75" customHeight="1" x14ac:dyDescent="0.25">
      <c r="C487" s="267"/>
    </row>
    <row r="488" spans="3:3" ht="15.75" customHeight="1" x14ac:dyDescent="0.25">
      <c r="C488" s="267"/>
    </row>
    <row r="489" spans="3:3" ht="15.75" customHeight="1" x14ac:dyDescent="0.25">
      <c r="C489" s="267"/>
    </row>
    <row r="490" spans="3:3" ht="15.75" customHeight="1" x14ac:dyDescent="0.25">
      <c r="C490" s="267"/>
    </row>
    <row r="491" spans="3:3" ht="15.75" customHeight="1" x14ac:dyDescent="0.25">
      <c r="C491" s="267"/>
    </row>
    <row r="492" spans="3:3" ht="15.75" customHeight="1" x14ac:dyDescent="0.25">
      <c r="C492" s="267"/>
    </row>
    <row r="493" spans="3:3" ht="15.75" customHeight="1" x14ac:dyDescent="0.25">
      <c r="C493" s="267"/>
    </row>
    <row r="494" spans="3:3" ht="15.75" customHeight="1" x14ac:dyDescent="0.25">
      <c r="C494" s="267"/>
    </row>
    <row r="495" spans="3:3" ht="15.75" customHeight="1" x14ac:dyDescent="0.25">
      <c r="C495" s="267"/>
    </row>
    <row r="496" spans="3:3" ht="15.75" customHeight="1" x14ac:dyDescent="0.25">
      <c r="C496" s="267"/>
    </row>
    <row r="497" spans="3:3" ht="15.75" customHeight="1" x14ac:dyDescent="0.25">
      <c r="C497" s="267"/>
    </row>
    <row r="498" spans="3:3" ht="15.75" customHeight="1" x14ac:dyDescent="0.25">
      <c r="C498" s="267"/>
    </row>
    <row r="499" spans="3:3" ht="15.75" customHeight="1" x14ac:dyDescent="0.25">
      <c r="C499" s="267"/>
    </row>
    <row r="500" spans="3:3" ht="15.75" customHeight="1" x14ac:dyDescent="0.25">
      <c r="C500" s="267"/>
    </row>
    <row r="501" spans="3:3" ht="15.75" customHeight="1" x14ac:dyDescent="0.25">
      <c r="C501" s="267"/>
    </row>
    <row r="502" spans="3:3" ht="15.75" customHeight="1" x14ac:dyDescent="0.25">
      <c r="C502" s="267"/>
    </row>
    <row r="503" spans="3:3" ht="15.75" customHeight="1" x14ac:dyDescent="0.25">
      <c r="C503" s="267"/>
    </row>
    <row r="504" spans="3:3" ht="15.75" customHeight="1" x14ac:dyDescent="0.25">
      <c r="C504" s="267"/>
    </row>
    <row r="505" spans="3:3" ht="15.75" customHeight="1" x14ac:dyDescent="0.25">
      <c r="C505" s="267"/>
    </row>
    <row r="506" spans="3:3" ht="15.75" customHeight="1" x14ac:dyDescent="0.25">
      <c r="C506" s="267"/>
    </row>
    <row r="507" spans="3:3" ht="15.75" customHeight="1" x14ac:dyDescent="0.25">
      <c r="C507" s="267"/>
    </row>
    <row r="508" spans="3:3" ht="15.75" customHeight="1" x14ac:dyDescent="0.25">
      <c r="C508" s="267"/>
    </row>
    <row r="509" spans="3:3" ht="15.75" customHeight="1" x14ac:dyDescent="0.25">
      <c r="C509" s="267"/>
    </row>
    <row r="510" spans="3:3" ht="15.75" customHeight="1" x14ac:dyDescent="0.25">
      <c r="C510" s="267"/>
    </row>
    <row r="511" spans="3:3" ht="15.75" customHeight="1" x14ac:dyDescent="0.25">
      <c r="C511" s="267"/>
    </row>
    <row r="512" spans="3:3" ht="15.75" customHeight="1" x14ac:dyDescent="0.25">
      <c r="C512" s="267"/>
    </row>
    <row r="513" spans="3:3" ht="15.75" customHeight="1" x14ac:dyDescent="0.25">
      <c r="C513" s="267"/>
    </row>
    <row r="514" spans="3:3" ht="15.75" customHeight="1" x14ac:dyDescent="0.25">
      <c r="C514" s="267"/>
    </row>
    <row r="515" spans="3:3" ht="15.75" customHeight="1" x14ac:dyDescent="0.25">
      <c r="C515" s="267"/>
    </row>
    <row r="516" spans="3:3" ht="15.75" customHeight="1" x14ac:dyDescent="0.25">
      <c r="C516" s="267"/>
    </row>
    <row r="517" spans="3:3" ht="15.75" customHeight="1" x14ac:dyDescent="0.25">
      <c r="C517" s="267"/>
    </row>
    <row r="518" spans="3:3" ht="15.75" customHeight="1" x14ac:dyDescent="0.25">
      <c r="C518" s="267"/>
    </row>
    <row r="519" spans="3:3" ht="15.75" customHeight="1" x14ac:dyDescent="0.25">
      <c r="C519" s="267"/>
    </row>
    <row r="520" spans="3:3" ht="15.75" customHeight="1" x14ac:dyDescent="0.25">
      <c r="C520" s="267"/>
    </row>
    <row r="521" spans="3:3" ht="15.75" customHeight="1" x14ac:dyDescent="0.25">
      <c r="C521" s="267"/>
    </row>
    <row r="522" spans="3:3" ht="15.75" customHeight="1" x14ac:dyDescent="0.25">
      <c r="C522" s="267"/>
    </row>
    <row r="523" spans="3:3" ht="15.75" customHeight="1" x14ac:dyDescent="0.25">
      <c r="C523" s="267"/>
    </row>
    <row r="524" spans="3:3" ht="15.75" customHeight="1" x14ac:dyDescent="0.25">
      <c r="C524" s="267"/>
    </row>
    <row r="525" spans="3:3" ht="15.75" customHeight="1" x14ac:dyDescent="0.25">
      <c r="C525" s="267"/>
    </row>
    <row r="526" spans="3:3" ht="15.75" customHeight="1" x14ac:dyDescent="0.25">
      <c r="C526" s="267"/>
    </row>
    <row r="527" spans="3:3" ht="15.75" customHeight="1" x14ac:dyDescent="0.25">
      <c r="C527" s="267"/>
    </row>
    <row r="528" spans="3:3" ht="15.75" customHeight="1" x14ac:dyDescent="0.25">
      <c r="C528" s="267"/>
    </row>
    <row r="529" spans="3:3" ht="15.75" customHeight="1" x14ac:dyDescent="0.25">
      <c r="C529" s="267"/>
    </row>
    <row r="530" spans="3:3" ht="15.75" customHeight="1" x14ac:dyDescent="0.25">
      <c r="C530" s="267"/>
    </row>
    <row r="531" spans="3:3" ht="15.75" customHeight="1" x14ac:dyDescent="0.25">
      <c r="C531" s="267"/>
    </row>
    <row r="532" spans="3:3" ht="15.75" customHeight="1" x14ac:dyDescent="0.25">
      <c r="C532" s="267"/>
    </row>
    <row r="533" spans="3:3" ht="15.75" customHeight="1" x14ac:dyDescent="0.25">
      <c r="C533" s="267"/>
    </row>
    <row r="534" spans="3:3" ht="15.75" customHeight="1" x14ac:dyDescent="0.25">
      <c r="C534" s="267"/>
    </row>
    <row r="535" spans="3:3" ht="15.75" customHeight="1" x14ac:dyDescent="0.25">
      <c r="C535" s="267"/>
    </row>
    <row r="536" spans="3:3" ht="15.75" customHeight="1" x14ac:dyDescent="0.25">
      <c r="C536" s="267"/>
    </row>
    <row r="537" spans="3:3" ht="15.75" customHeight="1" x14ac:dyDescent="0.25">
      <c r="C537" s="267"/>
    </row>
    <row r="538" spans="3:3" ht="15.75" customHeight="1" x14ac:dyDescent="0.25">
      <c r="C538" s="267"/>
    </row>
    <row r="539" spans="3:3" ht="15.75" customHeight="1" x14ac:dyDescent="0.25">
      <c r="C539" s="267"/>
    </row>
    <row r="540" spans="3:3" ht="15.75" customHeight="1" x14ac:dyDescent="0.25">
      <c r="C540" s="267"/>
    </row>
    <row r="541" spans="3:3" ht="15.75" customHeight="1" x14ac:dyDescent="0.25">
      <c r="C541" s="267"/>
    </row>
    <row r="542" spans="3:3" ht="15.75" customHeight="1" x14ac:dyDescent="0.25">
      <c r="C542" s="267"/>
    </row>
    <row r="543" spans="3:3" ht="15.75" customHeight="1" x14ac:dyDescent="0.25">
      <c r="C543" s="267"/>
    </row>
    <row r="544" spans="3:3" ht="15.75" customHeight="1" x14ac:dyDescent="0.25">
      <c r="C544" s="267"/>
    </row>
    <row r="545" spans="3:3" ht="15.75" customHeight="1" x14ac:dyDescent="0.25">
      <c r="C545" s="267"/>
    </row>
    <row r="546" spans="3:3" ht="15.75" customHeight="1" x14ac:dyDescent="0.25">
      <c r="C546" s="267"/>
    </row>
    <row r="547" spans="3:3" ht="15.75" customHeight="1" x14ac:dyDescent="0.25">
      <c r="C547" s="267"/>
    </row>
    <row r="548" spans="3:3" ht="15.75" customHeight="1" x14ac:dyDescent="0.25">
      <c r="C548" s="267"/>
    </row>
    <row r="549" spans="3:3" ht="15.75" customHeight="1" x14ac:dyDescent="0.25">
      <c r="C549" s="267"/>
    </row>
    <row r="550" spans="3:3" ht="15.75" customHeight="1" x14ac:dyDescent="0.25">
      <c r="C550" s="267"/>
    </row>
    <row r="551" spans="3:3" ht="15.75" customHeight="1" x14ac:dyDescent="0.25">
      <c r="C551" s="267"/>
    </row>
    <row r="552" spans="3:3" ht="15.75" customHeight="1" x14ac:dyDescent="0.25">
      <c r="C552" s="267"/>
    </row>
    <row r="553" spans="3:3" ht="15.75" customHeight="1" x14ac:dyDescent="0.25">
      <c r="C553" s="267"/>
    </row>
    <row r="554" spans="3:3" ht="15.75" customHeight="1" x14ac:dyDescent="0.25">
      <c r="C554" s="267"/>
    </row>
    <row r="555" spans="3:3" ht="15.75" customHeight="1" x14ac:dyDescent="0.25">
      <c r="C555" s="267"/>
    </row>
    <row r="556" spans="3:3" ht="15.75" customHeight="1" x14ac:dyDescent="0.25">
      <c r="C556" s="267"/>
    </row>
    <row r="557" spans="3:3" ht="15.75" customHeight="1" x14ac:dyDescent="0.25">
      <c r="C557" s="267"/>
    </row>
    <row r="558" spans="3:3" ht="15.75" customHeight="1" x14ac:dyDescent="0.25">
      <c r="C558" s="267"/>
    </row>
    <row r="559" spans="3:3" ht="15.75" customHeight="1" x14ac:dyDescent="0.25">
      <c r="C559" s="267"/>
    </row>
    <row r="560" spans="3:3" ht="15.75" customHeight="1" x14ac:dyDescent="0.25">
      <c r="C560" s="267"/>
    </row>
    <row r="561" spans="3:3" ht="15.75" customHeight="1" x14ac:dyDescent="0.25">
      <c r="C561" s="267"/>
    </row>
    <row r="562" spans="3:3" ht="15.75" customHeight="1" x14ac:dyDescent="0.25">
      <c r="C562" s="267"/>
    </row>
    <row r="563" spans="3:3" ht="15.75" customHeight="1" x14ac:dyDescent="0.25">
      <c r="C563" s="267"/>
    </row>
    <row r="564" spans="3:3" ht="15.75" customHeight="1" x14ac:dyDescent="0.25">
      <c r="C564" s="267"/>
    </row>
    <row r="565" spans="3:3" ht="15.75" customHeight="1" x14ac:dyDescent="0.25">
      <c r="C565" s="267"/>
    </row>
    <row r="566" spans="3:3" ht="15.75" customHeight="1" x14ac:dyDescent="0.25">
      <c r="C566" s="267"/>
    </row>
    <row r="567" spans="3:3" ht="15.75" customHeight="1" x14ac:dyDescent="0.25">
      <c r="C567" s="267"/>
    </row>
    <row r="568" spans="3:3" ht="15.75" customHeight="1" x14ac:dyDescent="0.25">
      <c r="C568" s="267"/>
    </row>
    <row r="569" spans="3:3" ht="15.75" customHeight="1" x14ac:dyDescent="0.25">
      <c r="C569" s="267"/>
    </row>
    <row r="570" spans="3:3" ht="15.75" customHeight="1" x14ac:dyDescent="0.25">
      <c r="C570" s="267"/>
    </row>
    <row r="571" spans="3:3" ht="15.75" customHeight="1" x14ac:dyDescent="0.25">
      <c r="C571" s="267"/>
    </row>
    <row r="572" spans="3:3" ht="15.75" customHeight="1" x14ac:dyDescent="0.25">
      <c r="C572" s="267"/>
    </row>
    <row r="573" spans="3:3" ht="15.75" customHeight="1" x14ac:dyDescent="0.25">
      <c r="C573" s="267"/>
    </row>
    <row r="574" spans="3:3" ht="15.75" customHeight="1" x14ac:dyDescent="0.25">
      <c r="C574" s="267"/>
    </row>
    <row r="575" spans="3:3" ht="15.75" customHeight="1" x14ac:dyDescent="0.25">
      <c r="C575" s="267"/>
    </row>
    <row r="576" spans="3:3" ht="15.75" customHeight="1" x14ac:dyDescent="0.25">
      <c r="C576" s="267"/>
    </row>
    <row r="577" spans="3:3" ht="15.75" customHeight="1" x14ac:dyDescent="0.25">
      <c r="C577" s="267"/>
    </row>
    <row r="578" spans="3:3" ht="15.75" customHeight="1" x14ac:dyDescent="0.25">
      <c r="C578" s="267"/>
    </row>
    <row r="579" spans="3:3" ht="15.75" customHeight="1" x14ac:dyDescent="0.25">
      <c r="C579" s="267"/>
    </row>
    <row r="580" spans="3:3" ht="15.75" customHeight="1" x14ac:dyDescent="0.25">
      <c r="C580" s="267"/>
    </row>
    <row r="581" spans="3:3" ht="15.75" customHeight="1" x14ac:dyDescent="0.25">
      <c r="C581" s="267"/>
    </row>
    <row r="582" spans="3:3" ht="15.75" customHeight="1" x14ac:dyDescent="0.25">
      <c r="C582" s="267"/>
    </row>
    <row r="583" spans="3:3" ht="15.75" customHeight="1" x14ac:dyDescent="0.25">
      <c r="C583" s="267"/>
    </row>
    <row r="584" spans="3:3" ht="15.75" customHeight="1" x14ac:dyDescent="0.25">
      <c r="C584" s="267"/>
    </row>
    <row r="585" spans="3:3" ht="15.75" customHeight="1" x14ac:dyDescent="0.25">
      <c r="C585" s="267"/>
    </row>
    <row r="586" spans="3:3" ht="15.75" customHeight="1" x14ac:dyDescent="0.25">
      <c r="C586" s="267"/>
    </row>
    <row r="587" spans="3:3" ht="15.75" customHeight="1" x14ac:dyDescent="0.25">
      <c r="C587" s="267"/>
    </row>
    <row r="588" spans="3:3" ht="15.75" customHeight="1" x14ac:dyDescent="0.25">
      <c r="C588" s="267"/>
    </row>
    <row r="589" spans="3:3" ht="15.75" customHeight="1" x14ac:dyDescent="0.25">
      <c r="C589" s="267"/>
    </row>
    <row r="590" spans="3:3" ht="15.75" customHeight="1" x14ac:dyDescent="0.25">
      <c r="C590" s="267"/>
    </row>
    <row r="591" spans="3:3" ht="15.75" customHeight="1" x14ac:dyDescent="0.25">
      <c r="C591" s="267"/>
    </row>
    <row r="592" spans="3:3" ht="15.75" customHeight="1" x14ac:dyDescent="0.25">
      <c r="C592" s="267"/>
    </row>
    <row r="593" spans="3:3" ht="15.75" customHeight="1" x14ac:dyDescent="0.25">
      <c r="C593" s="267"/>
    </row>
    <row r="594" spans="3:3" ht="15.75" customHeight="1" x14ac:dyDescent="0.25">
      <c r="C594" s="267"/>
    </row>
    <row r="595" spans="3:3" ht="15.75" customHeight="1" x14ac:dyDescent="0.25">
      <c r="C595" s="267"/>
    </row>
    <row r="596" spans="3:3" ht="15.75" customHeight="1" x14ac:dyDescent="0.25">
      <c r="C596" s="267"/>
    </row>
    <row r="597" spans="3:3" ht="15.75" customHeight="1" x14ac:dyDescent="0.25">
      <c r="C597" s="267"/>
    </row>
    <row r="598" spans="3:3" ht="15.75" customHeight="1" x14ac:dyDescent="0.25">
      <c r="C598" s="267"/>
    </row>
    <row r="599" spans="3:3" ht="15.75" customHeight="1" x14ac:dyDescent="0.25">
      <c r="C599" s="267"/>
    </row>
    <row r="600" spans="3:3" ht="15.75" customHeight="1" x14ac:dyDescent="0.25">
      <c r="C600" s="267"/>
    </row>
    <row r="601" spans="3:3" ht="15.75" customHeight="1" x14ac:dyDescent="0.25">
      <c r="C601" s="267"/>
    </row>
    <row r="602" spans="3:3" ht="15.75" customHeight="1" x14ac:dyDescent="0.25">
      <c r="C602" s="267"/>
    </row>
    <row r="603" spans="3:3" ht="15.75" customHeight="1" x14ac:dyDescent="0.25">
      <c r="C603" s="267"/>
    </row>
    <row r="604" spans="3:3" ht="15.75" customHeight="1" x14ac:dyDescent="0.25">
      <c r="C604" s="267"/>
    </row>
    <row r="605" spans="3:3" ht="15.75" customHeight="1" x14ac:dyDescent="0.25">
      <c r="C605" s="267"/>
    </row>
    <row r="606" spans="3:3" ht="15.75" customHeight="1" x14ac:dyDescent="0.25">
      <c r="C606" s="267"/>
    </row>
    <row r="607" spans="3:3" ht="15.75" customHeight="1" x14ac:dyDescent="0.25">
      <c r="C607" s="267"/>
    </row>
    <row r="608" spans="3:3" ht="15.75" customHeight="1" x14ac:dyDescent="0.25">
      <c r="C608" s="267"/>
    </row>
    <row r="609" spans="3:3" ht="15.75" customHeight="1" x14ac:dyDescent="0.25">
      <c r="C609" s="267"/>
    </row>
    <row r="610" spans="3:3" ht="15.75" customHeight="1" x14ac:dyDescent="0.25">
      <c r="C610" s="267"/>
    </row>
    <row r="611" spans="3:3" ht="15.75" customHeight="1" x14ac:dyDescent="0.25">
      <c r="C611" s="267"/>
    </row>
    <row r="612" spans="3:3" ht="15.75" customHeight="1" x14ac:dyDescent="0.25">
      <c r="C612" s="267"/>
    </row>
    <row r="613" spans="3:3" ht="15.75" customHeight="1" x14ac:dyDescent="0.25">
      <c r="C613" s="267"/>
    </row>
    <row r="614" spans="3:3" ht="15.75" customHeight="1" x14ac:dyDescent="0.25">
      <c r="C614" s="267"/>
    </row>
    <row r="615" spans="3:3" ht="15.75" customHeight="1" x14ac:dyDescent="0.25">
      <c r="C615" s="267"/>
    </row>
    <row r="616" spans="3:3" ht="15.75" customHeight="1" x14ac:dyDescent="0.25">
      <c r="C616" s="267"/>
    </row>
    <row r="617" spans="3:3" ht="15.75" customHeight="1" x14ac:dyDescent="0.25">
      <c r="C617" s="267"/>
    </row>
    <row r="618" spans="3:3" ht="15.75" customHeight="1" x14ac:dyDescent="0.25">
      <c r="C618" s="267"/>
    </row>
    <row r="619" spans="3:3" ht="15.75" customHeight="1" x14ac:dyDescent="0.25">
      <c r="C619" s="267"/>
    </row>
    <row r="620" spans="3:3" ht="15.75" customHeight="1" x14ac:dyDescent="0.25">
      <c r="C620" s="267"/>
    </row>
    <row r="621" spans="3:3" ht="15.75" customHeight="1" x14ac:dyDescent="0.25">
      <c r="C621" s="267"/>
    </row>
    <row r="622" spans="3:3" ht="15.75" customHeight="1" x14ac:dyDescent="0.25">
      <c r="C622" s="267"/>
    </row>
    <row r="623" spans="3:3" ht="15.75" customHeight="1" x14ac:dyDescent="0.25">
      <c r="C623" s="267"/>
    </row>
    <row r="624" spans="3:3" ht="15.75" customHeight="1" x14ac:dyDescent="0.25">
      <c r="C624" s="267"/>
    </row>
    <row r="625" spans="3:3" ht="15.75" customHeight="1" x14ac:dyDescent="0.25">
      <c r="C625" s="267"/>
    </row>
    <row r="626" spans="3:3" ht="15.75" customHeight="1" x14ac:dyDescent="0.25">
      <c r="C626" s="267"/>
    </row>
    <row r="627" spans="3:3" ht="15.75" customHeight="1" x14ac:dyDescent="0.25">
      <c r="C627" s="267"/>
    </row>
    <row r="628" spans="3:3" ht="15.75" customHeight="1" x14ac:dyDescent="0.25">
      <c r="C628" s="267"/>
    </row>
    <row r="629" spans="3:3" ht="15.75" customHeight="1" x14ac:dyDescent="0.25">
      <c r="C629" s="267"/>
    </row>
    <row r="630" spans="3:3" ht="15.75" customHeight="1" x14ac:dyDescent="0.25">
      <c r="C630" s="267"/>
    </row>
    <row r="631" spans="3:3" ht="15.75" customHeight="1" x14ac:dyDescent="0.25">
      <c r="C631" s="267"/>
    </row>
    <row r="632" spans="3:3" ht="15.75" customHeight="1" x14ac:dyDescent="0.25">
      <c r="C632" s="267"/>
    </row>
    <row r="633" spans="3:3" ht="15.75" customHeight="1" x14ac:dyDescent="0.25">
      <c r="C633" s="267"/>
    </row>
    <row r="634" spans="3:3" ht="15.75" customHeight="1" x14ac:dyDescent="0.25">
      <c r="C634" s="267"/>
    </row>
    <row r="635" spans="3:3" ht="15.75" customHeight="1" x14ac:dyDescent="0.25">
      <c r="C635" s="267"/>
    </row>
    <row r="636" spans="3:3" ht="15.75" customHeight="1" x14ac:dyDescent="0.25">
      <c r="C636" s="267"/>
    </row>
    <row r="637" spans="3:3" ht="15.75" customHeight="1" x14ac:dyDescent="0.25">
      <c r="C637" s="267"/>
    </row>
    <row r="638" spans="3:3" ht="15.75" customHeight="1" x14ac:dyDescent="0.25">
      <c r="C638" s="267"/>
    </row>
    <row r="639" spans="3:3" ht="15.75" customHeight="1" x14ac:dyDescent="0.25">
      <c r="C639" s="267"/>
    </row>
    <row r="640" spans="3:3" ht="15.75" customHeight="1" x14ac:dyDescent="0.25">
      <c r="C640" s="267"/>
    </row>
    <row r="641" spans="3:3" ht="15.75" customHeight="1" x14ac:dyDescent="0.25">
      <c r="C641" s="267"/>
    </row>
    <row r="642" spans="3:3" ht="15.75" customHeight="1" x14ac:dyDescent="0.25">
      <c r="C642" s="267"/>
    </row>
    <row r="643" spans="3:3" ht="15.75" customHeight="1" x14ac:dyDescent="0.25">
      <c r="C643" s="267"/>
    </row>
    <row r="644" spans="3:3" ht="15.75" customHeight="1" x14ac:dyDescent="0.25">
      <c r="C644" s="267"/>
    </row>
    <row r="645" spans="3:3" ht="15.75" customHeight="1" x14ac:dyDescent="0.25">
      <c r="C645" s="267"/>
    </row>
    <row r="646" spans="3:3" ht="15.75" customHeight="1" x14ac:dyDescent="0.25">
      <c r="C646" s="267"/>
    </row>
    <row r="647" spans="3:3" ht="15.75" customHeight="1" x14ac:dyDescent="0.25">
      <c r="C647" s="267"/>
    </row>
    <row r="648" spans="3:3" ht="15.75" customHeight="1" x14ac:dyDescent="0.25">
      <c r="C648" s="267"/>
    </row>
    <row r="649" spans="3:3" ht="15.75" customHeight="1" x14ac:dyDescent="0.25">
      <c r="C649" s="267"/>
    </row>
    <row r="650" spans="3:3" ht="15.75" customHeight="1" x14ac:dyDescent="0.25">
      <c r="C650" s="267"/>
    </row>
    <row r="651" spans="3:3" ht="15.75" customHeight="1" x14ac:dyDescent="0.25">
      <c r="C651" s="267"/>
    </row>
    <row r="652" spans="3:3" ht="15.75" customHeight="1" x14ac:dyDescent="0.25">
      <c r="C652" s="267"/>
    </row>
    <row r="653" spans="3:3" ht="15.75" customHeight="1" x14ac:dyDescent="0.25">
      <c r="C653" s="267"/>
    </row>
    <row r="654" spans="3:3" ht="15.75" customHeight="1" x14ac:dyDescent="0.25">
      <c r="C654" s="267"/>
    </row>
    <row r="655" spans="3:3" ht="15.75" customHeight="1" x14ac:dyDescent="0.25">
      <c r="C655" s="267"/>
    </row>
    <row r="656" spans="3:3" ht="15.75" customHeight="1" x14ac:dyDescent="0.25">
      <c r="C656" s="267"/>
    </row>
    <row r="657" spans="3:3" ht="15.75" customHeight="1" x14ac:dyDescent="0.25">
      <c r="C657" s="267"/>
    </row>
    <row r="658" spans="3:3" ht="15.75" customHeight="1" x14ac:dyDescent="0.25">
      <c r="C658" s="267"/>
    </row>
    <row r="659" spans="3:3" ht="15.75" customHeight="1" x14ac:dyDescent="0.25">
      <c r="C659" s="267"/>
    </row>
    <row r="660" spans="3:3" ht="15.75" customHeight="1" x14ac:dyDescent="0.25">
      <c r="C660" s="267"/>
    </row>
    <row r="661" spans="3:3" ht="15.75" customHeight="1" x14ac:dyDescent="0.25">
      <c r="C661" s="267"/>
    </row>
    <row r="662" spans="3:3" ht="15.75" customHeight="1" x14ac:dyDescent="0.25">
      <c r="C662" s="267"/>
    </row>
    <row r="663" spans="3:3" ht="15.75" customHeight="1" x14ac:dyDescent="0.25">
      <c r="C663" s="267"/>
    </row>
    <row r="664" spans="3:3" ht="15.75" customHeight="1" x14ac:dyDescent="0.25">
      <c r="C664" s="267"/>
    </row>
    <row r="665" spans="3:3" ht="15.75" customHeight="1" x14ac:dyDescent="0.25">
      <c r="C665" s="267"/>
    </row>
    <row r="666" spans="3:3" ht="15.75" customHeight="1" x14ac:dyDescent="0.25">
      <c r="C666" s="267"/>
    </row>
    <row r="667" spans="3:3" ht="15.75" customHeight="1" x14ac:dyDescent="0.25">
      <c r="C667" s="267"/>
    </row>
    <row r="668" spans="3:3" ht="15.75" customHeight="1" x14ac:dyDescent="0.25">
      <c r="C668" s="267"/>
    </row>
    <row r="669" spans="3:3" ht="15.75" customHeight="1" x14ac:dyDescent="0.25">
      <c r="C669" s="267"/>
    </row>
    <row r="670" spans="3:3" ht="15.75" customHeight="1" x14ac:dyDescent="0.25">
      <c r="C670" s="267"/>
    </row>
    <row r="671" spans="3:3" ht="15.75" customHeight="1" x14ac:dyDescent="0.25">
      <c r="C671" s="267"/>
    </row>
    <row r="672" spans="3:3" ht="15.75" customHeight="1" x14ac:dyDescent="0.25">
      <c r="C672" s="267"/>
    </row>
    <row r="673" spans="3:3" ht="15.75" customHeight="1" x14ac:dyDescent="0.25">
      <c r="C673" s="267"/>
    </row>
    <row r="674" spans="3:3" ht="15.75" customHeight="1" x14ac:dyDescent="0.25">
      <c r="C674" s="267"/>
    </row>
    <row r="675" spans="3:3" ht="15.75" customHeight="1" x14ac:dyDescent="0.25">
      <c r="C675" s="267"/>
    </row>
    <row r="676" spans="3:3" ht="15.75" customHeight="1" x14ac:dyDescent="0.25">
      <c r="C676" s="267"/>
    </row>
    <row r="677" spans="3:3" ht="15.75" customHeight="1" x14ac:dyDescent="0.25">
      <c r="C677" s="267"/>
    </row>
    <row r="678" spans="3:3" ht="15.75" customHeight="1" x14ac:dyDescent="0.25">
      <c r="C678" s="267"/>
    </row>
    <row r="679" spans="3:3" ht="15.75" customHeight="1" x14ac:dyDescent="0.25">
      <c r="C679" s="267"/>
    </row>
    <row r="680" spans="3:3" ht="15.75" customHeight="1" x14ac:dyDescent="0.25">
      <c r="C680" s="267"/>
    </row>
    <row r="681" spans="3:3" ht="15.75" customHeight="1" x14ac:dyDescent="0.25">
      <c r="C681" s="267"/>
    </row>
    <row r="682" spans="3:3" ht="15.75" customHeight="1" x14ac:dyDescent="0.25">
      <c r="C682" s="267"/>
    </row>
    <row r="683" spans="3:3" ht="15.75" customHeight="1" x14ac:dyDescent="0.25">
      <c r="C683" s="267"/>
    </row>
    <row r="684" spans="3:3" ht="15.75" customHeight="1" x14ac:dyDescent="0.25">
      <c r="C684" s="267"/>
    </row>
    <row r="685" spans="3:3" ht="15.75" customHeight="1" x14ac:dyDescent="0.25">
      <c r="C685" s="267"/>
    </row>
    <row r="686" spans="3:3" ht="15.75" customHeight="1" x14ac:dyDescent="0.25">
      <c r="C686" s="267"/>
    </row>
    <row r="687" spans="3:3" ht="15.75" customHeight="1" x14ac:dyDescent="0.25">
      <c r="C687" s="267"/>
    </row>
    <row r="688" spans="3:3" ht="15.75" customHeight="1" x14ac:dyDescent="0.25">
      <c r="C688" s="267"/>
    </row>
    <row r="689" spans="3:3" ht="15.75" customHeight="1" x14ac:dyDescent="0.25">
      <c r="C689" s="267"/>
    </row>
    <row r="690" spans="3:3" ht="15.75" customHeight="1" x14ac:dyDescent="0.25">
      <c r="C690" s="267"/>
    </row>
    <row r="691" spans="3:3" ht="15.75" customHeight="1" x14ac:dyDescent="0.25">
      <c r="C691" s="267"/>
    </row>
    <row r="692" spans="3:3" ht="15.75" customHeight="1" x14ac:dyDescent="0.25">
      <c r="C692" s="267"/>
    </row>
    <row r="693" spans="3:3" ht="15.75" customHeight="1" x14ac:dyDescent="0.25">
      <c r="C693" s="267"/>
    </row>
    <row r="694" spans="3:3" ht="15.75" customHeight="1" x14ac:dyDescent="0.25">
      <c r="C694" s="267"/>
    </row>
    <row r="695" spans="3:3" ht="15.75" customHeight="1" x14ac:dyDescent="0.25">
      <c r="C695" s="267"/>
    </row>
    <row r="696" spans="3:3" ht="15.75" customHeight="1" x14ac:dyDescent="0.25">
      <c r="C696" s="267"/>
    </row>
    <row r="697" spans="3:3" ht="15.75" customHeight="1" x14ac:dyDescent="0.25">
      <c r="C697" s="267"/>
    </row>
    <row r="698" spans="3:3" ht="15.75" customHeight="1" x14ac:dyDescent="0.25">
      <c r="C698" s="267"/>
    </row>
    <row r="699" spans="3:3" ht="15.75" customHeight="1" x14ac:dyDescent="0.25">
      <c r="C699" s="267"/>
    </row>
    <row r="700" spans="3:3" ht="15.75" customHeight="1" x14ac:dyDescent="0.25">
      <c r="C700" s="267"/>
    </row>
    <row r="701" spans="3:3" ht="15.75" customHeight="1" x14ac:dyDescent="0.25">
      <c r="C701" s="267"/>
    </row>
    <row r="702" spans="3:3" ht="15.75" customHeight="1" x14ac:dyDescent="0.25">
      <c r="C702" s="267"/>
    </row>
    <row r="703" spans="3:3" ht="15.75" customHeight="1" x14ac:dyDescent="0.25">
      <c r="C703" s="267"/>
    </row>
    <row r="704" spans="3:3" ht="15.75" customHeight="1" x14ac:dyDescent="0.25">
      <c r="C704" s="267"/>
    </row>
    <row r="705" spans="3:3" ht="15.75" customHeight="1" x14ac:dyDescent="0.25">
      <c r="C705" s="267"/>
    </row>
    <row r="706" spans="3:3" ht="15.75" customHeight="1" x14ac:dyDescent="0.25">
      <c r="C706" s="267"/>
    </row>
    <row r="707" spans="3:3" ht="15.75" customHeight="1" x14ac:dyDescent="0.25">
      <c r="C707" s="267"/>
    </row>
    <row r="708" spans="3:3" ht="15.75" customHeight="1" x14ac:dyDescent="0.25">
      <c r="C708" s="267"/>
    </row>
    <row r="709" spans="3:3" ht="15.75" customHeight="1" x14ac:dyDescent="0.25">
      <c r="C709" s="267"/>
    </row>
    <row r="710" spans="3:3" ht="15.75" customHeight="1" x14ac:dyDescent="0.25">
      <c r="C710" s="267"/>
    </row>
    <row r="711" spans="3:3" ht="15.75" customHeight="1" x14ac:dyDescent="0.25">
      <c r="C711" s="267"/>
    </row>
    <row r="712" spans="3:3" ht="15.75" customHeight="1" x14ac:dyDescent="0.25">
      <c r="C712" s="267"/>
    </row>
    <row r="713" spans="3:3" ht="15.75" customHeight="1" x14ac:dyDescent="0.25">
      <c r="C713" s="267"/>
    </row>
    <row r="714" spans="3:3" ht="15.75" customHeight="1" x14ac:dyDescent="0.25">
      <c r="C714" s="267"/>
    </row>
    <row r="715" spans="3:3" ht="15.75" customHeight="1" x14ac:dyDescent="0.25">
      <c r="C715" s="267"/>
    </row>
    <row r="716" spans="3:3" ht="15.75" customHeight="1" x14ac:dyDescent="0.25">
      <c r="C716" s="267"/>
    </row>
    <row r="717" spans="3:3" ht="15.75" customHeight="1" x14ac:dyDescent="0.25">
      <c r="C717" s="267"/>
    </row>
    <row r="718" spans="3:3" ht="15.75" customHeight="1" x14ac:dyDescent="0.25">
      <c r="C718" s="267"/>
    </row>
    <row r="719" spans="3:3" ht="15.75" customHeight="1" x14ac:dyDescent="0.25">
      <c r="C719" s="267"/>
    </row>
    <row r="720" spans="3:3" ht="15.75" customHeight="1" x14ac:dyDescent="0.25">
      <c r="C720" s="267"/>
    </row>
    <row r="721" spans="3:3" ht="15.75" customHeight="1" x14ac:dyDescent="0.25">
      <c r="C721" s="267"/>
    </row>
    <row r="722" spans="3:3" ht="15.75" customHeight="1" x14ac:dyDescent="0.25">
      <c r="C722" s="267"/>
    </row>
    <row r="723" spans="3:3" ht="15.75" customHeight="1" x14ac:dyDescent="0.25">
      <c r="C723" s="267"/>
    </row>
    <row r="724" spans="3:3" ht="15.75" customHeight="1" x14ac:dyDescent="0.25">
      <c r="C724" s="267"/>
    </row>
    <row r="725" spans="3:3" ht="15.75" customHeight="1" x14ac:dyDescent="0.25">
      <c r="C725" s="267"/>
    </row>
    <row r="726" spans="3:3" ht="15.75" customHeight="1" x14ac:dyDescent="0.25">
      <c r="C726" s="267"/>
    </row>
    <row r="727" spans="3:3" ht="15.75" customHeight="1" x14ac:dyDescent="0.25">
      <c r="C727" s="267"/>
    </row>
    <row r="728" spans="3:3" ht="15.75" customHeight="1" x14ac:dyDescent="0.25">
      <c r="C728" s="267"/>
    </row>
    <row r="729" spans="3:3" ht="15.75" customHeight="1" x14ac:dyDescent="0.25">
      <c r="C729" s="267"/>
    </row>
    <row r="730" spans="3:3" ht="15.75" customHeight="1" x14ac:dyDescent="0.25">
      <c r="C730" s="267"/>
    </row>
    <row r="731" spans="3:3" ht="15.75" customHeight="1" x14ac:dyDescent="0.25">
      <c r="C731" s="267"/>
    </row>
    <row r="732" spans="3:3" ht="15.75" customHeight="1" x14ac:dyDescent="0.25">
      <c r="C732" s="267"/>
    </row>
    <row r="733" spans="3:3" ht="15.75" customHeight="1" x14ac:dyDescent="0.25">
      <c r="C733" s="267"/>
    </row>
    <row r="734" spans="3:3" ht="15.75" customHeight="1" x14ac:dyDescent="0.25">
      <c r="C734" s="267"/>
    </row>
    <row r="735" spans="3:3" ht="15.75" customHeight="1" x14ac:dyDescent="0.25">
      <c r="C735" s="267"/>
    </row>
    <row r="736" spans="3:3" ht="15.75" customHeight="1" x14ac:dyDescent="0.25">
      <c r="C736" s="267"/>
    </row>
    <row r="737" spans="3:3" ht="15.75" customHeight="1" x14ac:dyDescent="0.25">
      <c r="C737" s="267"/>
    </row>
    <row r="738" spans="3:3" ht="15.75" customHeight="1" x14ac:dyDescent="0.25">
      <c r="C738" s="267"/>
    </row>
    <row r="739" spans="3:3" ht="15.75" customHeight="1" x14ac:dyDescent="0.25">
      <c r="C739" s="267"/>
    </row>
    <row r="740" spans="3:3" ht="15.75" customHeight="1" x14ac:dyDescent="0.25">
      <c r="C740" s="267"/>
    </row>
    <row r="741" spans="3:3" ht="15.75" customHeight="1" x14ac:dyDescent="0.25">
      <c r="C741" s="267"/>
    </row>
    <row r="742" spans="3:3" ht="15.75" customHeight="1" x14ac:dyDescent="0.25">
      <c r="C742" s="267"/>
    </row>
    <row r="743" spans="3:3" ht="15.75" customHeight="1" x14ac:dyDescent="0.25">
      <c r="C743" s="267"/>
    </row>
    <row r="744" spans="3:3" ht="15.75" customHeight="1" x14ac:dyDescent="0.25">
      <c r="C744" s="267"/>
    </row>
    <row r="745" spans="3:3" ht="15.75" customHeight="1" x14ac:dyDescent="0.25">
      <c r="C745" s="267"/>
    </row>
    <row r="746" spans="3:3" ht="15.75" customHeight="1" x14ac:dyDescent="0.25">
      <c r="C746" s="267"/>
    </row>
    <row r="747" spans="3:3" ht="15.75" customHeight="1" x14ac:dyDescent="0.25">
      <c r="C747" s="267"/>
    </row>
    <row r="748" spans="3:3" ht="15.75" customHeight="1" x14ac:dyDescent="0.25">
      <c r="C748" s="267"/>
    </row>
    <row r="749" spans="3:3" ht="15.75" customHeight="1" x14ac:dyDescent="0.25">
      <c r="C749" s="267"/>
    </row>
    <row r="750" spans="3:3" ht="15.75" customHeight="1" x14ac:dyDescent="0.25">
      <c r="C750" s="267"/>
    </row>
    <row r="751" spans="3:3" ht="15.75" customHeight="1" x14ac:dyDescent="0.25">
      <c r="C751" s="267"/>
    </row>
    <row r="752" spans="3:3" ht="15.75" customHeight="1" x14ac:dyDescent="0.25">
      <c r="C752" s="267"/>
    </row>
    <row r="753" spans="3:3" ht="15.75" customHeight="1" x14ac:dyDescent="0.25">
      <c r="C753" s="267"/>
    </row>
    <row r="754" spans="3:3" ht="15.75" customHeight="1" x14ac:dyDescent="0.25">
      <c r="C754" s="267"/>
    </row>
    <row r="755" spans="3:3" ht="15.75" customHeight="1" x14ac:dyDescent="0.25">
      <c r="C755" s="267"/>
    </row>
    <row r="756" spans="3:3" ht="15.75" customHeight="1" x14ac:dyDescent="0.25">
      <c r="C756" s="267"/>
    </row>
    <row r="757" spans="3:3" ht="15.75" customHeight="1" x14ac:dyDescent="0.25">
      <c r="C757" s="267"/>
    </row>
    <row r="758" spans="3:3" ht="15.75" customHeight="1" x14ac:dyDescent="0.25">
      <c r="C758" s="267"/>
    </row>
    <row r="759" spans="3:3" ht="15.75" customHeight="1" x14ac:dyDescent="0.25">
      <c r="C759" s="267"/>
    </row>
    <row r="760" spans="3:3" ht="15.75" customHeight="1" x14ac:dyDescent="0.25">
      <c r="C760" s="267"/>
    </row>
    <row r="761" spans="3:3" ht="15.75" customHeight="1" x14ac:dyDescent="0.25">
      <c r="C761" s="267"/>
    </row>
    <row r="762" spans="3:3" ht="15.75" customHeight="1" x14ac:dyDescent="0.25">
      <c r="C762" s="267"/>
    </row>
    <row r="763" spans="3:3" ht="15.75" customHeight="1" x14ac:dyDescent="0.25">
      <c r="C763" s="267"/>
    </row>
    <row r="764" spans="3:3" ht="15.75" customHeight="1" x14ac:dyDescent="0.25">
      <c r="C764" s="267"/>
    </row>
    <row r="765" spans="3:3" ht="15.75" customHeight="1" x14ac:dyDescent="0.25">
      <c r="C765" s="267"/>
    </row>
    <row r="766" spans="3:3" ht="15.75" customHeight="1" x14ac:dyDescent="0.25">
      <c r="C766" s="267"/>
    </row>
    <row r="767" spans="3:3" ht="15.75" customHeight="1" x14ac:dyDescent="0.25">
      <c r="C767" s="267"/>
    </row>
    <row r="768" spans="3:3" ht="15.75" customHeight="1" x14ac:dyDescent="0.25">
      <c r="C768" s="267"/>
    </row>
    <row r="769" spans="3:3" ht="15.75" customHeight="1" x14ac:dyDescent="0.25">
      <c r="C769" s="267"/>
    </row>
    <row r="770" spans="3:3" ht="15.75" customHeight="1" x14ac:dyDescent="0.25">
      <c r="C770" s="267"/>
    </row>
    <row r="771" spans="3:3" ht="15.75" customHeight="1" x14ac:dyDescent="0.25">
      <c r="C771" s="267"/>
    </row>
    <row r="772" spans="3:3" ht="15.75" customHeight="1" x14ac:dyDescent="0.25">
      <c r="C772" s="267"/>
    </row>
    <row r="773" spans="3:3" ht="15.75" customHeight="1" x14ac:dyDescent="0.25">
      <c r="C773" s="267"/>
    </row>
    <row r="774" spans="3:3" ht="15.75" customHeight="1" x14ac:dyDescent="0.25">
      <c r="C774" s="267"/>
    </row>
    <row r="775" spans="3:3" ht="15.75" customHeight="1" x14ac:dyDescent="0.25">
      <c r="C775" s="267"/>
    </row>
    <row r="776" spans="3:3" ht="15.75" customHeight="1" x14ac:dyDescent="0.25">
      <c r="C776" s="267"/>
    </row>
    <row r="777" spans="3:3" ht="15.75" customHeight="1" x14ac:dyDescent="0.25">
      <c r="C777" s="267"/>
    </row>
    <row r="778" spans="3:3" ht="15.75" customHeight="1" x14ac:dyDescent="0.25">
      <c r="C778" s="267"/>
    </row>
    <row r="779" spans="3:3" ht="15.75" customHeight="1" x14ac:dyDescent="0.25">
      <c r="C779" s="267"/>
    </row>
    <row r="780" spans="3:3" ht="15.75" customHeight="1" x14ac:dyDescent="0.25">
      <c r="C780" s="267"/>
    </row>
    <row r="781" spans="3:3" ht="15.75" customHeight="1" x14ac:dyDescent="0.25">
      <c r="C781" s="267"/>
    </row>
    <row r="782" spans="3:3" ht="15.75" customHeight="1" x14ac:dyDescent="0.25">
      <c r="C782" s="267"/>
    </row>
    <row r="783" spans="3:3" ht="15.75" customHeight="1" x14ac:dyDescent="0.25">
      <c r="C783" s="267"/>
    </row>
    <row r="784" spans="3:3" ht="15.75" customHeight="1" x14ac:dyDescent="0.25">
      <c r="C784" s="267"/>
    </row>
    <row r="785" spans="3:3" ht="15.75" customHeight="1" x14ac:dyDescent="0.25">
      <c r="C785" s="267"/>
    </row>
    <row r="786" spans="3:3" ht="15.75" customHeight="1" x14ac:dyDescent="0.25">
      <c r="C786" s="267"/>
    </row>
    <row r="787" spans="3:3" ht="15.75" customHeight="1" x14ac:dyDescent="0.25">
      <c r="C787" s="267"/>
    </row>
    <row r="788" spans="3:3" ht="15.75" customHeight="1" x14ac:dyDescent="0.25">
      <c r="C788" s="267"/>
    </row>
    <row r="789" spans="3:3" ht="15.75" customHeight="1" x14ac:dyDescent="0.25">
      <c r="C789" s="267"/>
    </row>
    <row r="790" spans="3:3" ht="15.75" customHeight="1" x14ac:dyDescent="0.25">
      <c r="C790" s="267"/>
    </row>
    <row r="791" spans="3:3" ht="15.75" customHeight="1" x14ac:dyDescent="0.25">
      <c r="C791" s="267"/>
    </row>
    <row r="792" spans="3:3" ht="15.75" customHeight="1" x14ac:dyDescent="0.25">
      <c r="C792" s="267"/>
    </row>
    <row r="793" spans="3:3" ht="15.75" customHeight="1" x14ac:dyDescent="0.25">
      <c r="C793" s="267"/>
    </row>
    <row r="794" spans="3:3" ht="15.75" customHeight="1" x14ac:dyDescent="0.25">
      <c r="C794" s="267"/>
    </row>
    <row r="795" spans="3:3" ht="15.75" customHeight="1" x14ac:dyDescent="0.25">
      <c r="C795" s="267"/>
    </row>
    <row r="796" spans="3:3" ht="15.75" customHeight="1" x14ac:dyDescent="0.25">
      <c r="C796" s="267"/>
    </row>
    <row r="797" spans="3:3" ht="15.75" customHeight="1" x14ac:dyDescent="0.25">
      <c r="C797" s="267"/>
    </row>
    <row r="798" spans="3:3" ht="15.75" customHeight="1" x14ac:dyDescent="0.25">
      <c r="C798" s="267"/>
    </row>
    <row r="799" spans="3:3" ht="15.75" customHeight="1" x14ac:dyDescent="0.25">
      <c r="C799" s="267"/>
    </row>
    <row r="800" spans="3:3" ht="15.75" customHeight="1" x14ac:dyDescent="0.25">
      <c r="C800" s="267"/>
    </row>
    <row r="801" spans="3:3" ht="15.75" customHeight="1" x14ac:dyDescent="0.25">
      <c r="C801" s="267"/>
    </row>
    <row r="802" spans="3:3" ht="15.75" customHeight="1" x14ac:dyDescent="0.25">
      <c r="C802" s="267"/>
    </row>
    <row r="803" spans="3:3" ht="15.75" customHeight="1" x14ac:dyDescent="0.25">
      <c r="C803" s="267"/>
    </row>
    <row r="804" spans="3:3" ht="15.75" customHeight="1" x14ac:dyDescent="0.25">
      <c r="C804" s="267"/>
    </row>
    <row r="805" spans="3:3" ht="15.75" customHeight="1" x14ac:dyDescent="0.25">
      <c r="C805" s="267"/>
    </row>
    <row r="806" spans="3:3" ht="15.75" customHeight="1" x14ac:dyDescent="0.25">
      <c r="C806" s="267"/>
    </row>
    <row r="807" spans="3:3" ht="15.75" customHeight="1" x14ac:dyDescent="0.25">
      <c r="C807" s="267"/>
    </row>
    <row r="808" spans="3:3" ht="15.75" customHeight="1" x14ac:dyDescent="0.25">
      <c r="C808" s="267"/>
    </row>
    <row r="809" spans="3:3" ht="15.75" customHeight="1" x14ac:dyDescent="0.25">
      <c r="C809" s="267"/>
    </row>
    <row r="810" spans="3:3" ht="15.75" customHeight="1" x14ac:dyDescent="0.25">
      <c r="C810" s="267"/>
    </row>
    <row r="811" spans="3:3" ht="15.75" customHeight="1" x14ac:dyDescent="0.25">
      <c r="C811" s="267"/>
    </row>
    <row r="812" spans="3:3" ht="15.75" customHeight="1" x14ac:dyDescent="0.25">
      <c r="C812" s="267"/>
    </row>
    <row r="813" spans="3:3" ht="15.75" customHeight="1" x14ac:dyDescent="0.25">
      <c r="C813" s="267"/>
    </row>
    <row r="814" spans="3:3" ht="15.75" customHeight="1" x14ac:dyDescent="0.25">
      <c r="C814" s="267"/>
    </row>
    <row r="815" spans="3:3" ht="15.75" customHeight="1" x14ac:dyDescent="0.25">
      <c r="C815" s="267"/>
    </row>
    <row r="816" spans="3:3" ht="15.75" customHeight="1" x14ac:dyDescent="0.25">
      <c r="C816" s="267"/>
    </row>
    <row r="817" spans="3:3" ht="15.75" customHeight="1" x14ac:dyDescent="0.25">
      <c r="C817" s="267"/>
    </row>
    <row r="818" spans="3:3" ht="15.75" customHeight="1" x14ac:dyDescent="0.25">
      <c r="C818" s="267"/>
    </row>
    <row r="819" spans="3:3" ht="15.75" customHeight="1" x14ac:dyDescent="0.25">
      <c r="C819" s="267"/>
    </row>
    <row r="820" spans="3:3" ht="15.75" customHeight="1" x14ac:dyDescent="0.25">
      <c r="C820" s="267"/>
    </row>
    <row r="821" spans="3:3" ht="15.75" customHeight="1" x14ac:dyDescent="0.25">
      <c r="C821" s="267"/>
    </row>
    <row r="822" spans="3:3" ht="15.75" customHeight="1" x14ac:dyDescent="0.25">
      <c r="C822" s="267"/>
    </row>
    <row r="823" spans="3:3" ht="15.75" customHeight="1" x14ac:dyDescent="0.25">
      <c r="C823" s="267"/>
    </row>
    <row r="824" spans="3:3" ht="15.75" customHeight="1" x14ac:dyDescent="0.25">
      <c r="C824" s="267"/>
    </row>
    <row r="825" spans="3:3" ht="15.75" customHeight="1" x14ac:dyDescent="0.25">
      <c r="C825" s="267"/>
    </row>
    <row r="826" spans="3:3" ht="15.75" customHeight="1" x14ac:dyDescent="0.25">
      <c r="C826" s="267"/>
    </row>
    <row r="827" spans="3:3" ht="15.75" customHeight="1" x14ac:dyDescent="0.25">
      <c r="C827" s="267"/>
    </row>
    <row r="828" spans="3:3" ht="15.75" customHeight="1" x14ac:dyDescent="0.25">
      <c r="C828" s="267"/>
    </row>
    <row r="829" spans="3:3" ht="15.75" customHeight="1" x14ac:dyDescent="0.25">
      <c r="C829" s="267"/>
    </row>
    <row r="830" spans="3:3" ht="15.75" customHeight="1" x14ac:dyDescent="0.25">
      <c r="C830" s="267"/>
    </row>
    <row r="831" spans="3:3" ht="15.75" customHeight="1" x14ac:dyDescent="0.25">
      <c r="C831" s="267"/>
    </row>
    <row r="832" spans="3:3" ht="15.75" customHeight="1" x14ac:dyDescent="0.25">
      <c r="C832" s="267"/>
    </row>
    <row r="833" spans="3:3" ht="15.75" customHeight="1" x14ac:dyDescent="0.25">
      <c r="C833" s="267"/>
    </row>
    <row r="834" spans="3:3" ht="15.75" customHeight="1" x14ac:dyDescent="0.25">
      <c r="C834" s="267"/>
    </row>
    <row r="835" spans="3:3" ht="15.75" customHeight="1" x14ac:dyDescent="0.25">
      <c r="C835" s="267"/>
    </row>
    <row r="836" spans="3:3" ht="15.75" customHeight="1" x14ac:dyDescent="0.25">
      <c r="C836" s="267"/>
    </row>
    <row r="837" spans="3:3" ht="15.75" customHeight="1" x14ac:dyDescent="0.25">
      <c r="C837" s="267"/>
    </row>
    <row r="838" spans="3:3" ht="15.75" customHeight="1" x14ac:dyDescent="0.25">
      <c r="C838" s="267"/>
    </row>
    <row r="839" spans="3:3" ht="15.75" customHeight="1" x14ac:dyDescent="0.25">
      <c r="C839" s="267"/>
    </row>
    <row r="840" spans="3:3" ht="15.75" customHeight="1" x14ac:dyDescent="0.25">
      <c r="C840" s="267"/>
    </row>
    <row r="841" spans="3:3" ht="15.75" customHeight="1" x14ac:dyDescent="0.25">
      <c r="C841" s="267"/>
    </row>
    <row r="842" spans="3:3" ht="15.75" customHeight="1" x14ac:dyDescent="0.25">
      <c r="C842" s="267"/>
    </row>
    <row r="843" spans="3:3" ht="15.75" customHeight="1" x14ac:dyDescent="0.25">
      <c r="C843" s="267"/>
    </row>
    <row r="844" spans="3:3" ht="15.75" customHeight="1" x14ac:dyDescent="0.25">
      <c r="C844" s="267"/>
    </row>
    <row r="845" spans="3:3" ht="15.75" customHeight="1" x14ac:dyDescent="0.25">
      <c r="C845" s="267"/>
    </row>
    <row r="846" spans="3:3" ht="15.75" customHeight="1" x14ac:dyDescent="0.25">
      <c r="C846" s="267"/>
    </row>
    <row r="847" spans="3:3" ht="15.75" customHeight="1" x14ac:dyDescent="0.25">
      <c r="C847" s="267"/>
    </row>
    <row r="848" spans="3:3" ht="15.75" customHeight="1" x14ac:dyDescent="0.25">
      <c r="C848" s="267"/>
    </row>
    <row r="849" spans="3:3" ht="15.75" customHeight="1" x14ac:dyDescent="0.25">
      <c r="C849" s="267"/>
    </row>
    <row r="850" spans="3:3" ht="15.75" customHeight="1" x14ac:dyDescent="0.25">
      <c r="C850" s="267"/>
    </row>
    <row r="851" spans="3:3" ht="15.75" customHeight="1" x14ac:dyDescent="0.25">
      <c r="C851" s="267"/>
    </row>
    <row r="852" spans="3:3" ht="15.75" customHeight="1" x14ac:dyDescent="0.25">
      <c r="C852" s="267"/>
    </row>
    <row r="853" spans="3:3" ht="15.75" customHeight="1" x14ac:dyDescent="0.25">
      <c r="C853" s="267"/>
    </row>
    <row r="854" spans="3:3" ht="15.75" customHeight="1" x14ac:dyDescent="0.25">
      <c r="C854" s="267"/>
    </row>
    <row r="855" spans="3:3" ht="15.75" customHeight="1" x14ac:dyDescent="0.25">
      <c r="C855" s="267"/>
    </row>
    <row r="856" spans="3:3" ht="15.75" customHeight="1" x14ac:dyDescent="0.25">
      <c r="C856" s="267"/>
    </row>
    <row r="857" spans="3:3" ht="15.75" customHeight="1" x14ac:dyDescent="0.25">
      <c r="C857" s="267"/>
    </row>
    <row r="858" spans="3:3" ht="15.75" customHeight="1" x14ac:dyDescent="0.25">
      <c r="C858" s="267"/>
    </row>
    <row r="859" spans="3:3" ht="15.75" customHeight="1" x14ac:dyDescent="0.25">
      <c r="C859" s="267"/>
    </row>
    <row r="860" spans="3:3" ht="15.75" customHeight="1" x14ac:dyDescent="0.25">
      <c r="C860" s="267"/>
    </row>
    <row r="861" spans="3:3" ht="15.75" customHeight="1" x14ac:dyDescent="0.25">
      <c r="C861" s="267"/>
    </row>
    <row r="862" spans="3:3" ht="15.75" customHeight="1" x14ac:dyDescent="0.25">
      <c r="C862" s="267"/>
    </row>
    <row r="863" spans="3:3" ht="15.75" customHeight="1" x14ac:dyDescent="0.25">
      <c r="C863" s="267"/>
    </row>
    <row r="864" spans="3:3" ht="15.75" customHeight="1" x14ac:dyDescent="0.25">
      <c r="C864" s="267"/>
    </row>
    <row r="865" spans="3:3" ht="15.75" customHeight="1" x14ac:dyDescent="0.25">
      <c r="C865" s="267"/>
    </row>
    <row r="866" spans="3:3" ht="15.75" customHeight="1" x14ac:dyDescent="0.25">
      <c r="C866" s="267"/>
    </row>
    <row r="867" spans="3:3" ht="15.75" customHeight="1" x14ac:dyDescent="0.25">
      <c r="C867" s="267"/>
    </row>
    <row r="868" spans="3:3" ht="15.75" customHeight="1" x14ac:dyDescent="0.25">
      <c r="C868" s="267"/>
    </row>
    <row r="869" spans="3:3" ht="15.75" customHeight="1" x14ac:dyDescent="0.25">
      <c r="C869" s="267"/>
    </row>
    <row r="870" spans="3:3" ht="15.75" customHeight="1" x14ac:dyDescent="0.25">
      <c r="C870" s="267"/>
    </row>
    <row r="871" spans="3:3" ht="15.75" customHeight="1" x14ac:dyDescent="0.25">
      <c r="C871" s="267"/>
    </row>
    <row r="872" spans="3:3" ht="15.75" customHeight="1" x14ac:dyDescent="0.25">
      <c r="C872" s="267"/>
    </row>
    <row r="873" spans="3:3" ht="15.75" customHeight="1" x14ac:dyDescent="0.25">
      <c r="C873" s="267"/>
    </row>
    <row r="874" spans="3:3" ht="15.75" customHeight="1" x14ac:dyDescent="0.25">
      <c r="C874" s="267"/>
    </row>
    <row r="875" spans="3:3" ht="15.75" customHeight="1" x14ac:dyDescent="0.25">
      <c r="C875" s="267"/>
    </row>
    <row r="876" spans="3:3" ht="15.75" customHeight="1" x14ac:dyDescent="0.25">
      <c r="C876" s="267"/>
    </row>
    <row r="877" spans="3:3" ht="15.75" customHeight="1" x14ac:dyDescent="0.25">
      <c r="C877" s="267"/>
    </row>
    <row r="878" spans="3:3" ht="15.75" customHeight="1" x14ac:dyDescent="0.25">
      <c r="C878" s="267"/>
    </row>
    <row r="879" spans="3:3" ht="15.75" customHeight="1" x14ac:dyDescent="0.25">
      <c r="C879" s="267"/>
    </row>
    <row r="880" spans="3:3" ht="15.75" customHeight="1" x14ac:dyDescent="0.25">
      <c r="C880" s="267"/>
    </row>
    <row r="881" spans="3:3" ht="15.75" customHeight="1" x14ac:dyDescent="0.25">
      <c r="C881" s="267"/>
    </row>
    <row r="882" spans="3:3" ht="15.75" customHeight="1" x14ac:dyDescent="0.25">
      <c r="C882" s="267"/>
    </row>
    <row r="883" spans="3:3" ht="15.75" customHeight="1" x14ac:dyDescent="0.25">
      <c r="C883" s="267"/>
    </row>
    <row r="884" spans="3:3" ht="15.75" customHeight="1" x14ac:dyDescent="0.25">
      <c r="C884" s="267"/>
    </row>
    <row r="885" spans="3:3" ht="15.75" customHeight="1" x14ac:dyDescent="0.25">
      <c r="C885" s="267"/>
    </row>
    <row r="886" spans="3:3" ht="15.75" customHeight="1" x14ac:dyDescent="0.25">
      <c r="C886" s="267"/>
    </row>
    <row r="887" spans="3:3" ht="15.75" customHeight="1" x14ac:dyDescent="0.25">
      <c r="C887" s="267"/>
    </row>
    <row r="888" spans="3:3" ht="15.75" customHeight="1" x14ac:dyDescent="0.25">
      <c r="C888" s="267"/>
    </row>
    <row r="889" spans="3:3" ht="15.75" customHeight="1" x14ac:dyDescent="0.25">
      <c r="C889" s="267"/>
    </row>
    <row r="890" spans="3:3" ht="15.75" customHeight="1" x14ac:dyDescent="0.25">
      <c r="C890" s="267"/>
    </row>
    <row r="891" spans="3:3" ht="15.75" customHeight="1" x14ac:dyDescent="0.25">
      <c r="C891" s="267"/>
    </row>
    <row r="892" spans="3:3" ht="15.75" customHeight="1" x14ac:dyDescent="0.25">
      <c r="C892" s="267"/>
    </row>
    <row r="893" spans="3:3" ht="15.75" customHeight="1" x14ac:dyDescent="0.25">
      <c r="C893" s="267"/>
    </row>
    <row r="894" spans="3:3" ht="15.75" customHeight="1" x14ac:dyDescent="0.25">
      <c r="C894" s="267"/>
    </row>
    <row r="895" spans="3:3" ht="15.75" customHeight="1" x14ac:dyDescent="0.25">
      <c r="C895" s="267"/>
    </row>
    <row r="896" spans="3:3" ht="15.75" customHeight="1" x14ac:dyDescent="0.25">
      <c r="C896" s="267"/>
    </row>
    <row r="897" spans="3:3" ht="15.75" customHeight="1" x14ac:dyDescent="0.25">
      <c r="C897" s="267"/>
    </row>
    <row r="898" spans="3:3" ht="15.75" customHeight="1" x14ac:dyDescent="0.25">
      <c r="C898" s="267"/>
    </row>
    <row r="899" spans="3:3" ht="15.75" customHeight="1" x14ac:dyDescent="0.25">
      <c r="C899" s="267"/>
    </row>
    <row r="900" spans="3:3" ht="15.75" customHeight="1" x14ac:dyDescent="0.25">
      <c r="C900" s="267"/>
    </row>
    <row r="901" spans="3:3" ht="15.75" customHeight="1" x14ac:dyDescent="0.25">
      <c r="C901" s="267"/>
    </row>
    <row r="902" spans="3:3" ht="15.75" customHeight="1" x14ac:dyDescent="0.25">
      <c r="C902" s="267"/>
    </row>
    <row r="903" spans="3:3" ht="15.75" customHeight="1" x14ac:dyDescent="0.25">
      <c r="C903" s="267"/>
    </row>
    <row r="904" spans="3:3" ht="15.75" customHeight="1" x14ac:dyDescent="0.25">
      <c r="C904" s="267"/>
    </row>
    <row r="905" spans="3:3" ht="15.75" customHeight="1" x14ac:dyDescent="0.25">
      <c r="C905" s="267"/>
    </row>
    <row r="906" spans="3:3" ht="15.75" customHeight="1" x14ac:dyDescent="0.25">
      <c r="C906" s="267"/>
    </row>
    <row r="907" spans="3:3" ht="15.75" customHeight="1" x14ac:dyDescent="0.25">
      <c r="C907" s="267"/>
    </row>
    <row r="908" spans="3:3" ht="15.75" customHeight="1" x14ac:dyDescent="0.25">
      <c r="C908" s="267"/>
    </row>
    <row r="909" spans="3:3" ht="15.75" customHeight="1" x14ac:dyDescent="0.25">
      <c r="C909" s="267"/>
    </row>
    <row r="910" spans="3:3" ht="15.75" customHeight="1" x14ac:dyDescent="0.25">
      <c r="C910" s="267"/>
    </row>
    <row r="911" spans="3:3" ht="15.75" customHeight="1" x14ac:dyDescent="0.25">
      <c r="C911" s="267"/>
    </row>
    <row r="912" spans="3:3" ht="15.75" customHeight="1" x14ac:dyDescent="0.25">
      <c r="C912" s="267"/>
    </row>
    <row r="913" spans="3:3" ht="15.75" customHeight="1" x14ac:dyDescent="0.25">
      <c r="C913" s="267"/>
    </row>
    <row r="914" spans="3:3" ht="15.75" customHeight="1" x14ac:dyDescent="0.25">
      <c r="C914" s="267"/>
    </row>
    <row r="915" spans="3:3" ht="15.75" customHeight="1" x14ac:dyDescent="0.25">
      <c r="C915" s="267"/>
    </row>
    <row r="916" spans="3:3" ht="15.75" customHeight="1" x14ac:dyDescent="0.25">
      <c r="C916" s="267"/>
    </row>
    <row r="917" spans="3:3" ht="15.75" customHeight="1" x14ac:dyDescent="0.25">
      <c r="C917" s="267"/>
    </row>
    <row r="918" spans="3:3" ht="15.75" customHeight="1" x14ac:dyDescent="0.25">
      <c r="C918" s="267"/>
    </row>
    <row r="919" spans="3:3" ht="15.75" customHeight="1" x14ac:dyDescent="0.25">
      <c r="C919" s="267"/>
    </row>
    <row r="920" spans="3:3" ht="15.75" customHeight="1" x14ac:dyDescent="0.25">
      <c r="C920" s="267"/>
    </row>
    <row r="921" spans="3:3" ht="15.75" customHeight="1" x14ac:dyDescent="0.25">
      <c r="C921" s="267"/>
    </row>
    <row r="922" spans="3:3" ht="15.75" customHeight="1" x14ac:dyDescent="0.25">
      <c r="C922" s="267"/>
    </row>
    <row r="923" spans="3:3" ht="15.75" customHeight="1" x14ac:dyDescent="0.25">
      <c r="C923" s="267"/>
    </row>
    <row r="924" spans="3:3" ht="15.75" customHeight="1" x14ac:dyDescent="0.25">
      <c r="C924" s="267"/>
    </row>
    <row r="925" spans="3:3" ht="15.75" customHeight="1" x14ac:dyDescent="0.25">
      <c r="C925" s="267"/>
    </row>
  </sheetData>
  <mergeCells count="8">
    <mergeCell ref="AB1:AD1"/>
    <mergeCell ref="AC46:AF46"/>
    <mergeCell ref="C63:I63"/>
    <mergeCell ref="J63:X63"/>
    <mergeCell ref="R64:X64"/>
    <mergeCell ref="C1:I1"/>
    <mergeCell ref="J1:U1"/>
    <mergeCell ref="V1:AA1"/>
  </mergeCells>
  <conditionalFormatting sqref="AI13">
    <cfRule type="containsText" dxfId="75" priority="1" operator="containsText" text="Alta">
      <formula>NOT(ISERROR(SEARCH(("Alta"),(AI13))))</formula>
    </cfRule>
  </conditionalFormatting>
  <conditionalFormatting sqref="AI13">
    <cfRule type="containsText" dxfId="74" priority="2" operator="containsText" text="Media">
      <formula>NOT(ISERROR(SEARCH(("Media"),(AI13))))</formula>
    </cfRule>
  </conditionalFormatting>
  <conditionalFormatting sqref="AI13">
    <cfRule type="containsText" dxfId="73" priority="3" operator="containsText" text="Baja">
      <formula>NOT(ISERROR(SEARCH(("Baja"),(AI13))))</formula>
    </cfRule>
  </conditionalFormatting>
  <conditionalFormatting sqref="AZ4:BA4 AZ52:BA80">
    <cfRule type="cellIs" dxfId="72" priority="4" operator="lessThan">
      <formula>0</formula>
    </cfRule>
  </conditionalFormatting>
  <conditionalFormatting sqref="AZ4:BA4 AZ52:BA80">
    <cfRule type="cellIs" dxfId="71" priority="5" operator="greaterThan">
      <formula>0</formula>
    </cfRule>
  </conditionalFormatting>
  <conditionalFormatting sqref="P6:P40 P65:P97">
    <cfRule type="cellIs" dxfId="70" priority="6" operator="lessThan">
      <formula>0</formula>
    </cfRule>
  </conditionalFormatting>
  <conditionalFormatting sqref="P6:P40 P65:P97">
    <cfRule type="cellIs" dxfId="69" priority="7" operator="greaterThan">
      <formula>0</formula>
    </cfRule>
  </conditionalFormatting>
  <conditionalFormatting sqref="O6:O40 O65:O97">
    <cfRule type="cellIs" dxfId="68" priority="8" operator="greaterThan">
      <formula>0</formula>
    </cfRule>
  </conditionalFormatting>
  <conditionalFormatting sqref="O6:O40 O65:O97">
    <cfRule type="cellIs" dxfId="67" priority="9" operator="lessThanOrEqual">
      <formula>0</formula>
    </cfRule>
  </conditionalFormatting>
  <conditionalFormatting sqref="AC3:AD3 AC5:AD5 AC7:AD40">
    <cfRule type="cellIs" dxfId="66" priority="10" operator="equal">
      <formula>"Alcista"</formula>
    </cfRule>
  </conditionalFormatting>
  <conditionalFormatting sqref="AC3:AD3 AC5:AD5 AC7:AD40">
    <cfRule type="cellIs" dxfId="65" priority="11" operator="equal">
      <formula>"Neutral"</formula>
    </cfRule>
  </conditionalFormatting>
  <conditionalFormatting sqref="AC3:AD3 AC5:AD5 AC7:AD40">
    <cfRule type="cellIs" dxfId="64" priority="12" operator="equal">
      <formula>"Bajista"</formula>
    </cfRule>
  </conditionalFormatting>
  <conditionalFormatting sqref="AG3 AG5 AG7:AG40">
    <cfRule type="cellIs" dxfId="63" priority="13" operator="equal">
      <formula>"Baja"</formula>
    </cfRule>
  </conditionalFormatting>
  <conditionalFormatting sqref="AG3 AG5 AG7:AG40">
    <cfRule type="cellIs" dxfId="62" priority="14" operator="equal">
      <formula>"Media"</formula>
    </cfRule>
  </conditionalFormatting>
  <conditionalFormatting sqref="AG3 AG5 AG7:AG40">
    <cfRule type="cellIs" dxfId="61" priority="15" operator="equal">
      <formula>"Alta"</formula>
    </cfRule>
  </conditionalFormatting>
  <conditionalFormatting sqref="AE3:AE40">
    <cfRule type="cellIs" dxfId="60" priority="16" operator="equal">
      <formula>"Futuro líder"</formula>
    </cfRule>
  </conditionalFormatting>
  <conditionalFormatting sqref="AE3:AE40">
    <cfRule type="cellIs" dxfId="59" priority="17" operator="equal">
      <formula>"Oportunidad CP"</formula>
    </cfRule>
  </conditionalFormatting>
  <conditionalFormatting sqref="AE3:AE40">
    <cfRule type="cellIs" dxfId="58" priority="18" operator="equal">
      <formula>"Líder global"</formula>
    </cfRule>
  </conditionalFormatting>
  <conditionalFormatting sqref="AE3:AE40">
    <cfRule type="cellIs" dxfId="57" priority="19" operator="equal">
      <formula>"Atractiva MP"</formula>
    </cfRule>
  </conditionalFormatting>
  <conditionalFormatting sqref="AE3:AE40">
    <cfRule type="cellIs" dxfId="56" priority="20" operator="equal">
      <formula>"Alternativo"</formula>
    </cfRule>
  </conditionalFormatting>
  <conditionalFormatting sqref="AE3:AE40">
    <cfRule type="cellIs" dxfId="55" priority="21" operator="equal">
      <formula>"Alta Calidad"</formula>
    </cfRule>
  </conditionalFormatting>
  <conditionalFormatting sqref="AF3:AG3 AF5:AG5 AF7:AG40">
    <cfRule type="cellIs" dxfId="54" priority="22" operator="equal">
      <formula>"Core"</formula>
    </cfRule>
  </conditionalFormatting>
  <conditionalFormatting sqref="AF3:AG3 AF5:AG5 AF7:AG40">
    <cfRule type="cellIs" dxfId="53" priority="23" operator="equal">
      <formula>"Satellite"</formula>
    </cfRule>
  </conditionalFormatting>
  <conditionalFormatting sqref="AB3 AG3:AI3 AG5:AI5 AG7:AI40 AB7:AB40 AB5 AC23:AC40">
    <cfRule type="cellIs" dxfId="52" priority="24" operator="equal">
      <formula>"Atractivo"</formula>
    </cfRule>
  </conditionalFormatting>
  <conditionalFormatting sqref="AB3 AG3:AI3 AG5:AI5 AG7:AI40 AB7:AB40 AB5 AC23:AC40">
    <cfRule type="cellIs" dxfId="51" priority="25" operator="equal">
      <formula>"Neutral"</formula>
    </cfRule>
  </conditionalFormatting>
  <conditionalFormatting sqref="AB3 AG3:AI3 AG5:AI5 AG7:AI40 AB7:AB40 AB5 AC23:AC40">
    <cfRule type="cellIs" dxfId="50" priority="26" operator="equal">
      <formula>"Esperar"</formula>
    </cfRule>
  </conditionalFormatting>
  <conditionalFormatting sqref="AD25 AD23 AD27 AD29 AD31 AD33:AD37 AD39">
    <cfRule type="colorScale" priority="27">
      <colorScale>
        <cfvo type="min"/>
        <cfvo type="percentile" val="50"/>
        <cfvo type="max"/>
        <color rgb="FF57BB8A"/>
        <color rgb="FFFFFFFF"/>
        <color rgb="FFE67C73"/>
      </colorScale>
    </cfRule>
  </conditionalFormatting>
  <conditionalFormatting sqref="O3 O5 O7 O9 O11 O13 O15 O17 O19 O21 O23 O25 O27 O29 O31 O33:O37 O39 O65:O97">
    <cfRule type="cellIs" dxfId="49" priority="28" operator="greaterThan">
      <formula>0</formula>
    </cfRule>
  </conditionalFormatting>
  <conditionalFormatting sqref="O3 O5 O7 O9 O11 O13 O15 O17 O19 O21 O23 O25 O27 O29 O31 O33:O37 O39 O65:O97">
    <cfRule type="cellIs" dxfId="48" priority="29" operator="lessThanOrEqual">
      <formula>0</formula>
    </cfRule>
  </conditionalFormatting>
  <conditionalFormatting sqref="P3 V3:AA40 P5 P7 P9 P11 P13 P15 P17 P19 P21 P23 P25 P27 P29 P31 P33:P37 P39 D48:O50 P65:P97">
    <cfRule type="cellIs" dxfId="47" priority="30" operator="greaterThan">
      <formula>0</formula>
    </cfRule>
  </conditionalFormatting>
  <conditionalFormatting sqref="P3 V3:AA40 P5 P7 P9 P11 P13 P15 P17 P19 P21 P23 P25 P27 P29 P31 P33:P37 P39 D48:O50 P65:P97">
    <cfRule type="cellIs" dxfId="46" priority="31" operator="lessThanOrEqual">
      <formula>0</formula>
    </cfRule>
  </conditionalFormatting>
  <conditionalFormatting sqref="S3:S40">
    <cfRule type="colorScale" priority="32">
      <colorScale>
        <cfvo type="min"/>
        <cfvo type="percentile" val="50"/>
        <cfvo type="max"/>
        <color rgb="FF57BB8A"/>
        <color rgb="FFFFFFFF"/>
        <color rgb="FFE67C73"/>
      </colorScale>
    </cfRule>
  </conditionalFormatting>
  <conditionalFormatting sqref="U3:U40">
    <cfRule type="colorScale" priority="33">
      <colorScale>
        <cfvo type="min"/>
        <cfvo type="max"/>
        <color rgb="FFE67C73"/>
        <color rgb="FFFFFFFF"/>
      </colorScale>
    </cfRule>
  </conditionalFormatting>
  <conditionalFormatting sqref="AE48:AE62">
    <cfRule type="colorScale" priority="34">
      <colorScale>
        <cfvo type="min"/>
        <cfvo type="percentile" val="50"/>
        <cfvo type="max"/>
        <color rgb="FFE67C73"/>
        <color rgb="FFFFFFFF"/>
        <color rgb="FF57BB8A"/>
      </colorScale>
    </cfRule>
  </conditionalFormatting>
  <conditionalFormatting sqref="AF48:AF58">
    <cfRule type="colorScale" priority="35">
      <colorScale>
        <cfvo type="min"/>
        <cfvo type="percentile" val="50"/>
        <cfvo type="max"/>
        <color rgb="FFE67C73"/>
        <color rgb="FFFFFFFF"/>
        <color rgb="FF57BB8A"/>
      </colorScale>
    </cfRule>
  </conditionalFormatting>
  <pageMargins left="0.7" right="0.7" top="0.75" bottom="0.75" header="0" footer="0"/>
  <pageSetup orientation="landscape"/>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V952"/>
  <sheetViews>
    <sheetView workbookViewId="0">
      <pane xSplit="2" ySplit="2" topLeftCell="C45" activePane="bottomRight" state="frozen"/>
      <selection pane="topRight" activeCell="C1" sqref="C1"/>
      <selection pane="bottomLeft" activeCell="A3" sqref="A3"/>
      <selection pane="bottomRight" activeCell="C33" sqref="C33:G53"/>
    </sheetView>
  </sheetViews>
  <sheetFormatPr baseColWidth="10" defaultColWidth="12.6640625" defaultRowHeight="15" customHeight="1" x14ac:dyDescent="0.25"/>
  <cols>
    <col min="1" max="1" width="4.109375" customWidth="1"/>
    <col min="2" max="2" width="10.109375" customWidth="1"/>
    <col min="3" max="3" width="23.6640625" customWidth="1"/>
    <col min="4" max="4" width="8.77734375" customWidth="1"/>
    <col min="5" max="5" width="15.109375" customWidth="1"/>
    <col min="6" max="6" width="17.109375" customWidth="1"/>
    <col min="7" max="7" width="10.6640625" customWidth="1"/>
    <col min="8" max="8" width="7.88671875" customWidth="1"/>
    <col min="9" max="13" width="7.88671875" hidden="1" customWidth="1"/>
    <col min="14" max="14" width="7.88671875" customWidth="1"/>
    <col min="15" max="15" width="9" customWidth="1"/>
    <col min="16" max="16" width="7.109375" hidden="1" customWidth="1"/>
    <col min="17" max="19" width="7.6640625" hidden="1" customWidth="1"/>
    <col min="20" max="20" width="6.88671875" hidden="1" customWidth="1"/>
    <col min="21" max="21" width="8.109375" hidden="1" customWidth="1"/>
    <col min="22" max="22" width="10.109375" hidden="1" customWidth="1"/>
    <col min="23" max="25" width="9" hidden="1" customWidth="1"/>
    <col min="27" max="27" width="8.33203125" customWidth="1"/>
    <col min="28" max="28" width="9.44140625" customWidth="1"/>
    <col min="30" max="30" width="134.88671875" hidden="1" customWidth="1"/>
    <col min="31" max="31" width="6.33203125" customWidth="1"/>
    <col min="32" max="32" width="8" customWidth="1"/>
    <col min="33" max="33" width="14.44140625" customWidth="1"/>
    <col min="34" max="59" width="8" customWidth="1"/>
  </cols>
  <sheetData>
    <row r="1" spans="1:74" ht="15.75" customHeight="1" x14ac:dyDescent="0.25">
      <c r="A1" s="31"/>
      <c r="B1" s="31"/>
      <c r="C1" s="449" t="s">
        <v>34</v>
      </c>
      <c r="D1" s="450"/>
      <c r="E1" s="450"/>
      <c r="F1" s="450"/>
      <c r="G1" s="451"/>
      <c r="H1" s="458" t="s">
        <v>35</v>
      </c>
      <c r="I1" s="450"/>
      <c r="J1" s="450"/>
      <c r="K1" s="450"/>
      <c r="L1" s="450"/>
      <c r="M1" s="450"/>
      <c r="N1" s="450"/>
      <c r="O1" s="450"/>
      <c r="P1" s="450"/>
      <c r="Q1" s="450"/>
      <c r="R1" s="450"/>
      <c r="S1" s="451"/>
      <c r="T1" s="449" t="s">
        <v>36</v>
      </c>
      <c r="U1" s="450"/>
      <c r="V1" s="450"/>
      <c r="W1" s="450"/>
      <c r="X1" s="450"/>
      <c r="Y1" s="451"/>
      <c r="Z1" s="459" t="s">
        <v>37</v>
      </c>
      <c r="AA1" s="460"/>
      <c r="AB1" s="461"/>
      <c r="AC1" s="34"/>
      <c r="AD1" s="36"/>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row>
    <row r="2" spans="1:74" ht="48" x14ac:dyDescent="0.25">
      <c r="A2" s="37"/>
      <c r="B2" s="38" t="s">
        <v>0</v>
      </c>
      <c r="C2" s="39" t="s">
        <v>1</v>
      </c>
      <c r="D2" s="38" t="s">
        <v>39</v>
      </c>
      <c r="E2" s="38" t="s">
        <v>2</v>
      </c>
      <c r="F2" s="38" t="s">
        <v>40</v>
      </c>
      <c r="G2" s="38" t="s">
        <v>41</v>
      </c>
      <c r="H2" s="40" t="s">
        <v>3</v>
      </c>
      <c r="I2" s="40" t="s">
        <v>44</v>
      </c>
      <c r="J2" s="40" t="s">
        <v>45</v>
      </c>
      <c r="K2" s="40" t="s">
        <v>46</v>
      </c>
      <c r="L2" s="40" t="s">
        <v>47</v>
      </c>
      <c r="M2" s="40" t="s">
        <v>48</v>
      </c>
      <c r="N2" s="40" t="s">
        <v>49</v>
      </c>
      <c r="O2" s="40" t="s">
        <v>50</v>
      </c>
      <c r="P2" s="40" t="s">
        <v>51</v>
      </c>
      <c r="Q2" s="41" t="s">
        <v>52</v>
      </c>
      <c r="R2" s="41" t="s">
        <v>53</v>
      </c>
      <c r="S2" s="41" t="s">
        <v>54</v>
      </c>
      <c r="T2" s="42" t="s">
        <v>4</v>
      </c>
      <c r="U2" s="38" t="s">
        <v>55</v>
      </c>
      <c r="V2" s="38" t="s">
        <v>56</v>
      </c>
      <c r="W2" s="38" t="s">
        <v>57</v>
      </c>
      <c r="X2" s="38" t="s">
        <v>58</v>
      </c>
      <c r="Y2" s="38" t="s">
        <v>59</v>
      </c>
      <c r="Z2" s="43" t="s">
        <v>60</v>
      </c>
      <c r="AA2" s="43" t="s">
        <v>230</v>
      </c>
      <c r="AB2" s="43" t="s">
        <v>180</v>
      </c>
      <c r="AC2" s="43" t="s">
        <v>65</v>
      </c>
      <c r="AD2" s="44" t="s">
        <v>67</v>
      </c>
      <c r="AE2" s="45"/>
      <c r="AF2" s="45"/>
      <c r="AG2" s="45"/>
      <c r="AH2" s="45"/>
      <c r="AI2" s="45"/>
      <c r="AJ2" s="45"/>
      <c r="AK2" s="45"/>
      <c r="AL2" s="45"/>
      <c r="AM2" s="45"/>
      <c r="AN2" s="45"/>
      <c r="AO2" s="45"/>
      <c r="AP2" s="45"/>
      <c r="AQ2" s="45"/>
      <c r="AR2" s="45"/>
      <c r="AS2" s="45"/>
      <c r="AT2" s="45"/>
      <c r="AU2" s="45"/>
      <c r="AV2" s="45"/>
      <c r="AW2" s="45"/>
      <c r="AX2" s="45"/>
      <c r="AY2" s="45"/>
      <c r="AZ2" s="45"/>
      <c r="BA2" s="37"/>
      <c r="BB2" s="37"/>
      <c r="BC2" s="37"/>
      <c r="BD2" s="37"/>
      <c r="BE2" s="37"/>
      <c r="BF2" s="37"/>
      <c r="BG2" s="37"/>
      <c r="BH2" s="37"/>
      <c r="BI2" s="37"/>
      <c r="BJ2" s="37"/>
      <c r="BK2" s="37"/>
      <c r="BL2" s="37"/>
      <c r="BM2" s="37"/>
    </row>
    <row r="3" spans="1:74" ht="13.2" x14ac:dyDescent="0.25">
      <c r="A3" s="307"/>
      <c r="B3" s="308" t="s">
        <v>231</v>
      </c>
      <c r="C3" s="309"/>
      <c r="D3" s="310"/>
      <c r="E3" s="311"/>
      <c r="F3" s="311"/>
      <c r="G3" s="312"/>
      <c r="H3" s="312"/>
      <c r="I3" s="312"/>
      <c r="J3" s="312"/>
      <c r="K3" s="312"/>
      <c r="L3" s="312"/>
      <c r="M3" s="312"/>
      <c r="N3" s="312"/>
      <c r="O3" s="312"/>
      <c r="P3" s="312"/>
      <c r="Q3" s="312"/>
      <c r="R3" s="312"/>
      <c r="S3" s="312"/>
      <c r="T3" s="312"/>
      <c r="U3" s="312"/>
      <c r="V3" s="312"/>
      <c r="W3" s="312"/>
      <c r="X3" s="312"/>
      <c r="Y3" s="312"/>
      <c r="Z3" s="312"/>
      <c r="AA3" s="312"/>
      <c r="AB3" s="312"/>
      <c r="AC3" s="312"/>
      <c r="AD3" s="312"/>
      <c r="AE3" s="28"/>
      <c r="AF3" s="28"/>
      <c r="AG3" s="28"/>
      <c r="AH3" s="28"/>
      <c r="AI3" s="31"/>
      <c r="AJ3" s="28"/>
      <c r="AK3" s="31"/>
      <c r="AL3" s="28"/>
      <c r="AM3" s="31"/>
      <c r="AN3" s="28"/>
      <c r="AO3" s="31"/>
      <c r="AP3" s="28"/>
      <c r="AQ3" s="31"/>
      <c r="AR3" s="26"/>
      <c r="AS3" s="26"/>
      <c r="AT3" s="26"/>
      <c r="AU3" s="26"/>
      <c r="AX3" s="26"/>
      <c r="BD3" s="26"/>
      <c r="BE3" s="26"/>
      <c r="BF3" s="26"/>
      <c r="BG3" s="26"/>
      <c r="BH3" s="26"/>
      <c r="BI3" s="26"/>
      <c r="BJ3" s="26"/>
      <c r="BK3" s="26"/>
      <c r="BL3" s="26"/>
      <c r="BM3" s="26"/>
    </row>
    <row r="4" spans="1:74" ht="13.2" x14ac:dyDescent="0.25">
      <c r="A4" s="47">
        <v>1</v>
      </c>
      <c r="B4" s="1" t="s">
        <v>232</v>
      </c>
      <c r="C4" s="470" t="str">
        <f ca="1">IFERROR(__xludf.DUMMYFUNCTION("GoogleFinance(B4,""name"")"),"ProShares UltraPro Short QQQ ETF")</f>
        <v>ProShares UltraPro Short QQQ ETF</v>
      </c>
      <c r="D4" s="49" t="str">
        <f ca="1">IFERROR(__xludf.DUMMYFUNCTION("GoogleFinance(B4,""marketcap"")/1000000"),"#N/A")</f>
        <v>#N/A</v>
      </c>
      <c r="E4" s="50" t="s">
        <v>119</v>
      </c>
      <c r="F4" s="50" t="s">
        <v>233</v>
      </c>
      <c r="G4" s="313">
        <v>45007</v>
      </c>
      <c r="H4" s="314">
        <f ca="1">IFERROR(__xludf.DUMMYFUNCTION("GOOGLEFINANCE(B4)"),20.02)</f>
        <v>20.02</v>
      </c>
      <c r="I4" s="53">
        <f>K4/J4</f>
        <v>24.931178707224333</v>
      </c>
      <c r="J4" s="54">
        <f>1000/32.3+1000/20.3</f>
        <v>80.220836065823789</v>
      </c>
      <c r="K4" s="146">
        <v>2000</v>
      </c>
      <c r="L4" s="146">
        <f ca="1">H4*J4</f>
        <v>1606.0211380377923</v>
      </c>
      <c r="M4" s="147">
        <f ca="1">L4-K4</f>
        <v>-393.9788619622077</v>
      </c>
      <c r="N4" s="246">
        <f ca="1">L4/K4-1</f>
        <v>-0.19698943098110389</v>
      </c>
      <c r="O4" s="149">
        <f ca="1">TODAY()-G4</f>
        <v>97</v>
      </c>
      <c r="P4" s="23">
        <v>18</v>
      </c>
      <c r="Q4" s="315">
        <f ca="1">P4/H4-1</f>
        <v>-0.10089910089910092</v>
      </c>
      <c r="R4" s="23">
        <v>24</v>
      </c>
      <c r="S4" s="316">
        <f ca="1">R4/H4-1</f>
        <v>0.19880119880119884</v>
      </c>
      <c r="T4" s="148">
        <v>0</v>
      </c>
      <c r="U4" s="148">
        <v>2.2994379151762834E-2</v>
      </c>
      <c r="V4" s="148">
        <v>-0.12614578786556097</v>
      </c>
      <c r="W4" s="148">
        <v>-0.39351711602544681</v>
      </c>
      <c r="X4" s="148">
        <v>-0.6412829242071314</v>
      </c>
      <c r="Y4" s="148">
        <v>-0.62932790224032586</v>
      </c>
      <c r="Z4" s="317" t="s">
        <v>73</v>
      </c>
      <c r="AA4" s="317" t="s">
        <v>74</v>
      </c>
      <c r="AB4" s="317" t="s">
        <v>74</v>
      </c>
      <c r="AC4" s="475" t="s">
        <v>120</v>
      </c>
      <c r="AD4" s="318" t="s">
        <v>215</v>
      </c>
      <c r="AE4" s="156"/>
      <c r="AF4" s="156"/>
      <c r="AG4" s="156"/>
      <c r="AH4" s="156" t="str">
        <f ca="1">IFERROR(__xludf.DUMMYFUNCTION("GoogleFinance(B4,""price"",today()-7)"),"#N/A")</f>
        <v>#N/A</v>
      </c>
      <c r="AI4" s="31"/>
      <c r="AJ4" s="156" t="str">
        <f ca="1">IFERROR(__xludf.DUMMYFUNCTION("GoogleFinance(B4,""price"",today()-31)"),"#N/A")</f>
        <v>#N/A</v>
      </c>
      <c r="AK4" s="31"/>
      <c r="AL4" s="156" t="str">
        <f ca="1">IFERROR(__xludf.DUMMYFUNCTION("GoogleFinance(B4,""price"",today()-91)"),"#N/A")</f>
        <v>#N/A</v>
      </c>
      <c r="AM4" s="31"/>
      <c r="AN4" s="156" t="str">
        <f ca="1">IFERROR(__xludf.DUMMYFUNCTION("GoogleFinance(B4,""price"",today()-182)"),"#N/A")</f>
        <v>#N/A</v>
      </c>
      <c r="AO4" s="31"/>
      <c r="AP4" s="156" t="str">
        <f ca="1">IFERROR(__xludf.DUMMYFUNCTION("GoogleFinance(B4,""price"",DATE(2022,12,30))"),"Date")</f>
        <v>Date</v>
      </c>
      <c r="AQ4" s="31" t="str">
        <f ca="1">IFERROR(__xludf.DUMMYFUNCTION("""COMPUTED_VALUE"""),"Close")</f>
        <v>Close</v>
      </c>
      <c r="AR4" s="157"/>
      <c r="AS4" s="157"/>
      <c r="AT4" s="157"/>
      <c r="AU4" s="157"/>
      <c r="AV4" s="158"/>
      <c r="AW4" s="158"/>
      <c r="AX4" s="157"/>
      <c r="AY4" s="158"/>
      <c r="AZ4" s="158"/>
      <c r="BA4" s="158"/>
      <c r="BB4" s="158"/>
      <c r="BC4" s="158"/>
      <c r="BD4" s="157"/>
      <c r="BE4" s="157"/>
      <c r="BF4" s="157"/>
      <c r="BG4" s="157"/>
      <c r="BH4" s="157"/>
      <c r="BI4" s="157"/>
      <c r="BJ4" s="157"/>
      <c r="BK4" s="157"/>
      <c r="BL4" s="157"/>
      <c r="BM4" s="157"/>
      <c r="BN4" s="158"/>
      <c r="BO4" s="158"/>
      <c r="BP4" s="158"/>
      <c r="BQ4" s="158"/>
      <c r="BR4" s="158"/>
      <c r="BS4" s="158"/>
      <c r="BT4" s="158"/>
      <c r="BU4" s="158"/>
      <c r="BV4" s="158"/>
    </row>
    <row r="5" spans="1:74" ht="13.2" hidden="1" x14ac:dyDescent="0.25">
      <c r="A5" s="157"/>
      <c r="B5" s="157"/>
      <c r="C5" s="319"/>
      <c r="D5" s="319"/>
      <c r="E5" s="157"/>
      <c r="F5" s="157"/>
      <c r="G5" s="159"/>
      <c r="H5" s="320"/>
      <c r="I5" s="162"/>
      <c r="J5" s="163"/>
      <c r="K5" s="164"/>
      <c r="L5" s="164"/>
      <c r="M5" s="146"/>
      <c r="N5" s="156"/>
      <c r="O5" s="157"/>
      <c r="P5" s="157"/>
      <c r="Q5" s="156"/>
      <c r="R5" s="157"/>
      <c r="S5" s="156"/>
      <c r="T5" s="156"/>
      <c r="U5" s="156"/>
      <c r="V5" s="156"/>
      <c r="W5" s="156"/>
      <c r="X5" s="156"/>
      <c r="Y5" s="156"/>
      <c r="Z5" s="157"/>
      <c r="AA5" s="157"/>
      <c r="AB5" s="157"/>
      <c r="AC5" s="157"/>
      <c r="AD5" s="157"/>
      <c r="AE5" s="156"/>
      <c r="AF5" s="156"/>
      <c r="AG5" s="156"/>
      <c r="AH5" s="156"/>
      <c r="AI5" s="144"/>
      <c r="AJ5" s="156"/>
      <c r="AK5" s="144"/>
      <c r="AL5" s="156"/>
      <c r="AM5" s="144"/>
      <c r="AN5" s="156"/>
      <c r="AO5" s="144"/>
      <c r="AP5" s="156">
        <f ca="1">IFERROR(__xludf.DUMMYFUNCTION("""COMPUTED_VALUE"""),44925.6666666666)</f>
        <v>44925.666666666599</v>
      </c>
      <c r="AQ5" s="144">
        <f ca="1">IFERROR(__xludf.DUMMYFUNCTION("""COMPUTED_VALUE"""),54.01)</f>
        <v>54.01</v>
      </c>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row>
    <row r="6" spans="1:74" ht="13.2" x14ac:dyDescent="0.25">
      <c r="A6" s="47">
        <f t="shared" ref="A6:A10" si="0">1+A4</f>
        <v>2</v>
      </c>
      <c r="B6" s="1" t="s">
        <v>234</v>
      </c>
      <c r="C6" s="470" t="str">
        <f ca="1">IFERROR(__xludf.DUMMYFUNCTION("GoogleFinance(B6,""name"")"),"AXS 1.25X NVDA Bear Daily ETF")</f>
        <v>AXS 1.25X NVDA Bear Daily ETF</v>
      </c>
      <c r="D6" s="49" t="str">
        <f ca="1">IFERROR(__xludf.DUMMYFUNCTION("GoogleFinance(B6,""marketcap"")/1000000"),"#N/A")</f>
        <v>#N/A</v>
      </c>
      <c r="E6" s="23" t="s">
        <v>119</v>
      </c>
      <c r="F6" s="23" t="s">
        <v>235</v>
      </c>
      <c r="G6" s="51">
        <v>45077</v>
      </c>
      <c r="H6" s="52">
        <f ca="1">IFERROR(__xludf.DUMMYFUNCTION("GOOGLEFINANCE(B6)"),8.49)</f>
        <v>8.49</v>
      </c>
      <c r="I6" s="53">
        <v>9</v>
      </c>
      <c r="J6" s="54">
        <f>1000/I6</f>
        <v>111.11111111111111</v>
      </c>
      <c r="K6" s="55">
        <v>1000</v>
      </c>
      <c r="L6" s="56">
        <f ca="1">H6*J6</f>
        <v>943.33333333333337</v>
      </c>
      <c r="M6" s="56">
        <f ca="1">L6-K6</f>
        <v>-56.666666666666629</v>
      </c>
      <c r="N6" s="57">
        <f ca="1">H6/I6-1</f>
        <v>-5.6666666666666643E-2</v>
      </c>
      <c r="O6" s="58">
        <f ca="1">TODAY()-G6</f>
        <v>27</v>
      </c>
      <c r="P6" s="59">
        <v>8</v>
      </c>
      <c r="Q6" s="57">
        <f ca="1">P6/H6-1</f>
        <v>-5.7714958775029523E-2</v>
      </c>
      <c r="R6" s="50">
        <v>13</v>
      </c>
      <c r="S6" s="60">
        <f ca="1">R6/H6-1</f>
        <v>0.53121319199057715</v>
      </c>
      <c r="T6" s="10">
        <v>0</v>
      </c>
      <c r="U6" s="10">
        <v>4.6855733662145571E-2</v>
      </c>
      <c r="V6" s="10">
        <v>-0.10819327731092432</v>
      </c>
      <c r="W6" s="10">
        <v>-0.5</v>
      </c>
      <c r="X6" s="10">
        <v>-0.79448075526506901</v>
      </c>
      <c r="Y6" s="10">
        <v>-0.78500886300329198</v>
      </c>
      <c r="Z6" s="61" t="s">
        <v>73</v>
      </c>
      <c r="AA6" s="62" t="s">
        <v>74</v>
      </c>
      <c r="AB6" s="62" t="s">
        <v>74</v>
      </c>
      <c r="AC6" s="475" t="s">
        <v>120</v>
      </c>
      <c r="AD6" s="279" t="s">
        <v>215</v>
      </c>
      <c r="AE6" s="3"/>
      <c r="AF6" s="3"/>
      <c r="AG6" s="3"/>
      <c r="AH6" s="3" t="str">
        <f ca="1">IFERROR(__xludf.DUMMYFUNCTION("GoogleFinance(B6,""price"",today()-7)"),"#N/A")</f>
        <v>#N/A</v>
      </c>
      <c r="AI6" s="31"/>
      <c r="AJ6" s="3" t="str">
        <f ca="1">IFERROR(__xludf.DUMMYFUNCTION("GoogleFinance(B6,""price"",today()-31)"),"#N/A")</f>
        <v>#N/A</v>
      </c>
      <c r="AK6" s="31"/>
      <c r="AL6" s="3" t="str">
        <f ca="1">IFERROR(__xludf.DUMMYFUNCTION("GoogleFinance(B6,""price"",today()-91)"),"#N/A")</f>
        <v>#N/A</v>
      </c>
      <c r="AM6" s="31"/>
      <c r="AN6" s="3" t="str">
        <f ca="1">IFERROR(__xludf.DUMMYFUNCTION("GoogleFinance(B6,""price"",today()-182)"),"#N/A")</f>
        <v>#N/A</v>
      </c>
      <c r="AO6" s="31"/>
      <c r="AP6" s="3" t="str">
        <f ca="1">IFERROR(__xludf.DUMMYFUNCTION("GoogleFinance(B6,""price"",DATE(2022,12,30))"),"Date")</f>
        <v>Date</v>
      </c>
      <c r="AQ6" s="31" t="str">
        <f ca="1">IFERROR(__xludf.DUMMYFUNCTION("""COMPUTED_VALUE"""),"Close")</f>
        <v>Close</v>
      </c>
      <c r="AR6" s="6"/>
      <c r="AS6" s="6"/>
      <c r="AT6" s="6"/>
      <c r="AU6" s="6"/>
      <c r="AX6" s="6"/>
      <c r="BD6" s="6"/>
      <c r="BE6" s="6"/>
      <c r="BF6" s="6"/>
      <c r="BG6" s="6"/>
      <c r="BH6" s="6"/>
      <c r="BI6" s="6"/>
      <c r="BJ6" s="6"/>
      <c r="BK6" s="6"/>
      <c r="BL6" s="6"/>
      <c r="BM6" s="6"/>
    </row>
    <row r="7" spans="1:74" ht="13.2" hidden="1" x14ac:dyDescent="0.25">
      <c r="A7" s="47">
        <f t="shared" si="0"/>
        <v>1</v>
      </c>
      <c r="B7" s="321"/>
      <c r="C7" s="322"/>
      <c r="D7" s="321"/>
      <c r="E7" s="321"/>
      <c r="F7" s="321"/>
      <c r="G7" s="321"/>
      <c r="H7" s="323"/>
      <c r="I7" s="323"/>
      <c r="J7" s="323"/>
      <c r="K7" s="323"/>
      <c r="L7" s="323"/>
      <c r="M7" s="56"/>
      <c r="N7" s="57"/>
      <c r="O7" s="323"/>
      <c r="P7" s="323"/>
      <c r="Q7" s="324"/>
      <c r="R7" s="324"/>
      <c r="S7" s="324"/>
      <c r="T7" s="325"/>
      <c r="U7" s="325"/>
      <c r="V7" s="325"/>
      <c r="W7" s="325"/>
      <c r="X7" s="325"/>
      <c r="Y7" s="325"/>
      <c r="Z7" s="326"/>
      <c r="AA7" s="326"/>
      <c r="AB7" s="326"/>
      <c r="AC7" s="326"/>
      <c r="AD7" s="327"/>
      <c r="AE7" s="28"/>
      <c r="AF7" s="28"/>
      <c r="AG7" s="28"/>
      <c r="AH7" s="28"/>
      <c r="AI7" s="22"/>
      <c r="AJ7" s="28"/>
      <c r="AK7" s="22"/>
      <c r="AL7" s="28"/>
      <c r="AM7" s="22"/>
      <c r="AN7" s="28"/>
      <c r="AO7" s="22"/>
      <c r="AP7" s="28">
        <f ca="1">IFERROR(__xludf.DUMMYFUNCTION("""COMPUTED_VALUE"""),44925.6666666666)</f>
        <v>44925.666666666599</v>
      </c>
      <c r="AQ7" s="22">
        <f ca="1">IFERROR(__xludf.DUMMYFUNCTION("""COMPUTED_VALUE"""),39.49)</f>
        <v>39.49</v>
      </c>
      <c r="AR7" s="26"/>
      <c r="AS7" s="26"/>
      <c r="AT7" s="26"/>
      <c r="AU7" s="26"/>
      <c r="AV7" s="328"/>
      <c r="AW7" s="328"/>
      <c r="AX7" s="26"/>
      <c r="AY7" s="328"/>
      <c r="AZ7" s="328"/>
      <c r="BA7" s="328"/>
      <c r="BB7" s="328"/>
      <c r="BC7" s="328"/>
      <c r="BD7" s="26"/>
      <c r="BE7" s="26"/>
      <c r="BF7" s="26"/>
      <c r="BG7" s="26"/>
      <c r="BH7" s="26"/>
      <c r="BI7" s="26"/>
      <c r="BJ7" s="26"/>
      <c r="BK7" s="26"/>
      <c r="BL7" s="26"/>
      <c r="BM7" s="26"/>
      <c r="BN7" s="328"/>
      <c r="BO7" s="328"/>
      <c r="BP7" s="328"/>
      <c r="BQ7" s="328"/>
      <c r="BR7" s="328"/>
      <c r="BS7" s="328"/>
      <c r="BT7" s="328"/>
      <c r="BU7" s="328"/>
      <c r="BV7" s="328"/>
    </row>
    <row r="8" spans="1:74" ht="13.2" x14ac:dyDescent="0.25">
      <c r="A8" s="47">
        <f t="shared" si="0"/>
        <v>3</v>
      </c>
      <c r="B8" s="1" t="s">
        <v>236</v>
      </c>
      <c r="C8" s="470" t="str">
        <f ca="1">IFERROR(__xludf.DUMMYFUNCTION("GoogleFinance(B8,""name"")"),"KraneShares CSI China Internet ETF")</f>
        <v>KraneShares CSI China Internet ETF</v>
      </c>
      <c r="D8" s="49" t="str">
        <f ca="1">IFERROR(__xludf.DUMMYFUNCTION("GoogleFinance(B8,""marketcap"")/1000000"),"#N/A")</f>
        <v>#N/A</v>
      </c>
      <c r="E8" s="23" t="s">
        <v>237</v>
      </c>
      <c r="F8" s="23" t="s">
        <v>8</v>
      </c>
      <c r="G8" s="51">
        <v>45078</v>
      </c>
      <c r="H8" s="52">
        <f ca="1">IFERROR(__xludf.DUMMYFUNCTION("GOOGLEFINANCE(B8)"),26.76)</f>
        <v>26.76</v>
      </c>
      <c r="I8" s="53">
        <v>26.32</v>
      </c>
      <c r="J8" s="54">
        <f>2000/I8</f>
        <v>75.98784194528875</v>
      </c>
      <c r="K8" s="55">
        <v>2000</v>
      </c>
      <c r="L8" s="56">
        <f ca="1">H8*J8</f>
        <v>2033.4346504559271</v>
      </c>
      <c r="M8" s="56">
        <f ca="1">L8-K8</f>
        <v>33.434650455927112</v>
      </c>
      <c r="N8" s="57">
        <f ca="1">H8/I8-1</f>
        <v>1.6717325227963542E-2</v>
      </c>
      <c r="O8" s="58">
        <f ca="1">TODAY()-G8</f>
        <v>26</v>
      </c>
      <c r="P8" s="59">
        <v>23.1</v>
      </c>
      <c r="Q8" s="57">
        <f ca="1">P8/H8-1</f>
        <v>-0.13677130044843044</v>
      </c>
      <c r="R8" s="50">
        <v>31.1</v>
      </c>
      <c r="S8" s="60">
        <f ca="1">R8/H8-1</f>
        <v>0.1621823617339313</v>
      </c>
      <c r="T8" s="10">
        <v>0</v>
      </c>
      <c r="U8" s="10">
        <v>-3.8793103448275801E-2</v>
      </c>
      <c r="V8" s="10">
        <v>2.6073619631902023E-2</v>
      </c>
      <c r="W8" s="10">
        <v>-9.7774780849629095E-2</v>
      </c>
      <c r="X8" s="10">
        <v>-0.1485841552656697</v>
      </c>
      <c r="Y8" s="10">
        <v>-0.11390728476821188</v>
      </c>
      <c r="Z8" s="61" t="s">
        <v>73</v>
      </c>
      <c r="AA8" s="62" t="s">
        <v>74</v>
      </c>
      <c r="AB8" s="62" t="s">
        <v>74</v>
      </c>
      <c r="AC8" s="475" t="s">
        <v>120</v>
      </c>
      <c r="AD8" s="279" t="s">
        <v>215</v>
      </c>
      <c r="AE8" s="3"/>
      <c r="AF8" s="3"/>
      <c r="AG8" s="3"/>
      <c r="AH8" s="3" t="str">
        <f ca="1">IFERROR(__xludf.DUMMYFUNCTION("GoogleFinance(B8,""price"",today()-7)"),"#N/A")</f>
        <v>#N/A</v>
      </c>
      <c r="AI8" s="31"/>
      <c r="AJ8" s="3" t="str">
        <f ca="1">IFERROR(__xludf.DUMMYFUNCTION("GoogleFinance(B8,""price"",today()-31)"),"#N/A")</f>
        <v>#N/A</v>
      </c>
      <c r="AK8" s="31"/>
      <c r="AL8" s="3" t="str">
        <f ca="1">IFERROR(__xludf.DUMMYFUNCTION("GoogleFinance(B8,""price"",today()-91)"),"#N/A")</f>
        <v>#N/A</v>
      </c>
      <c r="AM8" s="31"/>
      <c r="AN8" s="3" t="str">
        <f ca="1">IFERROR(__xludf.DUMMYFUNCTION("GoogleFinance(B8,""price"",today()-182)"),"#N/A")</f>
        <v>#N/A</v>
      </c>
      <c r="AO8" s="31"/>
      <c r="AP8" s="3" t="str">
        <f ca="1">IFERROR(__xludf.DUMMYFUNCTION("GoogleFinance(B8,""price"",DATE(2022,12,30))"),"Date")</f>
        <v>Date</v>
      </c>
      <c r="AQ8" s="31" t="str">
        <f ca="1">IFERROR(__xludf.DUMMYFUNCTION("""COMPUTED_VALUE"""),"Close")</f>
        <v>Close</v>
      </c>
      <c r="AR8" s="6"/>
      <c r="AS8" s="6"/>
      <c r="AT8" s="6"/>
      <c r="AU8" s="6"/>
      <c r="AX8" s="6"/>
      <c r="BD8" s="6"/>
      <c r="BE8" s="6"/>
      <c r="BF8" s="6"/>
      <c r="BG8" s="6"/>
      <c r="BH8" s="6"/>
      <c r="BI8" s="6"/>
      <c r="BJ8" s="6"/>
      <c r="BK8" s="6"/>
      <c r="BL8" s="6"/>
      <c r="BM8" s="6"/>
    </row>
    <row r="9" spans="1:74" ht="13.2" hidden="1" x14ac:dyDescent="0.25">
      <c r="A9" s="47">
        <f t="shared" si="0"/>
        <v>2</v>
      </c>
      <c r="B9" s="321"/>
      <c r="C9" s="322"/>
      <c r="D9" s="321"/>
      <c r="E9" s="321"/>
      <c r="F9" s="321"/>
      <c r="G9" s="321"/>
      <c r="H9" s="323"/>
      <c r="I9" s="323"/>
      <c r="J9" s="323"/>
      <c r="K9" s="323"/>
      <c r="L9" s="323"/>
      <c r="M9" s="56"/>
      <c r="N9" s="57"/>
      <c r="O9" s="323"/>
      <c r="P9" s="323"/>
      <c r="Q9" s="324"/>
      <c r="R9" s="324"/>
      <c r="S9" s="324"/>
      <c r="T9" s="325"/>
      <c r="U9" s="325"/>
      <c r="V9" s="325"/>
      <c r="W9" s="325"/>
      <c r="X9" s="325"/>
      <c r="Y9" s="325"/>
      <c r="Z9" s="326"/>
      <c r="AA9" s="326"/>
      <c r="AB9" s="326"/>
      <c r="AC9" s="326"/>
      <c r="AD9" s="327"/>
      <c r="AE9" s="28"/>
      <c r="AF9" s="28"/>
      <c r="AG9" s="28"/>
      <c r="AH9" s="28"/>
      <c r="AI9" s="22"/>
      <c r="AJ9" s="28"/>
      <c r="AK9" s="22"/>
      <c r="AL9" s="28"/>
      <c r="AM9" s="22"/>
      <c r="AN9" s="28"/>
      <c r="AO9" s="22"/>
      <c r="AP9" s="28">
        <f ca="1">IFERROR(__xludf.DUMMYFUNCTION("""COMPUTED_VALUE"""),44925.6666666666)</f>
        <v>44925.666666666599</v>
      </c>
      <c r="AQ9" s="22">
        <f ca="1">IFERROR(__xludf.DUMMYFUNCTION("""COMPUTED_VALUE"""),30.2)</f>
        <v>30.2</v>
      </c>
      <c r="AR9" s="26"/>
      <c r="AS9" s="26"/>
      <c r="AT9" s="26"/>
      <c r="AU9" s="26"/>
      <c r="AV9" s="328"/>
      <c r="AW9" s="328"/>
      <c r="AX9" s="26"/>
      <c r="AY9" s="328"/>
      <c r="AZ9" s="328"/>
      <c r="BA9" s="328"/>
      <c r="BB9" s="328"/>
      <c r="BC9" s="328"/>
      <c r="BD9" s="26"/>
      <c r="BE9" s="26"/>
      <c r="BF9" s="26"/>
      <c r="BG9" s="26"/>
      <c r="BH9" s="26"/>
      <c r="BI9" s="26"/>
      <c r="BJ9" s="26"/>
      <c r="BK9" s="26"/>
      <c r="BL9" s="26"/>
      <c r="BM9" s="26"/>
      <c r="BN9" s="328"/>
      <c r="BO9" s="328"/>
      <c r="BP9" s="328"/>
      <c r="BQ9" s="328"/>
      <c r="BR9" s="328"/>
      <c r="BS9" s="328"/>
      <c r="BT9" s="328"/>
      <c r="BU9" s="328"/>
      <c r="BV9" s="328"/>
    </row>
    <row r="10" spans="1:74" ht="13.2" x14ac:dyDescent="0.25">
      <c r="A10" s="47">
        <f t="shared" si="0"/>
        <v>4</v>
      </c>
      <c r="B10" s="1" t="s">
        <v>25</v>
      </c>
      <c r="C10" s="470" t="str">
        <f ca="1">IFERROR(__xludf.DUMMYFUNCTION("GoogleFinance(B10,""name"")"),"VanEck Junior Gold Miners ETF")</f>
        <v>VanEck Junior Gold Miners ETF</v>
      </c>
      <c r="D10" s="49" t="str">
        <f ca="1">IFERROR(__xludf.DUMMYFUNCTION("GoogleFinance(B10,""marketcap"")/1000000"),"#N/A")</f>
        <v>#N/A</v>
      </c>
      <c r="E10" s="50" t="s">
        <v>11</v>
      </c>
      <c r="F10" s="50" t="s">
        <v>164</v>
      </c>
      <c r="G10" s="51">
        <v>45064</v>
      </c>
      <c r="H10" s="52">
        <f ca="1">IFERROR(__xludf.DUMMYFUNCTION("GOOGLEFINANCE(B10)"),35.21)</f>
        <v>35.21</v>
      </c>
      <c r="I10" s="53">
        <v>38.090000000000003</v>
      </c>
      <c r="J10" s="54">
        <f>1000/I10</f>
        <v>26.253609871357309</v>
      </c>
      <c r="K10" s="55">
        <v>1000</v>
      </c>
      <c r="L10" s="56">
        <f ca="1">H10*J10</f>
        <v>924.38960357049086</v>
      </c>
      <c r="M10" s="56">
        <f ca="1">L10-K10</f>
        <v>-75.610396429509137</v>
      </c>
      <c r="N10" s="57">
        <f ca="1">H10/I10-1</f>
        <v>-7.5610396429509064E-2</v>
      </c>
      <c r="O10" s="58">
        <f ca="1">TODAY()-G10</f>
        <v>40</v>
      </c>
      <c r="P10" s="59">
        <v>33</v>
      </c>
      <c r="Q10" s="57">
        <f ca="1">P10/H10-1</f>
        <v>-6.2766259585345097E-2</v>
      </c>
      <c r="R10" s="50">
        <v>44</v>
      </c>
      <c r="S10" s="60">
        <f ca="1">R10/H10-1</f>
        <v>0.24964498721953987</v>
      </c>
      <c r="T10" s="10">
        <v>0</v>
      </c>
      <c r="U10" s="10">
        <v>-1.5655577299413026E-2</v>
      </c>
      <c r="V10" s="10">
        <v>-3.0561674008810602E-2</v>
      </c>
      <c r="W10" s="10">
        <v>-7.2688964972346559E-2</v>
      </c>
      <c r="X10" s="10">
        <v>-5.0943396226415083E-2</v>
      </c>
      <c r="Y10" s="10">
        <v>-1.2342215988779714E-2</v>
      </c>
      <c r="Z10" s="61" t="s">
        <v>73</v>
      </c>
      <c r="AA10" s="62" t="s">
        <v>74</v>
      </c>
      <c r="AB10" s="62" t="s">
        <v>74</v>
      </c>
      <c r="AC10" s="475" t="s">
        <v>120</v>
      </c>
      <c r="AD10" s="279" t="s">
        <v>215</v>
      </c>
      <c r="AE10" s="3"/>
      <c r="AF10" s="3"/>
      <c r="AG10" s="3"/>
      <c r="AH10" s="3" t="str">
        <f ca="1">IFERROR(__xludf.DUMMYFUNCTION("GoogleFinance(B10,""price"",today()-7)"),"#N/A")</f>
        <v>#N/A</v>
      </c>
      <c r="AI10" s="31"/>
      <c r="AJ10" s="3" t="str">
        <f ca="1">IFERROR(__xludf.DUMMYFUNCTION("GoogleFinance(B10,""price"",today()-31)"),"#N/A")</f>
        <v>#N/A</v>
      </c>
      <c r="AK10" s="31"/>
      <c r="AL10" s="3" t="str">
        <f ca="1">IFERROR(__xludf.DUMMYFUNCTION("GoogleFinance(B10,""price"",today()-91)"),"#N/A")</f>
        <v>#N/A</v>
      </c>
      <c r="AM10" s="31"/>
      <c r="AN10" s="3" t="str">
        <f ca="1">IFERROR(__xludf.DUMMYFUNCTION("GoogleFinance(B10,""price"",today()-182)"),"#N/A")</f>
        <v>#N/A</v>
      </c>
      <c r="AO10" s="31"/>
      <c r="AP10" s="3" t="str">
        <f ca="1">IFERROR(__xludf.DUMMYFUNCTION("GoogleFinance(B10,""price"",DATE(2022,12,30))"),"Date")</f>
        <v>Date</v>
      </c>
      <c r="AQ10" s="31" t="str">
        <f ca="1">IFERROR(__xludf.DUMMYFUNCTION("""COMPUTED_VALUE"""),"Close")</f>
        <v>Close</v>
      </c>
      <c r="AR10" s="6"/>
      <c r="AS10" s="6"/>
      <c r="AT10" s="6"/>
      <c r="AU10" s="6"/>
      <c r="AX10" s="6"/>
      <c r="BD10" s="6"/>
      <c r="BE10" s="6"/>
      <c r="BF10" s="6"/>
      <c r="BG10" s="6"/>
      <c r="BH10" s="6"/>
      <c r="BI10" s="6"/>
      <c r="BJ10" s="6"/>
      <c r="BK10" s="6"/>
      <c r="BL10" s="6"/>
      <c r="BM10" s="6"/>
    </row>
    <row r="11" spans="1:74" ht="13.2" hidden="1" x14ac:dyDescent="0.25">
      <c r="A11" s="307"/>
      <c r="B11" s="321"/>
      <c r="C11" s="322"/>
      <c r="D11" s="321"/>
      <c r="E11" s="321"/>
      <c r="F11" s="321"/>
      <c r="G11" s="321"/>
      <c r="H11" s="323"/>
      <c r="I11" s="323"/>
      <c r="J11" s="323"/>
      <c r="K11" s="323"/>
      <c r="L11" s="323"/>
      <c r="M11" s="56"/>
      <c r="N11" s="57"/>
      <c r="O11" s="323"/>
      <c r="P11" s="323"/>
      <c r="Q11" s="324"/>
      <c r="R11" s="324"/>
      <c r="S11" s="324"/>
      <c r="T11" s="325"/>
      <c r="U11" s="325"/>
      <c r="V11" s="325"/>
      <c r="W11" s="325"/>
      <c r="X11" s="325"/>
      <c r="Y11" s="325"/>
      <c r="Z11" s="326"/>
      <c r="AA11" s="326"/>
      <c r="AB11" s="326"/>
      <c r="AC11" s="326"/>
      <c r="AD11" s="327"/>
      <c r="AE11" s="28"/>
      <c r="AF11" s="28"/>
      <c r="AG11" s="28"/>
      <c r="AH11" s="28"/>
      <c r="AI11" s="22"/>
      <c r="AJ11" s="28"/>
      <c r="AK11" s="22"/>
      <c r="AL11" s="28"/>
      <c r="AM11" s="22"/>
      <c r="AN11" s="28"/>
      <c r="AO11" s="22"/>
      <c r="AP11" s="28">
        <f ca="1">IFERROR(__xludf.DUMMYFUNCTION("""COMPUTED_VALUE"""),44925.6666666666)</f>
        <v>44925.666666666599</v>
      </c>
      <c r="AQ11" s="22">
        <f ca="1">IFERROR(__xludf.DUMMYFUNCTION("""COMPUTED_VALUE"""),35.65)</f>
        <v>35.65</v>
      </c>
      <c r="AR11" s="26"/>
      <c r="AS11" s="26"/>
      <c r="AT11" s="26"/>
      <c r="AU11" s="26"/>
      <c r="AV11" s="328"/>
      <c r="AW11" s="328"/>
      <c r="AX11" s="26"/>
      <c r="AY11" s="328"/>
      <c r="AZ11" s="328"/>
      <c r="BA11" s="328"/>
      <c r="BB11" s="328"/>
      <c r="BC11" s="328"/>
      <c r="BD11" s="26"/>
      <c r="BE11" s="26"/>
      <c r="BF11" s="26"/>
      <c r="BG11" s="26"/>
      <c r="BH11" s="26"/>
      <c r="BI11" s="26"/>
      <c r="BJ11" s="26"/>
      <c r="BK11" s="26"/>
      <c r="BL11" s="26"/>
      <c r="BM11" s="26"/>
      <c r="BN11" s="328"/>
      <c r="BO11" s="328"/>
      <c r="BP11" s="328"/>
      <c r="BQ11" s="328"/>
      <c r="BR11" s="328"/>
      <c r="BS11" s="328"/>
      <c r="BT11" s="328"/>
      <c r="BU11" s="328"/>
      <c r="BV11" s="328"/>
    </row>
    <row r="12" spans="1:74" ht="13.2" x14ac:dyDescent="0.25">
      <c r="A12" s="47">
        <f>1+A10</f>
        <v>5</v>
      </c>
      <c r="B12" s="1" t="s">
        <v>238</v>
      </c>
      <c r="C12" s="470" t="str">
        <f ca="1">IFERROR(__xludf.DUMMYFUNCTION("GoogleFinance(B12,""name"")"),"Wheaton Precious Metals Corp")</f>
        <v>Wheaton Precious Metals Corp</v>
      </c>
      <c r="D12" s="49">
        <f ca="1">IFERROR(__xludf.DUMMYFUNCTION("GoogleFinance(B12,""marketcap"")/1000000"),19193.327072)</f>
        <v>19193.327072</v>
      </c>
      <c r="E12" s="50" t="s">
        <v>11</v>
      </c>
      <c r="F12" s="50" t="s">
        <v>33</v>
      </c>
      <c r="G12" s="51">
        <v>45079</v>
      </c>
      <c r="H12" s="52">
        <f ca="1">IFERROR(__xludf.DUMMYFUNCTION("GOOGLEFINANCE(B12)"),42.6)</f>
        <v>42.6</v>
      </c>
      <c r="I12" s="53">
        <v>45.5</v>
      </c>
      <c r="J12" s="54">
        <f>2000/I12</f>
        <v>43.956043956043956</v>
      </c>
      <c r="K12" s="55">
        <v>2000</v>
      </c>
      <c r="L12" s="56">
        <f ca="1">H12*J12</f>
        <v>1872.5274725274726</v>
      </c>
      <c r="M12" s="56">
        <f ca="1">L12-K12</f>
        <v>-127.47252747252742</v>
      </c>
      <c r="N12" s="57">
        <f ca="1">H12/I12-1</f>
        <v>-6.3736263736263732E-2</v>
      </c>
      <c r="O12" s="58">
        <f ca="1">TODAY()-G12</f>
        <v>25</v>
      </c>
      <c r="P12" s="59">
        <v>38.5</v>
      </c>
      <c r="Q12" s="57">
        <f ca="1">P12/H12-1</f>
        <v>-9.6244131455399118E-2</v>
      </c>
      <c r="R12" s="50">
        <v>60</v>
      </c>
      <c r="S12" s="60">
        <f ca="1">R12/H12-1</f>
        <v>0.40845070422535201</v>
      </c>
      <c r="T12" s="10">
        <v>2.0000000000000001E-4</v>
      </c>
      <c r="U12" s="10">
        <v>-9.0718771807397625E-3</v>
      </c>
      <c r="V12" s="10">
        <v>-4.5912653975363926E-2</v>
      </c>
      <c r="W12" s="10">
        <v>-9.3231162196679374E-2</v>
      </c>
      <c r="X12" s="10">
        <v>3.4985422740524852E-2</v>
      </c>
      <c r="Y12" s="10">
        <v>9.0071647901740048E-2</v>
      </c>
      <c r="Z12" s="61" t="s">
        <v>73</v>
      </c>
      <c r="AA12" s="62" t="s">
        <v>74</v>
      </c>
      <c r="AB12" s="62" t="s">
        <v>74</v>
      </c>
      <c r="AC12" s="475" t="s">
        <v>120</v>
      </c>
      <c r="AD12" s="279" t="s">
        <v>215</v>
      </c>
      <c r="AE12" s="3"/>
      <c r="AF12" s="3"/>
      <c r="AG12" s="3"/>
      <c r="AH12" s="3" t="str">
        <f ca="1">IFERROR(__xludf.DUMMYFUNCTION("GoogleFinance(B12,""price"",today()-7)"),"#N/A")</f>
        <v>#N/A</v>
      </c>
      <c r="AI12" s="31"/>
      <c r="AJ12" s="3" t="str">
        <f ca="1">IFERROR(__xludf.DUMMYFUNCTION("GoogleFinance(B12,""price"",today()-31)"),"#N/A")</f>
        <v>#N/A</v>
      </c>
      <c r="AK12" s="31"/>
      <c r="AL12" s="3" t="str">
        <f ca="1">IFERROR(__xludf.DUMMYFUNCTION("GoogleFinance(B12,""price"",today()-91)"),"#N/A")</f>
        <v>#N/A</v>
      </c>
      <c r="AM12" s="31"/>
      <c r="AN12" s="3" t="str">
        <f ca="1">IFERROR(__xludf.DUMMYFUNCTION("GoogleFinance(B12,""price"",today()-182)"),"#N/A")</f>
        <v>#N/A</v>
      </c>
      <c r="AO12" s="31"/>
      <c r="AP12" s="3" t="str">
        <f ca="1">IFERROR(__xludf.DUMMYFUNCTION("GoogleFinance(B12,""price"",DATE(2022,12,30))"),"Date")</f>
        <v>Date</v>
      </c>
      <c r="AQ12" s="31" t="str">
        <f ca="1">IFERROR(__xludf.DUMMYFUNCTION("""COMPUTED_VALUE"""),"Close")</f>
        <v>Close</v>
      </c>
      <c r="AR12" s="6"/>
      <c r="AS12" s="6"/>
      <c r="AT12" s="6"/>
      <c r="AU12" s="6"/>
      <c r="AX12" s="6"/>
      <c r="BD12" s="6"/>
      <c r="BE12" s="6"/>
      <c r="BF12" s="6"/>
      <c r="BG12" s="6"/>
      <c r="BH12" s="6"/>
      <c r="BI12" s="6"/>
      <c r="BJ12" s="6"/>
      <c r="BK12" s="6"/>
      <c r="BL12" s="6"/>
      <c r="BM12" s="6"/>
    </row>
    <row r="13" spans="1:74" ht="13.2" hidden="1" x14ac:dyDescent="0.25">
      <c r="A13" s="307"/>
      <c r="B13" s="329"/>
      <c r="C13" s="330"/>
      <c r="D13" s="329"/>
      <c r="E13" s="329"/>
      <c r="F13" s="329"/>
      <c r="G13" s="329"/>
      <c r="H13" s="331"/>
      <c r="I13" s="331"/>
      <c r="J13" s="331"/>
      <c r="K13" s="331"/>
      <c r="L13" s="331"/>
      <c r="M13" s="56"/>
      <c r="N13" s="57"/>
      <c r="O13" s="331"/>
      <c r="P13" s="331"/>
      <c r="Q13" s="332"/>
      <c r="R13" s="332"/>
      <c r="S13" s="332"/>
      <c r="T13" s="333"/>
      <c r="U13" s="333"/>
      <c r="V13" s="333"/>
      <c r="W13" s="333"/>
      <c r="X13" s="333"/>
      <c r="Y13" s="333"/>
      <c r="Z13" s="334"/>
      <c r="AA13" s="334"/>
      <c r="AB13" s="334"/>
      <c r="AC13" s="334"/>
      <c r="AD13" s="335"/>
      <c r="AE13" s="28"/>
      <c r="AF13" s="28"/>
      <c r="AG13" s="28"/>
      <c r="AH13" s="28"/>
      <c r="AI13" s="22"/>
      <c r="AJ13" s="28"/>
      <c r="AK13" s="22"/>
      <c r="AL13" s="28"/>
      <c r="AM13" s="22"/>
      <c r="AN13" s="28"/>
      <c r="AO13" s="22"/>
      <c r="AP13" s="28">
        <f ca="1">IFERROR(__xludf.DUMMYFUNCTION("""COMPUTED_VALUE"""),44925.6666666666)</f>
        <v>44925.666666666599</v>
      </c>
      <c r="AQ13" s="22">
        <f ca="1">IFERROR(__xludf.DUMMYFUNCTION("""COMPUTED_VALUE"""),39.08)</f>
        <v>39.08</v>
      </c>
      <c r="AR13" s="26"/>
      <c r="AS13" s="26"/>
      <c r="AT13" s="26"/>
      <c r="AU13" s="26"/>
      <c r="AV13" s="328"/>
      <c r="AW13" s="328"/>
      <c r="AX13" s="26"/>
      <c r="AY13" s="328"/>
      <c r="AZ13" s="328"/>
      <c r="BA13" s="328"/>
      <c r="BB13" s="328"/>
      <c r="BC13" s="328"/>
      <c r="BD13" s="26"/>
      <c r="BE13" s="26"/>
      <c r="BF13" s="26"/>
      <c r="BG13" s="26"/>
      <c r="BH13" s="26"/>
      <c r="BI13" s="26"/>
      <c r="BJ13" s="26"/>
      <c r="BK13" s="26"/>
      <c r="BL13" s="26"/>
      <c r="BM13" s="26"/>
      <c r="BN13" s="328"/>
      <c r="BO13" s="328"/>
      <c r="BP13" s="328"/>
      <c r="BQ13" s="328"/>
      <c r="BR13" s="328"/>
      <c r="BS13" s="328"/>
      <c r="BT13" s="328"/>
      <c r="BU13" s="328"/>
      <c r="BV13" s="328"/>
    </row>
    <row r="14" spans="1:74" ht="13.2" x14ac:dyDescent="0.25">
      <c r="A14" s="47">
        <f>1+A12</f>
        <v>6</v>
      </c>
      <c r="B14" s="1" t="s">
        <v>32</v>
      </c>
      <c r="C14" s="470" t="str">
        <f ca="1">IFERROR(__xludf.DUMMYFUNCTION("GoogleFinance(B14,""name"")"),"iShares Silver Trust")</f>
        <v>iShares Silver Trust</v>
      </c>
      <c r="D14" s="49">
        <f ca="1">IFERROR(__xludf.DUMMYFUNCTION("GoogleFinance(B14,""marketcap"")/1000000"),8250.521969)</f>
        <v>8250.5219689999994</v>
      </c>
      <c r="E14" s="50" t="s">
        <v>30</v>
      </c>
      <c r="F14" s="50" t="s">
        <v>33</v>
      </c>
      <c r="G14" s="51">
        <v>45064</v>
      </c>
      <c r="H14" s="52">
        <f ca="1">IFERROR(__xludf.DUMMYFUNCTION("GOOGLEFINANCE(B14)"),20.58)</f>
        <v>20.58</v>
      </c>
      <c r="I14" s="53">
        <v>21.61</v>
      </c>
      <c r="J14" s="54">
        <f>2000/I14</f>
        <v>92.549745488199903</v>
      </c>
      <c r="K14" s="55">
        <v>2000</v>
      </c>
      <c r="L14" s="56">
        <f ca="1">H14*J14</f>
        <v>1904.6737621471539</v>
      </c>
      <c r="M14" s="56">
        <f ca="1">L14-K14</f>
        <v>-95.326237852846134</v>
      </c>
      <c r="N14" s="57">
        <f ca="1">H14/I14-1</f>
        <v>-4.7663118926423054E-2</v>
      </c>
      <c r="O14" s="58">
        <f ca="1">TODAY()-G14</f>
        <v>40</v>
      </c>
      <c r="P14" s="59">
        <v>19.5</v>
      </c>
      <c r="Q14" s="57">
        <f ca="1">P14/H14-1</f>
        <v>-5.2478134110787056E-2</v>
      </c>
      <c r="R14" s="50">
        <v>26</v>
      </c>
      <c r="S14" s="60">
        <f ca="1">R14/H14-1</f>
        <v>0.26336248785228378</v>
      </c>
      <c r="T14" s="10">
        <v>0</v>
      </c>
      <c r="U14" s="10">
        <v>-3.1984948259642709E-2</v>
      </c>
      <c r="V14" s="10">
        <v>-3.7418147801683843E-2</v>
      </c>
      <c r="W14" s="10">
        <v>-3.0160226201696561E-2</v>
      </c>
      <c r="X14" s="10">
        <v>-6.919945725915877E-2</v>
      </c>
      <c r="Y14" s="10">
        <v>-6.5395095367847489E-2</v>
      </c>
      <c r="Z14" s="61" t="s">
        <v>73</v>
      </c>
      <c r="AA14" s="62" t="s">
        <v>74</v>
      </c>
      <c r="AB14" s="62" t="s">
        <v>74</v>
      </c>
      <c r="AC14" s="475" t="s">
        <v>120</v>
      </c>
      <c r="AD14" s="279" t="s">
        <v>215</v>
      </c>
      <c r="AE14" s="3"/>
      <c r="AF14" s="3"/>
      <c r="AG14" s="3"/>
      <c r="AH14" s="3" t="str">
        <f ca="1">IFERROR(__xludf.DUMMYFUNCTION("GoogleFinance(B14,""price"",today()-7)"),"#N/A")</f>
        <v>#N/A</v>
      </c>
      <c r="AI14" s="31"/>
      <c r="AJ14" s="3" t="str">
        <f ca="1">IFERROR(__xludf.DUMMYFUNCTION("GoogleFinance(B14,""price"",today()-31)"),"#N/A")</f>
        <v>#N/A</v>
      </c>
      <c r="AK14" s="31"/>
      <c r="AL14" s="3" t="str">
        <f ca="1">IFERROR(__xludf.DUMMYFUNCTION("GoogleFinance(B14,""price"",today()-91)"),"#N/A")</f>
        <v>#N/A</v>
      </c>
      <c r="AM14" s="31"/>
      <c r="AN14" s="3" t="str">
        <f ca="1">IFERROR(__xludf.DUMMYFUNCTION("GoogleFinance(B14,""price"",today()-182)"),"#N/A")</f>
        <v>#N/A</v>
      </c>
      <c r="AO14" s="31"/>
      <c r="AP14" s="3" t="str">
        <f ca="1">IFERROR(__xludf.DUMMYFUNCTION("GoogleFinance(B14,""price"",DATE(2022,12,30))"),"Date")</f>
        <v>Date</v>
      </c>
      <c r="AQ14" s="31" t="str">
        <f ca="1">IFERROR(__xludf.DUMMYFUNCTION("""COMPUTED_VALUE"""),"Close")</f>
        <v>Close</v>
      </c>
      <c r="AR14" s="6"/>
      <c r="AS14" s="6"/>
      <c r="AT14" s="6"/>
      <c r="AU14" s="6"/>
      <c r="AX14" s="6"/>
      <c r="BD14" s="6"/>
      <c r="BE14" s="6"/>
      <c r="BF14" s="6"/>
      <c r="BG14" s="6"/>
      <c r="BH14" s="6"/>
      <c r="BI14" s="6"/>
      <c r="BJ14" s="6"/>
      <c r="BK14" s="6"/>
      <c r="BL14" s="6"/>
      <c r="BM14" s="6"/>
    </row>
    <row r="15" spans="1:74" ht="13.2" x14ac:dyDescent="0.25">
      <c r="A15" s="307"/>
      <c r="B15" s="329"/>
      <c r="C15" s="330"/>
      <c r="D15" s="329"/>
      <c r="E15" s="329"/>
      <c r="F15" s="329"/>
      <c r="G15" s="329"/>
      <c r="H15" s="331"/>
      <c r="I15" s="331"/>
      <c r="J15" s="331"/>
      <c r="K15" s="331"/>
      <c r="L15" s="331"/>
      <c r="M15" s="56"/>
      <c r="N15" s="57"/>
      <c r="O15" s="331"/>
      <c r="P15" s="331"/>
      <c r="Q15" s="332"/>
      <c r="R15" s="332"/>
      <c r="S15" s="332"/>
      <c r="T15" s="333"/>
      <c r="U15" s="329"/>
      <c r="V15" s="329"/>
      <c r="W15" s="329"/>
      <c r="X15" s="329"/>
      <c r="Y15" s="329"/>
      <c r="Z15" s="334"/>
      <c r="AA15" s="334"/>
      <c r="AB15" s="334"/>
      <c r="AC15" s="334"/>
      <c r="AD15" s="335"/>
      <c r="AE15" s="28"/>
      <c r="AF15" s="28"/>
      <c r="AG15" s="28"/>
      <c r="AH15" s="28"/>
      <c r="AI15" s="22"/>
      <c r="AJ15" s="28"/>
      <c r="AK15" s="22"/>
      <c r="AL15" s="28"/>
      <c r="AM15" s="22"/>
      <c r="AN15" s="28"/>
      <c r="AO15" s="22"/>
      <c r="AP15" s="28">
        <f ca="1">IFERROR(__xludf.DUMMYFUNCTION("""COMPUTED_VALUE"""),44925.6666666666)</f>
        <v>44925.666666666599</v>
      </c>
      <c r="AQ15" s="22">
        <f ca="1">IFERROR(__xludf.DUMMYFUNCTION("""COMPUTED_VALUE"""),22.02)</f>
        <v>22.02</v>
      </c>
      <c r="AR15" s="26"/>
      <c r="AS15" s="26"/>
      <c r="AT15" s="26"/>
      <c r="AU15" s="26"/>
      <c r="AV15" s="328"/>
      <c r="AW15" s="328"/>
      <c r="AX15" s="26"/>
      <c r="AY15" s="328"/>
      <c r="AZ15" s="328"/>
      <c r="BA15" s="328"/>
      <c r="BB15" s="328"/>
      <c r="BC15" s="328"/>
      <c r="BD15" s="26"/>
      <c r="BE15" s="26"/>
      <c r="BF15" s="26"/>
      <c r="BG15" s="26"/>
      <c r="BH15" s="26"/>
      <c r="BI15" s="26"/>
      <c r="BJ15" s="26"/>
      <c r="BK15" s="26"/>
      <c r="BL15" s="26"/>
      <c r="BM15" s="26"/>
      <c r="BN15" s="328"/>
      <c r="BO15" s="328"/>
      <c r="BP15" s="328"/>
      <c r="BQ15" s="328"/>
      <c r="BR15" s="328"/>
      <c r="BS15" s="328"/>
      <c r="BT15" s="328"/>
      <c r="BU15" s="328"/>
      <c r="BV15" s="328"/>
    </row>
    <row r="16" spans="1:74" ht="5.25" customHeight="1" x14ac:dyDescent="0.25">
      <c r="A16" s="307"/>
      <c r="B16" s="336"/>
      <c r="C16" s="337"/>
      <c r="D16" s="336"/>
      <c r="E16" s="336"/>
      <c r="F16" s="336"/>
      <c r="G16" s="336"/>
      <c r="H16" s="338"/>
      <c r="I16" s="338"/>
      <c r="J16" s="338"/>
      <c r="K16" s="338"/>
      <c r="L16" s="338"/>
      <c r="M16" s="338"/>
      <c r="N16" s="338"/>
      <c r="O16" s="338"/>
      <c r="P16" s="338"/>
      <c r="Q16" s="339"/>
      <c r="R16" s="339"/>
      <c r="S16" s="339"/>
      <c r="T16" s="340"/>
      <c r="U16" s="336"/>
      <c r="V16" s="336"/>
      <c r="W16" s="336"/>
      <c r="X16" s="336"/>
      <c r="Y16" s="336"/>
      <c r="Z16" s="341"/>
      <c r="AA16" s="341"/>
      <c r="AB16" s="341"/>
      <c r="AC16" s="341"/>
      <c r="AD16" s="342"/>
      <c r="AE16" s="28"/>
      <c r="AF16" s="28"/>
      <c r="AG16" s="28"/>
      <c r="AH16" s="28"/>
      <c r="AI16" s="31"/>
      <c r="AJ16" s="28"/>
      <c r="AK16" s="31"/>
      <c r="AL16" s="28"/>
      <c r="AM16" s="31"/>
      <c r="AN16" s="28"/>
      <c r="AO16" s="31"/>
      <c r="AP16" s="28"/>
      <c r="AQ16" s="31"/>
      <c r="AR16" s="26"/>
      <c r="AS16" s="26"/>
      <c r="AT16" s="26"/>
      <c r="AU16" s="26"/>
      <c r="AX16" s="26"/>
      <c r="BD16" s="26"/>
      <c r="BE16" s="26"/>
      <c r="BF16" s="26"/>
      <c r="BG16" s="26"/>
      <c r="BH16" s="26"/>
      <c r="BI16" s="26"/>
      <c r="BJ16" s="26"/>
      <c r="BK16" s="26"/>
      <c r="BL16" s="26"/>
      <c r="BM16" s="26"/>
    </row>
    <row r="17" spans="1:74" ht="48" x14ac:dyDescent="0.25">
      <c r="A17" s="307"/>
      <c r="B17" s="38" t="s">
        <v>0</v>
      </c>
      <c r="C17" s="39" t="s">
        <v>1</v>
      </c>
      <c r="D17" s="38" t="s">
        <v>39</v>
      </c>
      <c r="E17" s="38" t="s">
        <v>2</v>
      </c>
      <c r="F17" s="38" t="s">
        <v>40</v>
      </c>
      <c r="G17" s="38" t="s">
        <v>41</v>
      </c>
      <c r="H17" s="40" t="s">
        <v>3</v>
      </c>
      <c r="I17" s="40" t="s">
        <v>239</v>
      </c>
      <c r="J17" s="40" t="s">
        <v>45</v>
      </c>
      <c r="K17" s="40" t="s">
        <v>240</v>
      </c>
      <c r="L17" s="40" t="s">
        <v>47</v>
      </c>
      <c r="M17" s="40" t="s">
        <v>48</v>
      </c>
      <c r="N17" s="40" t="s">
        <v>49</v>
      </c>
      <c r="O17" s="40" t="s">
        <v>50</v>
      </c>
      <c r="P17" s="40" t="s">
        <v>51</v>
      </c>
      <c r="Q17" s="41" t="s">
        <v>52</v>
      </c>
      <c r="R17" s="41" t="s">
        <v>53</v>
      </c>
      <c r="S17" s="41" t="s">
        <v>54</v>
      </c>
      <c r="T17" s="42" t="s">
        <v>4</v>
      </c>
      <c r="U17" s="38" t="s">
        <v>55</v>
      </c>
      <c r="V17" s="38" t="s">
        <v>56</v>
      </c>
      <c r="W17" s="38" t="s">
        <v>57</v>
      </c>
      <c r="X17" s="38" t="s">
        <v>58</v>
      </c>
      <c r="Y17" s="38" t="s">
        <v>59</v>
      </c>
      <c r="Z17" s="43" t="s">
        <v>241</v>
      </c>
      <c r="AA17" s="43" t="s">
        <v>230</v>
      </c>
      <c r="AB17" s="43" t="s">
        <v>180</v>
      </c>
      <c r="AC17" s="43" t="s">
        <v>65</v>
      </c>
      <c r="AD17" s="44" t="s">
        <v>67</v>
      </c>
      <c r="AE17" s="28"/>
      <c r="AF17" s="28"/>
      <c r="AG17" s="28"/>
      <c r="AH17" s="28"/>
      <c r="AI17" s="31"/>
      <c r="AJ17" s="28"/>
      <c r="AK17" s="31"/>
      <c r="AL17" s="28"/>
      <c r="AM17" s="31"/>
      <c r="AN17" s="28"/>
      <c r="AO17" s="31"/>
      <c r="AP17" s="28"/>
      <c r="AQ17" s="31"/>
      <c r="AR17" s="26"/>
      <c r="AS17" s="26"/>
      <c r="AT17" s="26"/>
      <c r="AU17" s="26"/>
      <c r="AX17" s="26"/>
      <c r="BD17" s="26"/>
      <c r="BE17" s="26"/>
      <c r="BF17" s="26"/>
      <c r="BG17" s="26"/>
      <c r="BH17" s="26"/>
      <c r="BI17" s="26"/>
      <c r="BJ17" s="26"/>
      <c r="BK17" s="26"/>
      <c r="BL17" s="26"/>
      <c r="BM17" s="26"/>
    </row>
    <row r="18" spans="1:74" ht="13.2" x14ac:dyDescent="0.25">
      <c r="A18" s="307"/>
      <c r="B18" s="343" t="s">
        <v>242</v>
      </c>
      <c r="C18" s="344"/>
      <c r="D18" s="345"/>
      <c r="E18" s="346"/>
      <c r="F18" s="346"/>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28"/>
      <c r="AF18" s="28"/>
      <c r="AG18" s="28"/>
      <c r="AH18" s="28"/>
      <c r="AI18" s="31"/>
      <c r="AJ18" s="28"/>
      <c r="AK18" s="31"/>
      <c r="AL18" s="28"/>
      <c r="AM18" s="31"/>
      <c r="AN18" s="28"/>
      <c r="AO18" s="31"/>
      <c r="AP18" s="28"/>
      <c r="AQ18" s="31"/>
      <c r="AR18" s="26"/>
      <c r="AS18" s="26"/>
      <c r="AT18" s="26"/>
      <c r="AU18" s="26"/>
      <c r="AX18" s="26"/>
      <c r="BD18" s="26"/>
      <c r="BE18" s="26"/>
      <c r="BF18" s="26"/>
      <c r="BG18" s="26"/>
      <c r="BH18" s="26"/>
      <c r="BI18" s="26"/>
      <c r="BJ18" s="26"/>
      <c r="BK18" s="26"/>
      <c r="BL18" s="26"/>
      <c r="BM18" s="26"/>
    </row>
    <row r="19" spans="1:74" ht="13.2" x14ac:dyDescent="0.25">
      <c r="A19" s="47">
        <v>1</v>
      </c>
      <c r="B19" s="1" t="s">
        <v>243</v>
      </c>
      <c r="C19" s="470" t="str">
        <f ca="1">IFERROR(__xludf.DUMMYFUNCTION("GoogleFinance(B19,""name"")"),"Shopify Inc")</f>
        <v>Shopify Inc</v>
      </c>
      <c r="D19" s="49">
        <f ca="1">IFERROR(__xludf.DUMMYFUNCTION("GoogleFinance(B19,""marketcap"")/1000000"),81584.54062)</f>
        <v>81584.54062</v>
      </c>
      <c r="E19" s="50" t="s">
        <v>244</v>
      </c>
      <c r="F19" s="50" t="s">
        <v>23</v>
      </c>
      <c r="G19" s="51">
        <v>45090</v>
      </c>
      <c r="H19" s="52">
        <f ca="1">IFERROR(__xludf.DUMMYFUNCTION("GOOGLEFINANCE(B19)"),63.79)</f>
        <v>63.79</v>
      </c>
      <c r="I19" s="53">
        <v>63.8</v>
      </c>
      <c r="J19" s="54">
        <f>2000/I19</f>
        <v>31.347962382445143</v>
      </c>
      <c r="K19" s="55">
        <v>2000</v>
      </c>
      <c r="L19" s="56">
        <f ca="1">J19*H19</f>
        <v>1999.6865203761756</v>
      </c>
      <c r="M19" s="56">
        <f ca="1">K19-L19</f>
        <v>0.313479623824378</v>
      </c>
      <c r="N19" s="57">
        <f ca="1">I19/H19-1</f>
        <v>1.5676438313216856E-4</v>
      </c>
      <c r="O19" s="58">
        <f ca="1">TODAY()-G19</f>
        <v>14</v>
      </c>
      <c r="P19" s="59">
        <v>69</v>
      </c>
      <c r="Q19" s="57">
        <f ca="1">H19/P19-1</f>
        <v>-7.550724637681161E-2</v>
      </c>
      <c r="R19" s="50">
        <v>54</v>
      </c>
      <c r="S19" s="60">
        <f>I19/R19-1</f>
        <v>0.18148148148148135</v>
      </c>
      <c r="T19" s="10">
        <v>2.0000000000000001E-4</v>
      </c>
      <c r="U19" s="10">
        <v>-7.3140367258015537E-3</v>
      </c>
      <c r="V19" s="10">
        <v>7.6442794465069186E-2</v>
      </c>
      <c r="W19" s="10">
        <v>0.41535389394275568</v>
      </c>
      <c r="X19" s="10">
        <v>0.91045223120694807</v>
      </c>
      <c r="Y19" s="10">
        <v>0.83779890521463551</v>
      </c>
      <c r="Z19" s="61" t="s">
        <v>73</v>
      </c>
      <c r="AA19" s="62" t="s">
        <v>117</v>
      </c>
      <c r="AB19" s="62" t="s">
        <v>117</v>
      </c>
      <c r="AC19" s="63" t="s">
        <v>120</v>
      </c>
      <c r="AD19" s="279" t="s">
        <v>245</v>
      </c>
      <c r="AE19" s="3"/>
      <c r="AF19" s="3"/>
      <c r="AG19" s="3"/>
      <c r="AH19" s="3" t="str">
        <f ca="1">IFERROR(__xludf.DUMMYFUNCTION("GoogleFinance(B19,""price"",today()-7)"),"#N/A")</f>
        <v>#N/A</v>
      </c>
      <c r="AI19" s="31"/>
      <c r="AJ19" s="3" t="str">
        <f ca="1">IFERROR(__xludf.DUMMYFUNCTION("GoogleFinance(B19,""price"",today()-31)"),"#N/A")</f>
        <v>#N/A</v>
      </c>
      <c r="AK19" s="31"/>
      <c r="AL19" s="3" t="str">
        <f ca="1">IFERROR(__xludf.DUMMYFUNCTION("GoogleFinance(B19,""price"",today()-91)"),"#N/A")</f>
        <v>#N/A</v>
      </c>
      <c r="AM19" s="31"/>
      <c r="AN19" s="3" t="str">
        <f ca="1">IFERROR(__xludf.DUMMYFUNCTION("GoogleFinance(B19,""price"",today()-182)"),"#N/A")</f>
        <v>#N/A</v>
      </c>
      <c r="AO19" s="31"/>
      <c r="AP19" s="3" t="str">
        <f ca="1">IFERROR(__xludf.DUMMYFUNCTION("GoogleFinance(B19,""price"",DATE(2022,12,30))"),"Date")</f>
        <v>Date</v>
      </c>
      <c r="AQ19" s="31" t="str">
        <f ca="1">IFERROR(__xludf.DUMMYFUNCTION("""COMPUTED_VALUE"""),"Close")</f>
        <v>Close</v>
      </c>
      <c r="AR19" s="6"/>
      <c r="AS19" s="6"/>
      <c r="AT19" s="6"/>
      <c r="AU19" s="6"/>
      <c r="AX19" s="6"/>
      <c r="BD19" s="6"/>
      <c r="BE19" s="6"/>
      <c r="BF19" s="6"/>
      <c r="BG19" s="6"/>
      <c r="BH19" s="6"/>
      <c r="BI19" s="6"/>
      <c r="BJ19" s="6"/>
      <c r="BK19" s="6"/>
      <c r="BL19" s="6"/>
      <c r="BM19" s="6"/>
    </row>
    <row r="20" spans="1:74" ht="13.2" hidden="1" x14ac:dyDescent="0.25">
      <c r="A20" s="47"/>
      <c r="B20" s="1"/>
      <c r="C20" s="48"/>
      <c r="D20" s="49"/>
      <c r="E20" s="50"/>
      <c r="F20" s="50"/>
      <c r="G20" s="51"/>
      <c r="H20" s="113"/>
      <c r="I20" s="53"/>
      <c r="J20" s="54"/>
      <c r="K20" s="55"/>
      <c r="L20" s="56"/>
      <c r="M20" s="56"/>
      <c r="N20" s="57"/>
      <c r="O20" s="58"/>
      <c r="P20" s="59"/>
      <c r="Q20" s="57"/>
      <c r="R20" s="50"/>
      <c r="S20" s="60"/>
      <c r="T20" s="71"/>
      <c r="U20" s="57"/>
      <c r="V20" s="57"/>
      <c r="W20" s="57"/>
      <c r="X20" s="57"/>
      <c r="Y20" s="57"/>
      <c r="Z20" s="61"/>
      <c r="AA20" s="62"/>
      <c r="AB20" s="62"/>
      <c r="AC20" s="63"/>
      <c r="AD20" s="348"/>
      <c r="AE20" s="3"/>
      <c r="AF20" s="3"/>
      <c r="AG20" s="3"/>
      <c r="AH20" s="3"/>
      <c r="AI20" s="31"/>
      <c r="AJ20" s="3"/>
      <c r="AK20" s="31"/>
      <c r="AL20" s="3"/>
      <c r="AM20" s="31"/>
      <c r="AN20" s="3"/>
      <c r="AO20" s="31"/>
      <c r="AP20" s="3">
        <f ca="1">IFERROR(__xludf.DUMMYFUNCTION("""COMPUTED_VALUE"""),44925.6666666666)</f>
        <v>44925.666666666599</v>
      </c>
      <c r="AQ20" s="31">
        <f ca="1">IFERROR(__xludf.DUMMYFUNCTION("""COMPUTED_VALUE"""),34.71)</f>
        <v>34.71</v>
      </c>
      <c r="AR20" s="6"/>
      <c r="AS20" s="6"/>
      <c r="AT20" s="6"/>
      <c r="AU20" s="6"/>
      <c r="AX20" s="6"/>
      <c r="BD20" s="6"/>
      <c r="BE20" s="6"/>
      <c r="BF20" s="6"/>
      <c r="BG20" s="6"/>
      <c r="BH20" s="6"/>
      <c r="BI20" s="6"/>
      <c r="BJ20" s="6"/>
      <c r="BK20" s="6"/>
      <c r="BL20" s="6"/>
      <c r="BM20" s="6"/>
    </row>
    <row r="21" spans="1:74" ht="13.2" x14ac:dyDescent="0.25">
      <c r="A21" s="47">
        <f>1+A19</f>
        <v>2</v>
      </c>
      <c r="B21" s="1" t="s">
        <v>246</v>
      </c>
      <c r="C21" s="470" t="str">
        <f ca="1">IFERROR(__xludf.DUMMYFUNCTION("GoogleFinance(B21,""name"")"),"Morgan Stanley")</f>
        <v>Morgan Stanley</v>
      </c>
      <c r="D21" s="49">
        <f ca="1">IFERROR(__xludf.DUMMYFUNCTION("GoogleFinance(B21,""marketcap"")/1000000"),139588.047598)</f>
        <v>139588.047598</v>
      </c>
      <c r="E21" s="50" t="s">
        <v>13</v>
      </c>
      <c r="F21" s="50" t="s">
        <v>19</v>
      </c>
      <c r="G21" s="51">
        <v>45091</v>
      </c>
      <c r="H21" s="52">
        <f ca="1">IFERROR(__xludf.DUMMYFUNCTION("GOOGLEFINANCE(B21)"),83.58)</f>
        <v>83.58</v>
      </c>
      <c r="I21" s="53">
        <v>88.1</v>
      </c>
      <c r="J21" s="54">
        <f>2000/I21</f>
        <v>22.701475595913735</v>
      </c>
      <c r="K21" s="55">
        <v>2000</v>
      </c>
      <c r="L21" s="56">
        <f ca="1">J21*H21</f>
        <v>1897.3893303064699</v>
      </c>
      <c r="M21" s="56">
        <f ca="1">K21-L21</f>
        <v>102.6106696935301</v>
      </c>
      <c r="N21" s="57">
        <f ca="1">I21/H21-1</f>
        <v>5.4079923426657128E-2</v>
      </c>
      <c r="O21" s="58">
        <f ca="1">TODAY()-G21</f>
        <v>13</v>
      </c>
      <c r="P21" s="59">
        <v>99.5</v>
      </c>
      <c r="Q21" s="57">
        <f ca="1">H21/P21-1</f>
        <v>-0.16000000000000003</v>
      </c>
      <c r="R21" s="50">
        <v>68</v>
      </c>
      <c r="S21" s="60">
        <f>I21/R21-1</f>
        <v>0.29558823529411749</v>
      </c>
      <c r="T21" s="10">
        <v>-1E-4</v>
      </c>
      <c r="U21" s="10">
        <v>-3.6319612590799077E-2</v>
      </c>
      <c r="V21" s="10">
        <v>-3.8140643623362225E-3</v>
      </c>
      <c r="W21" s="10">
        <v>-1.2523629489603061E-2</v>
      </c>
      <c r="X21" s="10">
        <v>-1.7399482718081449E-2</v>
      </c>
      <c r="Y21" s="10">
        <v>-1.6937191249117856E-2</v>
      </c>
      <c r="Z21" s="61" t="s">
        <v>73</v>
      </c>
      <c r="AA21" s="62" t="s">
        <v>117</v>
      </c>
      <c r="AB21" s="62" t="s">
        <v>117</v>
      </c>
      <c r="AC21" s="63" t="s">
        <v>120</v>
      </c>
      <c r="AD21" s="279" t="s">
        <v>245</v>
      </c>
      <c r="AE21" s="3"/>
      <c r="AF21" s="3"/>
      <c r="AG21" s="3"/>
      <c r="AH21" s="3" t="str">
        <f ca="1">IFERROR(__xludf.DUMMYFUNCTION("GoogleFinance(B21,""price"",today()-7)"),"#N/A")</f>
        <v>#N/A</v>
      </c>
      <c r="AI21" s="31"/>
      <c r="AJ21" s="3" t="str">
        <f ca="1">IFERROR(__xludf.DUMMYFUNCTION("GoogleFinance(B21,""price"",today()-31)"),"#N/A")</f>
        <v>#N/A</v>
      </c>
      <c r="AK21" s="31"/>
      <c r="AL21" s="3" t="str">
        <f ca="1">IFERROR(__xludf.DUMMYFUNCTION("GoogleFinance(B21,""price"",today()-91)"),"#N/A")</f>
        <v>#N/A</v>
      </c>
      <c r="AM21" s="31"/>
      <c r="AN21" s="3" t="str">
        <f ca="1">IFERROR(__xludf.DUMMYFUNCTION("GoogleFinance(B21,""price"",today()-182)"),"#N/A")</f>
        <v>#N/A</v>
      </c>
      <c r="AO21" s="31"/>
      <c r="AP21" s="3" t="str">
        <f ca="1">IFERROR(__xludf.DUMMYFUNCTION("GoogleFinance(B21,""price"",DATE(2022,12,30))"),"Date")</f>
        <v>Date</v>
      </c>
      <c r="AQ21" s="31" t="str">
        <f ca="1">IFERROR(__xludf.DUMMYFUNCTION("""COMPUTED_VALUE"""),"Close")</f>
        <v>Close</v>
      </c>
      <c r="AR21" s="6"/>
      <c r="AS21" s="6"/>
      <c r="AT21" s="6"/>
      <c r="AU21" s="6"/>
      <c r="AX21" s="6"/>
      <c r="BD21" s="6"/>
      <c r="BE21" s="6"/>
      <c r="BF21" s="6"/>
      <c r="BG21" s="6"/>
      <c r="BH21" s="6"/>
      <c r="BI21" s="6"/>
      <c r="BJ21" s="6"/>
      <c r="BK21" s="6"/>
      <c r="BL21" s="6"/>
      <c r="BM21" s="6"/>
    </row>
    <row r="22" spans="1:74" ht="13.2" hidden="1" x14ac:dyDescent="0.25">
      <c r="A22" s="47"/>
      <c r="B22" s="1"/>
      <c r="C22" s="48"/>
      <c r="D22" s="49"/>
      <c r="E22" s="50"/>
      <c r="F22" s="50"/>
      <c r="G22" s="51"/>
      <c r="H22" s="52"/>
      <c r="I22" s="53"/>
      <c r="J22" s="54"/>
      <c r="K22" s="55"/>
      <c r="L22" s="56"/>
      <c r="M22" s="56"/>
      <c r="N22" s="57"/>
      <c r="O22" s="58"/>
      <c r="P22" s="59"/>
      <c r="Q22" s="57"/>
      <c r="R22" s="50"/>
      <c r="S22" s="60"/>
      <c r="T22" s="71"/>
      <c r="U22" s="57"/>
      <c r="V22" s="57"/>
      <c r="W22" s="57"/>
      <c r="X22" s="57"/>
      <c r="Y22" s="57"/>
      <c r="Z22" s="61"/>
      <c r="AA22" s="62"/>
      <c r="AB22" s="62"/>
      <c r="AC22" s="63"/>
      <c r="AD22" s="348"/>
      <c r="AE22" s="3"/>
      <c r="AF22" s="3"/>
      <c r="AG22" s="3"/>
      <c r="AH22" s="3"/>
      <c r="AI22" s="31"/>
      <c r="AJ22" s="3"/>
      <c r="AK22" s="31"/>
      <c r="AL22" s="3"/>
      <c r="AM22" s="31"/>
      <c r="AN22" s="3"/>
      <c r="AO22" s="31"/>
      <c r="AP22" s="3">
        <f ca="1">IFERROR(__xludf.DUMMYFUNCTION("""COMPUTED_VALUE"""),44925.6666666666)</f>
        <v>44925.666666666599</v>
      </c>
      <c r="AQ22" s="31">
        <f ca="1">IFERROR(__xludf.DUMMYFUNCTION("""COMPUTED_VALUE"""),85.02)</f>
        <v>85.02</v>
      </c>
      <c r="AR22" s="6"/>
      <c r="AS22" s="6"/>
      <c r="AT22" s="6" t="s">
        <v>80</v>
      </c>
      <c r="AU22" s="6">
        <v>4.65E-2</v>
      </c>
      <c r="AV22" s="46">
        <v>-1.0200000000000001E-2</v>
      </c>
      <c r="AX22" s="6"/>
      <c r="BD22" s="6"/>
      <c r="BE22" s="6"/>
      <c r="BF22" s="6"/>
      <c r="BG22" s="6"/>
      <c r="BH22" s="6"/>
      <c r="BI22" s="6"/>
      <c r="BJ22" s="6"/>
      <c r="BK22" s="6"/>
      <c r="BL22" s="6"/>
      <c r="BM22" s="6"/>
    </row>
    <row r="23" spans="1:74" ht="13.2" x14ac:dyDescent="0.25">
      <c r="A23" s="47">
        <f>1+A21</f>
        <v>3</v>
      </c>
      <c r="B23" s="1" t="s">
        <v>162</v>
      </c>
      <c r="C23" s="470" t="str">
        <f ca="1">IFERROR(__xludf.DUMMYFUNCTION("GoogleFinance(B23,""name"")"),"Caterpillar Inc.")</f>
        <v>Caterpillar Inc.</v>
      </c>
      <c r="D23" s="49">
        <f ca="1">IFERROR(__xludf.DUMMYFUNCTION("GoogleFinance(B23,""marketcap"")/1000000"),120819.991566)</f>
        <v>120819.991566</v>
      </c>
      <c r="E23" s="50" t="s">
        <v>10</v>
      </c>
      <c r="F23" s="50" t="s">
        <v>159</v>
      </c>
      <c r="G23" s="51">
        <v>45092</v>
      </c>
      <c r="H23" s="52">
        <f ca="1">IFERROR(__xludf.DUMMYFUNCTION("GOOGLEFINANCE(B23)"),234.44)</f>
        <v>234.44</v>
      </c>
      <c r="I23" s="53">
        <v>245.8</v>
      </c>
      <c r="J23" s="54">
        <f>2000/I23</f>
        <v>8.1366965012205039</v>
      </c>
      <c r="K23" s="55">
        <v>2000</v>
      </c>
      <c r="L23" s="56">
        <f ca="1">J23*H23</f>
        <v>1907.5671277461349</v>
      </c>
      <c r="M23" s="56">
        <f ca="1">K23-L23</f>
        <v>92.432872253865071</v>
      </c>
      <c r="N23" s="57">
        <f ca="1">I23/H23-1</f>
        <v>4.8455894898481455E-2</v>
      </c>
      <c r="O23" s="58">
        <f ca="1">TODAY()-G23</f>
        <v>12</v>
      </c>
      <c r="P23" s="59">
        <v>255</v>
      </c>
      <c r="Q23" s="57">
        <f ca="1">H23/P23-1</f>
        <v>-8.0627450980392146E-2</v>
      </c>
      <c r="R23" s="50">
        <v>190</v>
      </c>
      <c r="S23" s="60">
        <f>I23/R23-1</f>
        <v>0.29368421052631577</v>
      </c>
      <c r="T23" s="10">
        <v>2.9999999999999997E-4</v>
      </c>
      <c r="U23" s="10">
        <v>-2.7825005183495732E-2</v>
      </c>
      <c r="V23" s="10">
        <v>0.10689329556185068</v>
      </c>
      <c r="W23" s="10">
        <v>7.5412844036697235E-2</v>
      </c>
      <c r="X23" s="10">
        <v>-3.5781854075841002E-2</v>
      </c>
      <c r="Y23" s="10">
        <v>-2.1372516279846376E-2</v>
      </c>
      <c r="Z23" s="61" t="s">
        <v>73</v>
      </c>
      <c r="AA23" s="62" t="s">
        <v>117</v>
      </c>
      <c r="AB23" s="62" t="s">
        <v>117</v>
      </c>
      <c r="AC23" s="63" t="s">
        <v>120</v>
      </c>
      <c r="AD23" s="279" t="s">
        <v>245</v>
      </c>
      <c r="AE23" s="3"/>
      <c r="AF23" s="3"/>
      <c r="AG23" s="3"/>
      <c r="AH23" s="3" t="str">
        <f ca="1">IFERROR(__xludf.DUMMYFUNCTION("GoogleFinance(B23,""price"",today()-7)"),"#N/A")</f>
        <v>#N/A</v>
      </c>
      <c r="AI23" s="31"/>
      <c r="AJ23" s="3" t="str">
        <f ca="1">IFERROR(__xludf.DUMMYFUNCTION("GoogleFinance(B23,""price"",today()-31)"),"#N/A")</f>
        <v>#N/A</v>
      </c>
      <c r="AK23" s="31"/>
      <c r="AL23" s="3" t="str">
        <f ca="1">IFERROR(__xludf.DUMMYFUNCTION("GoogleFinance(B23,""price"",today()-91)"),"#N/A")</f>
        <v>#N/A</v>
      </c>
      <c r="AM23" s="31"/>
      <c r="AN23" s="3" t="str">
        <f ca="1">IFERROR(__xludf.DUMMYFUNCTION("GoogleFinance(B23,""price"",today()-182)"),"#N/A")</f>
        <v>#N/A</v>
      </c>
      <c r="AO23" s="31"/>
      <c r="AP23" s="3" t="str">
        <f ca="1">IFERROR(__xludf.DUMMYFUNCTION("GoogleFinance(B23,""price"",DATE(2022,12,30))"),"Date")</f>
        <v>Date</v>
      </c>
      <c r="AQ23" s="31" t="str">
        <f ca="1">IFERROR(__xludf.DUMMYFUNCTION("""COMPUTED_VALUE"""),"Close")</f>
        <v>Close</v>
      </c>
      <c r="AR23" s="6"/>
      <c r="AS23" s="6"/>
      <c r="AT23" s="6"/>
      <c r="AU23" s="6"/>
      <c r="AX23" s="6"/>
      <c r="BD23" s="6"/>
      <c r="BE23" s="6"/>
      <c r="BF23" s="6"/>
      <c r="BG23" s="6"/>
      <c r="BH23" s="6"/>
      <c r="BI23" s="6"/>
      <c r="BJ23" s="6"/>
      <c r="BK23" s="6"/>
      <c r="BL23" s="6"/>
      <c r="BM23" s="6"/>
    </row>
    <row r="24" spans="1:74" ht="13.2" hidden="1" x14ac:dyDescent="0.25">
      <c r="A24" s="47"/>
      <c r="B24" s="1"/>
      <c r="C24" s="48"/>
      <c r="D24" s="49"/>
      <c r="E24" s="50"/>
      <c r="F24" s="50"/>
      <c r="G24" s="51"/>
      <c r="H24" s="52"/>
      <c r="I24" s="53"/>
      <c r="J24" s="54"/>
      <c r="K24" s="55"/>
      <c r="L24" s="56"/>
      <c r="M24" s="56"/>
      <c r="N24" s="57"/>
      <c r="O24" s="58"/>
      <c r="P24" s="59"/>
      <c r="Q24" s="57"/>
      <c r="R24" s="50"/>
      <c r="S24" s="60"/>
      <c r="T24" s="71"/>
      <c r="U24" s="57"/>
      <c r="V24" s="57"/>
      <c r="W24" s="57"/>
      <c r="X24" s="57"/>
      <c r="Y24" s="57"/>
      <c r="Z24" s="61"/>
      <c r="AA24" s="62"/>
      <c r="AB24" s="62"/>
      <c r="AC24" s="63"/>
      <c r="AD24" s="348"/>
      <c r="AE24" s="3"/>
      <c r="AF24" s="3"/>
      <c r="AG24" s="3"/>
      <c r="AH24" s="3"/>
      <c r="AI24" s="31"/>
      <c r="AJ24" s="3"/>
      <c r="AK24" s="31"/>
      <c r="AL24" s="3"/>
      <c r="AM24" s="31"/>
      <c r="AN24" s="3"/>
      <c r="AO24" s="31"/>
      <c r="AP24" s="3">
        <f ca="1">IFERROR(__xludf.DUMMYFUNCTION("""COMPUTED_VALUE"""),44925.6666666666)</f>
        <v>44925.666666666599</v>
      </c>
      <c r="AQ24" s="31">
        <f ca="1">IFERROR(__xludf.DUMMYFUNCTION("""COMPUTED_VALUE"""),239.56)</f>
        <v>239.56</v>
      </c>
      <c r="AR24" s="6"/>
      <c r="AS24" s="6"/>
      <c r="AT24" s="6" t="s">
        <v>80</v>
      </c>
      <c r="AU24" s="6">
        <v>4.65E-2</v>
      </c>
      <c r="AV24" s="46">
        <v>-1.0200000000000001E-2</v>
      </c>
      <c r="AX24" s="6"/>
      <c r="BD24" s="6"/>
      <c r="BE24" s="6"/>
      <c r="BF24" s="6"/>
      <c r="BG24" s="6"/>
      <c r="BH24" s="6"/>
      <c r="BI24" s="6"/>
      <c r="BJ24" s="6"/>
      <c r="BK24" s="6"/>
      <c r="BL24" s="6"/>
      <c r="BM24" s="6"/>
    </row>
    <row r="25" spans="1:74" ht="13.2" x14ac:dyDescent="0.25">
      <c r="A25" s="47">
        <f>1+A23</f>
        <v>4</v>
      </c>
      <c r="B25" s="1" t="s">
        <v>247</v>
      </c>
      <c r="C25" s="470" t="str">
        <f ca="1">IFERROR(__xludf.DUMMYFUNCTION("GoogleFinance(B25,""name"")"),"SPDR S&amp;P Retail ETF")</f>
        <v>SPDR S&amp;P Retail ETF</v>
      </c>
      <c r="D25" s="49">
        <f ca="1">IFERROR(__xludf.DUMMYFUNCTION("GoogleFinance(B25,""marketcap"")/1000000"),448.281425)</f>
        <v>448.28142500000001</v>
      </c>
      <c r="E25" s="50" t="s">
        <v>9</v>
      </c>
      <c r="F25" s="50" t="s">
        <v>248</v>
      </c>
      <c r="G25" s="51">
        <v>45093</v>
      </c>
      <c r="H25" s="52">
        <f ca="1">IFERROR(__xludf.DUMMYFUNCTION("GOOGLEFINANCE(B25)"),61.83)</f>
        <v>61.83</v>
      </c>
      <c r="I25" s="53">
        <v>62.56</v>
      </c>
      <c r="J25" s="54">
        <f>2000/I25</f>
        <v>31.9693094629156</v>
      </c>
      <c r="K25" s="55">
        <v>2000</v>
      </c>
      <c r="L25" s="56">
        <f ca="1">J25*H25</f>
        <v>1976.6624040920715</v>
      </c>
      <c r="M25" s="56">
        <f ca="1">K25-L25</f>
        <v>23.337595907928517</v>
      </c>
      <c r="N25" s="57">
        <f ca="1">I25/H25-1</f>
        <v>1.1806566391719286E-2</v>
      </c>
      <c r="O25" s="58">
        <f ca="1">TODAY()-G25</f>
        <v>11</v>
      </c>
      <c r="P25" s="59">
        <v>73</v>
      </c>
      <c r="Q25" s="57">
        <f ca="1">H25/P25-1</f>
        <v>-0.15301369863013703</v>
      </c>
      <c r="R25" s="50">
        <v>44</v>
      </c>
      <c r="S25" s="60">
        <f>I25/R25-1</f>
        <v>0.42181818181818187</v>
      </c>
      <c r="T25" s="10">
        <v>0</v>
      </c>
      <c r="U25" s="10">
        <v>-3.8666022232962671E-3</v>
      </c>
      <c r="V25" s="10">
        <v>5.6020495303159779E-2</v>
      </c>
      <c r="W25" s="10">
        <v>2.3506042046018916E-2</v>
      </c>
      <c r="X25" s="10">
        <v>3.5678391959798939E-2</v>
      </c>
      <c r="Y25" s="10">
        <v>2.2828784119106604E-2</v>
      </c>
      <c r="Z25" s="61" t="s">
        <v>73</v>
      </c>
      <c r="AA25" s="62" t="s">
        <v>117</v>
      </c>
      <c r="AB25" s="62" t="s">
        <v>117</v>
      </c>
      <c r="AC25" s="63" t="s">
        <v>120</v>
      </c>
      <c r="AD25" s="279" t="s">
        <v>245</v>
      </c>
      <c r="AE25" s="3"/>
      <c r="AF25" s="3"/>
      <c r="AG25" s="3"/>
      <c r="AH25" s="3" t="str">
        <f ca="1">IFERROR(__xludf.DUMMYFUNCTION("GoogleFinance(B25,""price"",today()-7)"),"#N/A")</f>
        <v>#N/A</v>
      </c>
      <c r="AI25" s="31"/>
      <c r="AJ25" s="3" t="str">
        <f ca="1">IFERROR(__xludf.DUMMYFUNCTION("GoogleFinance(B25,""price"",today()-31)"),"#N/A")</f>
        <v>#N/A</v>
      </c>
      <c r="AK25" s="31"/>
      <c r="AL25" s="3" t="str">
        <f ca="1">IFERROR(__xludf.DUMMYFUNCTION("GoogleFinance(B25,""price"",today()-91)"),"#N/A")</f>
        <v>#N/A</v>
      </c>
      <c r="AM25" s="31"/>
      <c r="AN25" s="3" t="str">
        <f ca="1">IFERROR(__xludf.DUMMYFUNCTION("GoogleFinance(B25,""price"",today()-182)"),"#N/A")</f>
        <v>#N/A</v>
      </c>
      <c r="AO25" s="31"/>
      <c r="AP25" s="3" t="str">
        <f ca="1">IFERROR(__xludf.DUMMYFUNCTION("GoogleFinance(B25,""price"",DATE(2022,12,30))"),"#N/A")</f>
        <v>#N/A</v>
      </c>
      <c r="AQ25" s="31" t="s">
        <v>6</v>
      </c>
      <c r="AR25" s="6"/>
      <c r="AS25" s="6"/>
      <c r="AT25" s="6"/>
      <c r="AU25" s="6"/>
      <c r="AX25" s="6"/>
      <c r="BD25" s="6"/>
      <c r="BE25" s="6"/>
      <c r="BF25" s="6"/>
      <c r="BG25" s="6"/>
      <c r="BH25" s="6"/>
      <c r="BI25" s="6"/>
      <c r="BJ25" s="6"/>
      <c r="BK25" s="6"/>
      <c r="BL25" s="6"/>
      <c r="BM25" s="6"/>
    </row>
    <row r="26" spans="1:74" ht="13.2" hidden="1" x14ac:dyDescent="0.25">
      <c r="A26" s="47"/>
      <c r="B26" s="1"/>
      <c r="C26" s="48"/>
      <c r="D26" s="49"/>
      <c r="E26" s="50"/>
      <c r="F26" s="50"/>
      <c r="G26" s="51"/>
      <c r="H26" s="113"/>
      <c r="I26" s="53"/>
      <c r="J26" s="54"/>
      <c r="K26" s="55"/>
      <c r="L26" s="56"/>
      <c r="M26" s="56"/>
      <c r="N26" s="57"/>
      <c r="O26" s="58"/>
      <c r="P26" s="59"/>
      <c r="Q26" s="57"/>
      <c r="R26" s="50"/>
      <c r="S26" s="60"/>
      <c r="T26" s="71"/>
      <c r="U26" s="57"/>
      <c r="V26" s="57"/>
      <c r="W26" s="57"/>
      <c r="X26" s="57"/>
      <c r="Y26" s="57"/>
      <c r="Z26" s="61"/>
      <c r="AA26" s="62"/>
      <c r="AB26" s="62"/>
      <c r="AC26" s="63"/>
      <c r="AD26" s="348"/>
      <c r="AE26" s="3"/>
      <c r="AF26" s="3"/>
      <c r="AG26" s="3"/>
      <c r="AH26" s="3"/>
      <c r="AI26" s="31"/>
      <c r="AJ26" s="3"/>
      <c r="AK26" s="31"/>
      <c r="AL26" s="3"/>
      <c r="AM26" s="31"/>
      <c r="AN26" s="3"/>
      <c r="AO26" s="31"/>
      <c r="AP26" s="3">
        <v>44925.666666666672</v>
      </c>
      <c r="AQ26" s="31">
        <v>60.45</v>
      </c>
      <c r="AR26" s="6"/>
      <c r="AS26" s="6"/>
      <c r="AT26" s="6" t="s">
        <v>80</v>
      </c>
      <c r="AU26" s="6">
        <v>4.65E-2</v>
      </c>
      <c r="AV26" s="46">
        <v>-1.0200000000000001E-2</v>
      </c>
      <c r="AX26" s="6"/>
      <c r="BD26" s="6"/>
      <c r="BE26" s="6"/>
      <c r="BF26" s="6"/>
      <c r="BG26" s="6"/>
      <c r="BH26" s="6"/>
      <c r="BI26" s="6"/>
      <c r="BJ26" s="6"/>
      <c r="BK26" s="6"/>
      <c r="BL26" s="6"/>
      <c r="BM26" s="6"/>
    </row>
    <row r="27" spans="1:74" ht="13.2" x14ac:dyDescent="0.25">
      <c r="A27" s="106">
        <f>1+A25</f>
        <v>5</v>
      </c>
      <c r="B27" s="30" t="s">
        <v>249</v>
      </c>
      <c r="C27" s="107" t="str">
        <f ca="1">IFERROR(__xludf.DUMMYFUNCTION("GoogleFinance(B27,""name"")"),"RH")</f>
        <v>RH</v>
      </c>
      <c r="D27" s="108">
        <f ca="1">IFERROR(__xludf.DUMMYFUNCTION("GoogleFinance(B27,""marketcap"")/1000000"),6414.764781)</f>
        <v>6414.7647809999999</v>
      </c>
      <c r="E27" s="109" t="s">
        <v>9</v>
      </c>
      <c r="F27" s="109" t="s">
        <v>248</v>
      </c>
      <c r="G27" s="110">
        <v>45100</v>
      </c>
      <c r="H27" s="113">
        <f ca="1">IFERROR(__xludf.DUMMYFUNCTION("GOOGLEFINANCE(B27)"),290.89)</f>
        <v>290.89</v>
      </c>
      <c r="I27" s="114">
        <v>291.88</v>
      </c>
      <c r="J27" s="115">
        <f>2000/I27</f>
        <v>6.8521310127449642</v>
      </c>
      <c r="K27" s="116">
        <v>2000</v>
      </c>
      <c r="L27" s="117">
        <f ca="1">J27*H27</f>
        <v>1993.2163902973825</v>
      </c>
      <c r="M27" s="117">
        <f ca="1">K27-L27</f>
        <v>6.7836097026174684</v>
      </c>
      <c r="N27" s="118">
        <f ca="1">I27/H27-1</f>
        <v>3.4033483447351021E-3</v>
      </c>
      <c r="O27" s="119">
        <f ca="1">TODAY()-G27</f>
        <v>4</v>
      </c>
      <c r="P27" s="120">
        <v>320</v>
      </c>
      <c r="Q27" s="118">
        <f ca="1">H27/P27-1</f>
        <v>-9.0968750000000043E-2</v>
      </c>
      <c r="R27" s="109">
        <v>200</v>
      </c>
      <c r="S27" s="121">
        <f>I27/R27-1</f>
        <v>0.45940000000000003</v>
      </c>
      <c r="T27" s="122">
        <v>0</v>
      </c>
      <c r="U27" s="122">
        <v>4.5584832682943333E-3</v>
      </c>
      <c r="V27" s="122">
        <v>0.17855117089376882</v>
      </c>
      <c r="W27" s="122">
        <v>0.2069623667067757</v>
      </c>
      <c r="X27" s="122">
        <v>0.11610328818631777</v>
      </c>
      <c r="Y27" s="122">
        <v>8.8700924435794803E-2</v>
      </c>
      <c r="Z27" s="123" t="s">
        <v>73</v>
      </c>
      <c r="AA27" s="124" t="s">
        <v>117</v>
      </c>
      <c r="AB27" s="124" t="s">
        <v>117</v>
      </c>
      <c r="AC27" s="125" t="s">
        <v>120</v>
      </c>
      <c r="AD27" s="349" t="s">
        <v>245</v>
      </c>
      <c r="AE27" s="111"/>
      <c r="AF27" s="111"/>
      <c r="AG27" s="111"/>
      <c r="AH27" s="111" t="str">
        <f ca="1">IFERROR(__xludf.DUMMYFUNCTION("GoogleFinance(B27,""price"",today()-7)"),"#N/A")</f>
        <v>#N/A</v>
      </c>
      <c r="AI27" s="128"/>
      <c r="AJ27" s="111" t="str">
        <f ca="1">IFERROR(__xludf.DUMMYFUNCTION("GoogleFinance(B27,""price"",today()-31)"),"#N/A")</f>
        <v>#N/A</v>
      </c>
      <c r="AK27" s="128"/>
      <c r="AL27" s="111" t="str">
        <f ca="1">IFERROR(__xludf.DUMMYFUNCTION("GoogleFinance(B27,""price"",today()-91)"),"#N/A")</f>
        <v>#N/A</v>
      </c>
      <c r="AM27" s="128"/>
      <c r="AN27" s="111" t="str">
        <f ca="1">IFERROR(__xludf.DUMMYFUNCTION("GoogleFinance(B27,""price"",today()-182)"),"#N/A")</f>
        <v>#N/A</v>
      </c>
      <c r="AO27" s="128"/>
      <c r="AP27" s="111" t="str">
        <f ca="1">IFERROR(__xludf.DUMMYFUNCTION("GoogleFinance(B27,""price"",DATE(2022,12,30))"),"Date")</f>
        <v>Date</v>
      </c>
      <c r="AQ27" s="128" t="str">
        <f ca="1">IFERROR(__xludf.DUMMYFUNCTION("""COMPUTED_VALUE"""),"Close")</f>
        <v>Close</v>
      </c>
      <c r="AR27" s="82"/>
      <c r="AS27" s="82"/>
      <c r="AT27" s="82"/>
      <c r="AU27" s="82"/>
      <c r="AV27" s="129"/>
      <c r="AW27" s="129"/>
      <c r="AX27" s="82"/>
      <c r="AY27" s="129"/>
      <c r="AZ27" s="129"/>
      <c r="BA27" s="129"/>
      <c r="BB27" s="129"/>
      <c r="BC27" s="129"/>
      <c r="BD27" s="82"/>
      <c r="BE27" s="82"/>
      <c r="BF27" s="82"/>
      <c r="BG27" s="82"/>
      <c r="BH27" s="82"/>
      <c r="BI27" s="82"/>
      <c r="BJ27" s="82"/>
      <c r="BK27" s="82"/>
      <c r="BL27" s="82"/>
      <c r="BM27" s="82"/>
      <c r="BN27" s="129"/>
      <c r="BO27" s="129"/>
      <c r="BP27" s="129"/>
      <c r="BQ27" s="129"/>
      <c r="BR27" s="129"/>
      <c r="BS27" s="129"/>
      <c r="BT27" s="129"/>
      <c r="BU27" s="129"/>
      <c r="BV27" s="129"/>
    </row>
    <row r="28" spans="1:74" ht="13.2" hidden="1" x14ac:dyDescent="0.25">
      <c r="A28" s="47"/>
      <c r="B28" s="1"/>
      <c r="C28" s="48"/>
      <c r="D28" s="49"/>
      <c r="E28" s="50"/>
      <c r="F28" s="50"/>
      <c r="G28" s="51"/>
      <c r="H28" s="113"/>
      <c r="I28" s="53"/>
      <c r="J28" s="54"/>
      <c r="K28" s="55"/>
      <c r="L28" s="56"/>
      <c r="M28" s="56"/>
      <c r="N28" s="57"/>
      <c r="O28" s="58"/>
      <c r="P28" s="59"/>
      <c r="Q28" s="57"/>
      <c r="R28" s="50"/>
      <c r="S28" s="60"/>
      <c r="T28" s="71"/>
      <c r="U28" s="57"/>
      <c r="V28" s="57"/>
      <c r="W28" s="57"/>
      <c r="X28" s="57"/>
      <c r="Y28" s="57"/>
      <c r="Z28" s="61"/>
      <c r="AA28" s="62"/>
      <c r="AB28" s="62"/>
      <c r="AC28" s="63"/>
      <c r="AD28" s="348"/>
      <c r="AE28" s="3"/>
      <c r="AF28" s="3"/>
      <c r="AG28" s="3"/>
      <c r="AH28" s="3"/>
      <c r="AI28" s="31"/>
      <c r="AJ28" s="3"/>
      <c r="AK28" s="31"/>
      <c r="AL28" s="3"/>
      <c r="AM28" s="31"/>
      <c r="AN28" s="3"/>
      <c r="AO28" s="31"/>
      <c r="AP28" s="3">
        <f ca="1">IFERROR(__xludf.DUMMYFUNCTION("""COMPUTED_VALUE"""),44925.6666666666)</f>
        <v>44925.666666666599</v>
      </c>
      <c r="AQ28" s="31">
        <f ca="1">IFERROR(__xludf.DUMMYFUNCTION("""COMPUTED_VALUE"""),267.19)</f>
        <v>267.19</v>
      </c>
      <c r="AR28" s="6"/>
      <c r="AS28" s="6"/>
      <c r="AT28" s="6" t="s">
        <v>80</v>
      </c>
      <c r="AU28" s="6">
        <v>4.65E-2</v>
      </c>
      <c r="AV28" s="46">
        <v>-1.0200000000000001E-2</v>
      </c>
      <c r="AX28" s="6"/>
      <c r="BD28" s="6"/>
      <c r="BE28" s="6"/>
      <c r="BF28" s="6"/>
      <c r="BG28" s="6"/>
      <c r="BH28" s="6"/>
      <c r="BI28" s="6"/>
      <c r="BJ28" s="6"/>
      <c r="BK28" s="6"/>
      <c r="BL28" s="6"/>
      <c r="BM28" s="6"/>
    </row>
    <row r="29" spans="1:74" ht="6.75" customHeight="1" x14ac:dyDescent="0.25">
      <c r="A29" s="350"/>
      <c r="B29" s="350"/>
      <c r="C29" s="351"/>
      <c r="D29" s="352"/>
      <c r="E29" s="353"/>
      <c r="F29" s="354"/>
      <c r="G29" s="354"/>
      <c r="H29" s="355"/>
      <c r="I29" s="350"/>
      <c r="J29" s="350"/>
      <c r="K29" s="350"/>
      <c r="L29" s="356"/>
      <c r="M29" s="356"/>
      <c r="N29" s="350"/>
      <c r="O29" s="357"/>
      <c r="P29" s="355"/>
      <c r="Q29" s="350"/>
      <c r="R29" s="350"/>
      <c r="S29" s="358"/>
      <c r="T29" s="359"/>
      <c r="U29" s="360"/>
      <c r="V29" s="360"/>
      <c r="W29" s="360"/>
      <c r="X29" s="360"/>
      <c r="Y29" s="360"/>
      <c r="Z29" s="361"/>
      <c r="AA29" s="362"/>
      <c r="AB29" s="362"/>
      <c r="AC29" s="362"/>
      <c r="AD29" s="362"/>
      <c r="AE29" s="3"/>
      <c r="AF29" s="3"/>
      <c r="AG29" s="3"/>
      <c r="AH29" s="8"/>
      <c r="AI29" s="144"/>
      <c r="AJ29" s="51"/>
      <c r="AK29" s="144"/>
      <c r="AL29" s="51"/>
      <c r="AM29" s="144"/>
      <c r="AN29" s="51"/>
      <c r="AO29" s="144"/>
      <c r="AP29" s="8"/>
      <c r="AQ29" s="144"/>
      <c r="AR29" s="6"/>
      <c r="AS29" s="6"/>
      <c r="AT29" s="6"/>
      <c r="AU29" s="6"/>
      <c r="AV29" s="26"/>
      <c r="AW29" s="26"/>
      <c r="AX29" s="6"/>
      <c r="AY29" s="26"/>
      <c r="AZ29" s="26"/>
      <c r="BA29" s="26"/>
      <c r="BB29" s="26"/>
      <c r="BC29" s="26"/>
      <c r="BD29" s="6"/>
      <c r="BE29" s="6"/>
      <c r="BF29" s="6"/>
      <c r="BG29" s="6"/>
      <c r="BH29" s="6"/>
      <c r="BI29" s="6"/>
      <c r="BJ29" s="6"/>
      <c r="BK29" s="6"/>
      <c r="BL29" s="6"/>
      <c r="BM29" s="6"/>
    </row>
    <row r="30" spans="1:74" ht="6.75" customHeight="1" x14ac:dyDescent="0.25">
      <c r="A30" s="363"/>
      <c r="B30" s="363"/>
      <c r="C30" s="364"/>
      <c r="D30" s="365"/>
      <c r="E30" s="366"/>
      <c r="F30" s="367"/>
      <c r="G30" s="367"/>
      <c r="H30" s="368"/>
      <c r="I30" s="363"/>
      <c r="J30" s="363"/>
      <c r="K30" s="363"/>
      <c r="L30" s="363"/>
      <c r="M30" s="363"/>
      <c r="N30" s="363"/>
      <c r="O30" s="369"/>
      <c r="P30" s="368"/>
      <c r="Q30" s="363"/>
      <c r="R30" s="363"/>
      <c r="S30" s="370"/>
      <c r="T30" s="371"/>
      <c r="U30" s="372"/>
      <c r="V30" s="372"/>
      <c r="W30" s="372"/>
      <c r="X30" s="372"/>
      <c r="Y30" s="372"/>
      <c r="Z30" s="373"/>
      <c r="AA30" s="374"/>
      <c r="AB30" s="374"/>
      <c r="AC30" s="374"/>
      <c r="AD30" s="374"/>
      <c r="AE30" s="3"/>
      <c r="AF30" s="3"/>
      <c r="AG30" s="3"/>
      <c r="AH30" s="8"/>
      <c r="AI30" s="5"/>
      <c r="AJ30" s="51"/>
      <c r="AK30" s="5"/>
      <c r="AL30" s="51"/>
      <c r="AM30" s="5"/>
      <c r="AN30" s="51"/>
      <c r="AO30" s="5"/>
      <c r="AP30" s="8"/>
      <c r="AQ30" s="5"/>
      <c r="AR30" s="6"/>
      <c r="AS30" s="6"/>
      <c r="AT30" s="6"/>
      <c r="AU30" s="6"/>
      <c r="AV30" s="6"/>
      <c r="AW30" s="6"/>
      <c r="AX30" s="6"/>
      <c r="AY30" s="6"/>
      <c r="AZ30" s="6"/>
      <c r="BA30" s="6"/>
      <c r="BB30" s="6"/>
      <c r="BC30" s="6"/>
      <c r="BD30" s="6"/>
      <c r="BE30" s="6"/>
      <c r="BF30" s="6"/>
      <c r="BG30" s="6"/>
      <c r="BH30" s="6"/>
      <c r="BI30" s="6"/>
      <c r="BJ30" s="6"/>
      <c r="BK30" s="6"/>
      <c r="BL30" s="6"/>
      <c r="BM30" s="6"/>
    </row>
    <row r="31" spans="1:74" ht="15.75" customHeight="1" x14ac:dyDescent="0.25">
      <c r="A31" s="193"/>
      <c r="B31" s="193"/>
      <c r="C31" s="193"/>
      <c r="D31" s="193"/>
      <c r="E31" s="193"/>
      <c r="F31" s="193"/>
      <c r="G31" s="194"/>
      <c r="H31" s="375" t="s">
        <v>35</v>
      </c>
      <c r="I31" s="376"/>
      <c r="J31" s="376"/>
      <c r="K31" s="377">
        <f ca="1">SUM(K4:K15)+L19+L21+L23+L25+L27</f>
        <v>19774.521772818232</v>
      </c>
      <c r="L31" s="377">
        <f ca="1">SUM(L4:L15)+K19+K21+K23+K25+K27</f>
        <v>19284.379960072169</v>
      </c>
      <c r="M31" s="378">
        <f ca="1">SUM(M2:M14)+M19+M21+M23+M25</f>
        <v>-496.92542244868184</v>
      </c>
      <c r="N31" s="379">
        <f ca="1">L31/K31-1</f>
        <v>-2.4786531799712352E-2</v>
      </c>
      <c r="O31" s="380">
        <f ca="1">AVERAGE(O4:O14,O19:O25)</f>
        <v>30.5</v>
      </c>
      <c r="P31" s="199"/>
      <c r="Q31" s="82"/>
      <c r="R31" s="82"/>
      <c r="S31" s="82"/>
      <c r="T31" s="82"/>
      <c r="U31" s="139"/>
      <c r="V31" s="139"/>
      <c r="W31" s="139"/>
      <c r="X31" s="139"/>
      <c r="Y31" s="139"/>
      <c r="Z31" s="4"/>
      <c r="AA31" s="4"/>
      <c r="AB31" s="4"/>
      <c r="AC31" s="4"/>
      <c r="AD31" s="4"/>
      <c r="AE31" s="3"/>
      <c r="AF31" s="3"/>
      <c r="AG31" s="3"/>
      <c r="AH31" s="4"/>
      <c r="AI31" s="30"/>
      <c r="AJ31" s="30"/>
      <c r="AK31" s="30"/>
      <c r="AL31" s="30"/>
      <c r="AM31" s="30"/>
      <c r="AN31" s="30"/>
      <c r="AO31" s="30"/>
      <c r="AP31" s="30"/>
      <c r="AQ31" s="30"/>
      <c r="AR31" s="30"/>
      <c r="AS31" s="30"/>
      <c r="AT31" s="6"/>
      <c r="AU31" s="6"/>
      <c r="AV31" s="6"/>
      <c r="AW31" s="6"/>
      <c r="AX31" s="6"/>
      <c r="AY31" s="6"/>
      <c r="AZ31" s="6"/>
      <c r="BA31" s="30"/>
      <c r="BB31" s="30"/>
      <c r="BC31" s="30"/>
      <c r="BD31" s="30"/>
      <c r="BE31" s="30"/>
      <c r="BF31" s="30"/>
      <c r="BG31" s="30"/>
      <c r="BH31" s="30"/>
      <c r="BI31" s="30"/>
      <c r="BJ31" s="30"/>
      <c r="BK31" s="30"/>
      <c r="BL31" s="30"/>
      <c r="BM31" s="30"/>
      <c r="BN31" s="30"/>
      <c r="BO31" s="30"/>
      <c r="BP31" s="30"/>
      <c r="BQ31" s="30"/>
      <c r="BR31" s="30"/>
      <c r="BS31" s="30"/>
      <c r="BT31" s="30"/>
      <c r="BU31" s="30"/>
      <c r="BV31" s="30"/>
    </row>
    <row r="32" spans="1:74" ht="15.75" customHeight="1" x14ac:dyDescent="0.25">
      <c r="A32" s="193"/>
      <c r="B32" s="193"/>
      <c r="C32" s="193"/>
      <c r="D32" s="193"/>
      <c r="E32" s="193"/>
      <c r="F32" s="193"/>
      <c r="G32" s="193"/>
      <c r="H32" s="184"/>
      <c r="I32" s="184"/>
      <c r="J32" s="184"/>
      <c r="K32" s="184"/>
      <c r="L32" s="184"/>
      <c r="M32" s="190"/>
      <c r="N32" s="190"/>
      <c r="O32" s="191"/>
      <c r="P32" s="82"/>
      <c r="Q32" s="82"/>
      <c r="R32" s="82"/>
      <c r="S32" s="82"/>
      <c r="T32" s="82"/>
      <c r="U32" s="139"/>
      <c r="V32" s="139"/>
      <c r="W32" s="139"/>
      <c r="X32" s="139"/>
      <c r="Y32" s="139"/>
      <c r="Z32" s="4"/>
      <c r="AA32" s="4"/>
      <c r="AB32" s="4"/>
      <c r="AC32" s="4"/>
      <c r="AD32" s="4"/>
      <c r="AE32" s="4"/>
      <c r="AF32" s="4"/>
      <c r="AG32" s="4"/>
      <c r="AH32" s="82" t="s">
        <v>131</v>
      </c>
      <c r="AI32" s="139"/>
      <c r="AJ32" s="82" t="s">
        <v>132</v>
      </c>
      <c r="AK32" s="139"/>
      <c r="AL32" s="82" t="s">
        <v>133</v>
      </c>
      <c r="AM32" s="129"/>
      <c r="AN32" s="82" t="s">
        <v>134</v>
      </c>
      <c r="AO32" s="129"/>
      <c r="AP32" s="82" t="s">
        <v>135</v>
      </c>
      <c r="AQ32" s="129"/>
      <c r="AR32" s="30" t="s">
        <v>59</v>
      </c>
      <c r="AS32" s="139"/>
      <c r="AT32" s="6"/>
      <c r="AU32" s="6"/>
      <c r="AV32" s="6"/>
      <c r="AW32" s="6"/>
      <c r="AX32" s="6"/>
      <c r="AY32" s="6"/>
      <c r="AZ32" s="6"/>
      <c r="BA32" s="82"/>
      <c r="BB32" s="82"/>
      <c r="BC32" s="82"/>
      <c r="BD32" s="82"/>
      <c r="BE32" s="82"/>
      <c r="BF32" s="82"/>
      <c r="BG32" s="82"/>
      <c r="BH32" s="82"/>
      <c r="BI32" s="82"/>
      <c r="BJ32" s="82"/>
      <c r="BK32" s="82"/>
      <c r="BL32" s="82"/>
      <c r="BM32" s="82"/>
      <c r="BN32" s="82"/>
      <c r="BO32" s="82"/>
      <c r="BP32" s="82"/>
      <c r="BQ32" s="82"/>
      <c r="BR32" s="82"/>
      <c r="BS32" s="82"/>
      <c r="BT32" s="82"/>
      <c r="BU32" s="82"/>
      <c r="BV32" s="82"/>
    </row>
    <row r="33" spans="1:74" ht="15.75" customHeight="1" x14ac:dyDescent="0.25">
      <c r="A33" s="193"/>
      <c r="B33" s="193"/>
      <c r="C33" s="449" t="s">
        <v>250</v>
      </c>
      <c r="D33" s="450"/>
      <c r="E33" s="450"/>
      <c r="F33" s="450"/>
      <c r="G33" s="451"/>
      <c r="H33" s="193"/>
      <c r="I33" s="193"/>
      <c r="J33" s="193"/>
      <c r="K33" s="193"/>
      <c r="L33" s="193"/>
      <c r="M33" s="82"/>
      <c r="N33" s="82"/>
      <c r="O33" s="82"/>
      <c r="P33" s="82"/>
      <c r="Q33" s="82"/>
      <c r="R33" s="82"/>
      <c r="S33" s="82"/>
      <c r="T33" s="82"/>
      <c r="U33" s="139"/>
      <c r="V33" s="139"/>
      <c r="W33" s="139"/>
      <c r="X33" s="139"/>
      <c r="Y33" s="139"/>
      <c r="Z33" s="4"/>
      <c r="AA33" s="4"/>
      <c r="AB33" s="4"/>
      <c r="AC33" s="4"/>
      <c r="AD33" s="4"/>
      <c r="AE33" s="4"/>
      <c r="AF33" s="220" t="s">
        <v>5</v>
      </c>
      <c r="AG33" s="221" t="s">
        <v>4</v>
      </c>
      <c r="AH33" s="3" t="str">
        <f ca="1">IFERROR(__xludf.DUMMYFUNCTION("GoogleFinance(AF33,""price"",today()-7)"),"#N/A")</f>
        <v>#N/A</v>
      </c>
      <c r="AI33" s="31"/>
      <c r="AJ33" s="51" t="str">
        <f ca="1">IFERROR(__xludf.DUMMYFUNCTION("GoogleFinance(AF33,""price"",today()-31)"),"#N/A")</f>
        <v>#N/A</v>
      </c>
      <c r="AK33" s="31"/>
      <c r="AL33" s="51" t="str">
        <f ca="1">IFERROR(__xludf.DUMMYFUNCTION("GoogleFinance(AF33,""price"",today()-91)"),"#N/A")</f>
        <v>#N/A</v>
      </c>
      <c r="AM33" s="31"/>
      <c r="AN33" s="51" t="str">
        <f ca="1">IFERROR(__xludf.DUMMYFUNCTION("GoogleFinance(AF33,""price"",today()-182)"),"#N/A")</f>
        <v>#N/A</v>
      </c>
      <c r="AO33" s="31"/>
      <c r="AP33" s="51" t="str">
        <f ca="1">IFERROR(__xludf.DUMMYFUNCTION("GoogleFinance(AF33,""price"",today()-364)"),"#N/A")</f>
        <v>#N/A</v>
      </c>
      <c r="AQ33" s="31"/>
      <c r="AR33" s="51" t="str">
        <f ca="1">IFERROR(__xludf.DUMMYFUNCTION("GoogleFinance(AF33,""price"",DATE(2022,12,30))"),"#N/A")</f>
        <v>#N/A</v>
      </c>
      <c r="AS33" s="31" t="s">
        <v>6</v>
      </c>
      <c r="AT33" s="6"/>
      <c r="AU33" s="6"/>
      <c r="AV33" s="6"/>
      <c r="AW33" s="6"/>
      <c r="AX33" s="6"/>
      <c r="AY33" s="6"/>
      <c r="AZ33" s="6"/>
      <c r="BA33" s="82"/>
      <c r="BB33" s="82"/>
      <c r="BC33" s="82"/>
      <c r="BD33" s="82"/>
      <c r="BE33" s="82"/>
      <c r="BF33" s="82"/>
      <c r="BG33" s="82"/>
      <c r="BH33" s="82"/>
      <c r="BI33" s="82"/>
      <c r="BJ33" s="82"/>
      <c r="BK33" s="82"/>
      <c r="BL33" s="82"/>
      <c r="BM33" s="82"/>
      <c r="BN33" s="82"/>
      <c r="BO33" s="82"/>
      <c r="BP33" s="82"/>
      <c r="BQ33" s="82"/>
      <c r="BR33" s="82"/>
      <c r="BS33" s="82"/>
      <c r="BT33" s="82"/>
      <c r="BU33" s="82"/>
      <c r="BV33" s="82"/>
    </row>
    <row r="34" spans="1:74" ht="15.75" customHeight="1" x14ac:dyDescent="0.25">
      <c r="A34" s="193"/>
      <c r="B34" s="193"/>
      <c r="C34" s="220"/>
      <c r="D34" s="9"/>
      <c r="E34" s="4"/>
      <c r="F34" s="4"/>
      <c r="G34" s="4"/>
      <c r="H34" s="4"/>
      <c r="I34" s="193"/>
      <c r="J34" s="193"/>
      <c r="K34" s="193"/>
      <c r="L34" s="193"/>
      <c r="M34" s="82"/>
      <c r="N34" s="82"/>
      <c r="O34" s="82"/>
      <c r="P34" s="82"/>
      <c r="Q34" s="82"/>
      <c r="R34" s="82"/>
      <c r="S34" s="82"/>
      <c r="T34" s="82"/>
      <c r="U34" s="139"/>
      <c r="V34" s="139"/>
      <c r="W34" s="139"/>
      <c r="X34" s="139"/>
      <c r="Y34" s="139"/>
      <c r="Z34" s="139"/>
      <c r="AA34" s="139"/>
      <c r="AB34" s="139"/>
      <c r="AC34" s="139"/>
      <c r="AD34" s="4"/>
      <c r="AE34" s="4"/>
      <c r="AF34" s="4"/>
      <c r="AG34" s="47">
        <f ca="1">IFERROR(__xludf.DUMMYFUNCTION("GOOGLEFINANCE(AF33)"),433.21)</f>
        <v>433.21</v>
      </c>
      <c r="AH34" s="51"/>
      <c r="AI34" s="31"/>
      <c r="AJ34" s="51"/>
      <c r="AK34" s="31"/>
      <c r="AL34" s="51"/>
      <c r="AM34" s="31"/>
      <c r="AN34" s="51"/>
      <c r="AO34" s="31"/>
      <c r="AP34" s="51"/>
      <c r="AQ34" s="31"/>
      <c r="AR34" s="51">
        <v>44925.666666666672</v>
      </c>
      <c r="AS34" s="31">
        <v>382.43</v>
      </c>
      <c r="AT34" s="6"/>
      <c r="AU34" s="6"/>
      <c r="AV34" s="6"/>
      <c r="AW34" s="6"/>
      <c r="AX34" s="6"/>
      <c r="AY34" s="6"/>
      <c r="AZ34" s="6"/>
      <c r="BA34" s="82"/>
      <c r="BB34" s="82"/>
      <c r="BC34" s="82"/>
      <c r="BD34" s="82"/>
      <c r="BE34" s="82"/>
      <c r="BF34" s="82"/>
      <c r="BG34" s="82"/>
      <c r="BH34" s="82"/>
      <c r="BI34" s="82"/>
      <c r="BJ34" s="82"/>
      <c r="BK34" s="82"/>
      <c r="BL34" s="82"/>
      <c r="BM34" s="82"/>
      <c r="BN34" s="82"/>
      <c r="BO34" s="82"/>
      <c r="BP34" s="82"/>
      <c r="BQ34" s="82"/>
      <c r="BR34" s="82"/>
      <c r="BS34" s="82"/>
      <c r="BT34" s="82"/>
      <c r="BU34" s="82"/>
      <c r="BV34" s="82"/>
    </row>
    <row r="35" spans="1:74" ht="15.75" customHeight="1" x14ac:dyDescent="0.25">
      <c r="A35" s="193"/>
      <c r="B35" s="193"/>
      <c r="C35" s="381" t="s">
        <v>144</v>
      </c>
      <c r="D35" s="382">
        <f>N104</f>
        <v>1.1215268176269388E-2</v>
      </c>
      <c r="E35" s="4"/>
      <c r="F35" s="4"/>
      <c r="G35" s="4"/>
      <c r="H35" s="4"/>
      <c r="I35" s="184"/>
      <c r="J35" s="191"/>
      <c r="K35" s="191"/>
      <c r="L35" s="82"/>
      <c r="M35" s="82"/>
      <c r="N35" s="82"/>
      <c r="O35" s="82"/>
      <c r="P35" s="82"/>
      <c r="Q35" s="82"/>
      <c r="R35" s="82"/>
      <c r="S35" s="82"/>
      <c r="T35" s="82"/>
      <c r="U35" s="139"/>
      <c r="V35" s="139"/>
      <c r="W35" s="139"/>
      <c r="X35" s="139"/>
      <c r="Y35" s="139"/>
      <c r="Z35" s="139"/>
      <c r="AA35" s="139"/>
      <c r="AB35" s="139"/>
      <c r="AC35" s="139"/>
      <c r="AD35" s="4"/>
      <c r="AE35" s="4"/>
      <c r="AF35" s="4"/>
      <c r="AG35" s="4"/>
      <c r="AH35" s="4"/>
      <c r="AI35" s="383"/>
      <c r="AJ35" s="139"/>
      <c r="AK35" s="383"/>
      <c r="AL35" s="139"/>
      <c r="AM35" s="383"/>
      <c r="AN35" s="139"/>
      <c r="AO35" s="383"/>
      <c r="AP35" s="30"/>
      <c r="AQ35" s="383"/>
      <c r="AR35" s="30"/>
      <c r="AS35" s="383"/>
      <c r="AT35" s="6"/>
      <c r="AU35" s="6"/>
      <c r="AV35" s="6"/>
      <c r="AW35" s="6"/>
      <c r="AX35" s="6"/>
      <c r="AY35" s="6"/>
      <c r="AZ35" s="6"/>
      <c r="BA35" s="82"/>
      <c r="BB35" s="82"/>
      <c r="BC35" s="82"/>
      <c r="BD35" s="82"/>
      <c r="BE35" s="82"/>
      <c r="BF35" s="82"/>
      <c r="BG35" s="82"/>
      <c r="BH35" s="82"/>
      <c r="BI35" s="82"/>
      <c r="BJ35" s="82"/>
      <c r="BK35" s="82"/>
      <c r="BL35" s="82"/>
      <c r="BM35" s="82"/>
      <c r="BN35" s="82"/>
      <c r="BO35" s="82"/>
      <c r="BP35" s="82"/>
      <c r="BQ35" s="82"/>
      <c r="BR35" s="82"/>
      <c r="BS35" s="82"/>
      <c r="BT35" s="82"/>
      <c r="BU35" s="82"/>
      <c r="BV35" s="82"/>
    </row>
    <row r="36" spans="1:74" ht="15.75" customHeight="1" x14ac:dyDescent="0.25">
      <c r="A36" s="193"/>
      <c r="B36" s="193"/>
      <c r="C36" s="381" t="s">
        <v>35</v>
      </c>
      <c r="D36" s="384">
        <f ca="1">N31</f>
        <v>-2.4786531799712352E-2</v>
      </c>
      <c r="E36" s="4"/>
      <c r="F36" s="4"/>
      <c r="G36" s="4"/>
      <c r="H36" s="4"/>
      <c r="I36" s="184"/>
      <c r="J36" s="191"/>
      <c r="K36" s="191"/>
      <c r="L36" s="82"/>
      <c r="M36" s="82"/>
      <c r="N36" s="82"/>
      <c r="O36" s="82"/>
      <c r="P36" s="82"/>
      <c r="Q36" s="82"/>
      <c r="R36" s="82"/>
      <c r="S36" s="82"/>
      <c r="T36" s="82"/>
      <c r="U36" s="139"/>
      <c r="V36" s="139"/>
      <c r="W36" s="139"/>
      <c r="X36" s="139"/>
      <c r="Y36" s="139"/>
      <c r="Z36" s="139"/>
      <c r="AA36" s="139"/>
      <c r="AB36" s="139"/>
      <c r="AC36" s="139"/>
      <c r="AD36" s="4"/>
      <c r="AE36" s="4"/>
      <c r="AF36" s="4"/>
      <c r="AG36" s="4"/>
      <c r="AH36" s="4"/>
      <c r="AI36" s="383"/>
      <c r="AJ36" s="139"/>
      <c r="AK36" s="383"/>
      <c r="AL36" s="139"/>
      <c r="AM36" s="383"/>
      <c r="AN36" s="139"/>
      <c r="AO36" s="383"/>
      <c r="AP36" s="30"/>
      <c r="AQ36" s="383"/>
      <c r="AR36" s="30"/>
      <c r="AS36" s="383"/>
      <c r="AT36" s="6"/>
      <c r="AU36" s="6"/>
      <c r="AV36" s="6"/>
      <c r="AW36" s="6"/>
      <c r="AX36" s="6"/>
      <c r="AY36" s="6"/>
      <c r="AZ36" s="6"/>
      <c r="BA36" s="82"/>
      <c r="BB36" s="82"/>
      <c r="BC36" s="82"/>
      <c r="BD36" s="82"/>
      <c r="BE36" s="82"/>
      <c r="BF36" s="82"/>
      <c r="BG36" s="82"/>
      <c r="BH36" s="82"/>
      <c r="BI36" s="82"/>
      <c r="BJ36" s="82"/>
      <c r="BK36" s="82"/>
      <c r="BL36" s="82"/>
      <c r="BM36" s="82"/>
      <c r="BN36" s="82"/>
      <c r="BO36" s="82"/>
      <c r="BP36" s="82"/>
      <c r="BQ36" s="82"/>
      <c r="BR36" s="82"/>
      <c r="BS36" s="82"/>
      <c r="BT36" s="82"/>
      <c r="BU36" s="82"/>
      <c r="BV36" s="82"/>
    </row>
    <row r="37" spans="1:74" ht="15.75" customHeight="1" x14ac:dyDescent="0.25">
      <c r="A37" s="193"/>
      <c r="B37" s="193"/>
      <c r="C37" s="385" t="s">
        <v>251</v>
      </c>
      <c r="D37" s="384">
        <f ca="1">(L31+L104)/(K104+K31)-1</f>
        <v>3.3701662787739561E-3</v>
      </c>
      <c r="F37" s="4"/>
      <c r="G37" s="4"/>
      <c r="H37" s="4"/>
      <c r="I37" s="184"/>
      <c r="J37" s="191"/>
      <c r="K37" s="191"/>
      <c r="L37" s="82"/>
      <c r="M37" s="82"/>
      <c r="N37" s="82"/>
      <c r="O37" s="82"/>
      <c r="P37" s="82"/>
      <c r="Q37" s="82"/>
      <c r="R37" s="82"/>
      <c r="S37" s="82"/>
      <c r="T37" s="82"/>
      <c r="U37" s="139"/>
      <c r="V37" s="139"/>
      <c r="W37" s="139"/>
      <c r="X37" s="139"/>
      <c r="Y37" s="139"/>
      <c r="Z37" s="139"/>
      <c r="AA37" s="139"/>
      <c r="AB37" s="139"/>
      <c r="AC37" s="139"/>
      <c r="AD37" s="4"/>
      <c r="AE37" s="4"/>
      <c r="AF37" s="4"/>
      <c r="AG37" s="4"/>
      <c r="AH37" s="4"/>
      <c r="AI37" s="383"/>
      <c r="AJ37" s="139"/>
      <c r="AK37" s="383"/>
      <c r="AL37" s="139"/>
      <c r="AM37" s="383"/>
      <c r="AN37" s="139"/>
      <c r="AO37" s="383"/>
      <c r="AP37" s="30"/>
      <c r="AQ37" s="383"/>
      <c r="AR37" s="30"/>
      <c r="AS37" s="383"/>
      <c r="AT37" s="6"/>
      <c r="AU37" s="6"/>
      <c r="AV37" s="6"/>
      <c r="AW37" s="6"/>
      <c r="AX37" s="6"/>
      <c r="AY37" s="6"/>
      <c r="AZ37" s="6"/>
      <c r="BA37" s="82"/>
      <c r="BB37" s="82"/>
      <c r="BC37" s="82"/>
      <c r="BD37" s="82"/>
      <c r="BE37" s="82"/>
      <c r="BF37" s="82"/>
      <c r="BG37" s="82"/>
      <c r="BH37" s="82"/>
      <c r="BI37" s="82"/>
      <c r="BJ37" s="82"/>
      <c r="BK37" s="82"/>
      <c r="BL37" s="82"/>
      <c r="BM37" s="82"/>
      <c r="BN37" s="82"/>
      <c r="BO37" s="82"/>
      <c r="BP37" s="82"/>
      <c r="BQ37" s="82"/>
      <c r="BR37" s="82"/>
      <c r="BS37" s="82"/>
      <c r="BT37" s="82"/>
      <c r="BU37" s="82"/>
      <c r="BV37" s="82"/>
    </row>
    <row r="38" spans="1:74" ht="15.75" customHeight="1" x14ac:dyDescent="0.25">
      <c r="A38" s="193"/>
      <c r="B38" s="193"/>
      <c r="C38" s="220" t="s">
        <v>69</v>
      </c>
      <c r="D38" s="382">
        <v>0.13300000000000001</v>
      </c>
      <c r="E38" s="4"/>
      <c r="F38" s="4"/>
      <c r="G38" s="4"/>
      <c r="H38" s="4"/>
      <c r="I38" s="184"/>
      <c r="J38" s="191"/>
      <c r="K38" s="191"/>
      <c r="L38" s="82"/>
      <c r="M38" s="82"/>
      <c r="N38" s="82"/>
      <c r="O38" s="82"/>
      <c r="P38" s="82"/>
      <c r="Q38" s="82"/>
      <c r="R38" s="82"/>
      <c r="S38" s="82"/>
      <c r="T38" s="82"/>
      <c r="U38" s="139"/>
      <c r="V38" s="139"/>
      <c r="W38" s="139"/>
      <c r="X38" s="139"/>
      <c r="Y38" s="139"/>
      <c r="Z38" s="139"/>
      <c r="AA38" s="139"/>
      <c r="AB38" s="139"/>
      <c r="AC38" s="139"/>
      <c r="AD38" s="4"/>
      <c r="AE38" s="4"/>
      <c r="AF38" s="205"/>
      <c r="AG38" s="205"/>
      <c r="AH38" s="205"/>
      <c r="AI38" s="383"/>
      <c r="AJ38" s="386"/>
      <c r="AK38" s="383"/>
      <c r="AL38" s="139"/>
      <c r="AM38" s="383"/>
      <c r="AN38" s="139"/>
      <c r="AO38" s="383"/>
      <c r="AP38" s="30"/>
      <c r="AQ38" s="383"/>
      <c r="AR38" s="30"/>
      <c r="AS38" s="383"/>
      <c r="AT38" s="6"/>
      <c r="AU38" s="6"/>
      <c r="AV38" s="6"/>
      <c r="AW38" s="6"/>
      <c r="AX38" s="6"/>
      <c r="AY38" s="6"/>
      <c r="AZ38" s="6"/>
      <c r="BA38" s="82"/>
      <c r="BB38" s="82"/>
      <c r="BC38" s="82"/>
      <c r="BD38" s="82"/>
      <c r="BE38" s="82"/>
      <c r="BF38" s="82"/>
      <c r="BG38" s="82"/>
      <c r="BH38" s="82"/>
      <c r="BI38" s="82"/>
      <c r="BJ38" s="82"/>
      <c r="BK38" s="82"/>
      <c r="BL38" s="82"/>
      <c r="BM38" s="82"/>
      <c r="BN38" s="82"/>
      <c r="BO38" s="82"/>
      <c r="BP38" s="82"/>
      <c r="BQ38" s="82"/>
      <c r="BR38" s="82"/>
      <c r="BS38" s="82"/>
      <c r="BT38" s="82"/>
      <c r="BU38" s="82"/>
      <c r="BV38" s="82"/>
    </row>
    <row r="39" spans="1:74" ht="15.75" customHeight="1" x14ac:dyDescent="0.25">
      <c r="A39" s="193"/>
      <c r="B39" s="193"/>
      <c r="C39" s="9"/>
      <c r="D39" s="9"/>
      <c r="E39" s="9"/>
      <c r="F39" s="9"/>
      <c r="G39" s="9"/>
      <c r="H39" s="184"/>
      <c r="I39" s="184"/>
      <c r="J39" s="191"/>
      <c r="K39" s="191"/>
      <c r="L39" s="82"/>
      <c r="M39" s="82"/>
      <c r="N39" s="82"/>
      <c r="O39" s="82"/>
      <c r="P39" s="82"/>
      <c r="Q39" s="82"/>
      <c r="R39" s="82"/>
      <c r="S39" s="82"/>
      <c r="T39" s="82"/>
      <c r="U39" s="139"/>
      <c r="V39" s="139"/>
      <c r="W39" s="139"/>
      <c r="X39" s="139"/>
      <c r="Y39" s="139"/>
      <c r="Z39" s="139"/>
      <c r="AA39" s="139"/>
      <c r="AB39" s="139"/>
      <c r="AC39" s="139"/>
      <c r="AD39" s="4"/>
      <c r="AE39" s="16"/>
      <c r="AF39" s="16"/>
      <c r="AG39" s="449" t="s">
        <v>252</v>
      </c>
      <c r="AH39" s="450"/>
      <c r="AI39" s="450"/>
      <c r="AJ39" s="450"/>
      <c r="AK39" s="451"/>
      <c r="AL39" s="387"/>
      <c r="AM39" s="383"/>
      <c r="AN39" s="139"/>
      <c r="AO39" s="383"/>
      <c r="AP39" s="30"/>
      <c r="AQ39" s="383"/>
      <c r="AR39" s="30"/>
      <c r="AS39" s="383"/>
      <c r="AT39" s="6"/>
      <c r="AU39" s="6"/>
      <c r="AV39" s="6"/>
      <c r="AW39" s="6"/>
      <c r="AX39" s="6"/>
      <c r="AY39" s="6"/>
      <c r="AZ39" s="6"/>
      <c r="BA39" s="82"/>
      <c r="BB39" s="82"/>
      <c r="BC39" s="82"/>
      <c r="BD39" s="82"/>
      <c r="BE39" s="82"/>
      <c r="BF39" s="82"/>
      <c r="BG39" s="82"/>
      <c r="BH39" s="82"/>
      <c r="BI39" s="82"/>
      <c r="BJ39" s="82"/>
      <c r="BK39" s="82"/>
      <c r="BL39" s="82"/>
      <c r="BM39" s="82"/>
      <c r="BN39" s="82"/>
      <c r="BO39" s="82"/>
      <c r="BP39" s="82"/>
      <c r="BQ39" s="82"/>
      <c r="BR39" s="82"/>
      <c r="BS39" s="82"/>
      <c r="BT39" s="82"/>
      <c r="BU39" s="82"/>
      <c r="BV39" s="82"/>
    </row>
    <row r="40" spans="1:74" ht="15.75" customHeight="1" x14ac:dyDescent="0.25">
      <c r="A40" s="193"/>
      <c r="B40" s="193"/>
      <c r="C40" s="388" t="s">
        <v>36</v>
      </c>
      <c r="D40" s="9"/>
      <c r="E40" s="389" t="s">
        <v>253</v>
      </c>
      <c r="F40" s="390" t="s">
        <v>254</v>
      </c>
      <c r="G40" s="220"/>
      <c r="H40" s="184"/>
      <c r="I40" s="184"/>
      <c r="J40" s="191"/>
      <c r="K40" s="191"/>
      <c r="L40" s="82"/>
      <c r="M40" s="82"/>
      <c r="N40" s="82"/>
      <c r="O40" s="82"/>
      <c r="P40" s="82"/>
      <c r="Q40" s="82"/>
      <c r="R40" s="82"/>
      <c r="S40" s="82"/>
      <c r="T40" s="82"/>
      <c r="U40" s="139"/>
      <c r="V40" s="139"/>
      <c r="W40" s="139"/>
      <c r="X40" s="139"/>
      <c r="Y40" s="139"/>
      <c r="Z40" s="139"/>
      <c r="AA40" s="139"/>
      <c r="AB40" s="139"/>
      <c r="AC40" s="139"/>
      <c r="AD40" s="4"/>
      <c r="AE40" s="4"/>
      <c r="AF40" s="391"/>
      <c r="AG40" s="392" t="s">
        <v>255</v>
      </c>
      <c r="AH40" s="393" t="s">
        <v>256</v>
      </c>
      <c r="AI40" s="393" t="s">
        <v>257</v>
      </c>
      <c r="AJ40" s="393" t="s">
        <v>258</v>
      </c>
      <c r="AK40" s="393" t="s">
        <v>259</v>
      </c>
      <c r="AL40" s="139"/>
      <c r="AM40" s="383"/>
      <c r="AN40" s="139"/>
      <c r="AO40" s="383"/>
      <c r="AP40" s="30"/>
      <c r="AQ40" s="383"/>
      <c r="AR40" s="30"/>
      <c r="AS40" s="383"/>
      <c r="AT40" s="6"/>
      <c r="AU40" s="6"/>
      <c r="AV40" s="6"/>
      <c r="AW40" s="6"/>
      <c r="AX40" s="6"/>
      <c r="AY40" s="6"/>
      <c r="AZ40" s="6"/>
      <c r="BA40" s="82"/>
      <c r="BB40" s="82"/>
      <c r="BC40" s="82"/>
      <c r="BD40" s="82"/>
      <c r="BE40" s="82"/>
      <c r="BF40" s="82"/>
      <c r="BG40" s="82"/>
      <c r="BH40" s="82"/>
      <c r="BI40" s="82"/>
      <c r="BJ40" s="82"/>
      <c r="BK40" s="82"/>
      <c r="BL40" s="82"/>
      <c r="BM40" s="82"/>
      <c r="BN40" s="82"/>
      <c r="BO40" s="82"/>
      <c r="BP40" s="82"/>
      <c r="BQ40" s="82"/>
      <c r="BR40" s="82"/>
      <c r="BS40" s="82"/>
      <c r="BT40" s="82"/>
      <c r="BU40" s="82"/>
      <c r="BV40" s="82"/>
    </row>
    <row r="41" spans="1:74" ht="15.75" customHeight="1" x14ac:dyDescent="0.25">
      <c r="A41" s="193"/>
      <c r="B41" s="193"/>
      <c r="C41" s="394"/>
      <c r="D41" s="395" t="s">
        <v>260</v>
      </c>
      <c r="E41" s="396">
        <f>AVERAGE(N59:N66,N72,N75,N79,N82,N83,N85,N86,N87,N90,N91,N92,N93,N94)</f>
        <v>-7.2600252019532754E-2</v>
      </c>
      <c r="F41" s="397">
        <f ca="1">AVERAGE(N4,N6,N10,N12,N14)</f>
        <v>-8.8133175347993281E-2</v>
      </c>
      <c r="G41" s="9"/>
      <c r="H41" s="184"/>
      <c r="I41" s="184"/>
      <c r="J41" s="191"/>
      <c r="K41" s="191"/>
      <c r="L41" s="82"/>
      <c r="M41" s="82"/>
      <c r="N41" s="82"/>
      <c r="O41" s="82"/>
      <c r="P41" s="82"/>
      <c r="Q41" s="82"/>
      <c r="R41" s="82"/>
      <c r="S41" s="82"/>
      <c r="T41" s="82"/>
      <c r="U41" s="139"/>
      <c r="V41" s="139"/>
      <c r="W41" s="139"/>
      <c r="X41" s="139"/>
      <c r="Y41" s="139"/>
      <c r="Z41" s="139"/>
      <c r="AA41" s="139"/>
      <c r="AB41" s="139"/>
      <c r="AC41" s="139"/>
      <c r="AD41" s="4"/>
      <c r="AE41" s="4"/>
      <c r="AF41" s="398">
        <v>2022</v>
      </c>
      <c r="AG41" s="47">
        <v>101</v>
      </c>
      <c r="AH41" s="399">
        <v>0.51</v>
      </c>
      <c r="AI41" s="47" t="s">
        <v>261</v>
      </c>
      <c r="AJ41" s="47" t="s">
        <v>262</v>
      </c>
      <c r="AK41" s="47" t="s">
        <v>263</v>
      </c>
      <c r="AL41" s="139"/>
      <c r="AM41" s="383"/>
      <c r="AN41" s="139"/>
      <c r="AO41" s="383"/>
      <c r="AP41" s="30"/>
      <c r="AQ41" s="383"/>
      <c r="AR41" s="30"/>
      <c r="AS41" s="383"/>
      <c r="AT41" s="6"/>
      <c r="AU41" s="6"/>
      <c r="AV41" s="6"/>
      <c r="AW41" s="6"/>
      <c r="AX41" s="6"/>
      <c r="AY41" s="6"/>
      <c r="AZ41" s="6"/>
      <c r="BA41" s="82"/>
      <c r="BB41" s="82"/>
      <c r="BC41" s="82"/>
      <c r="BD41" s="82"/>
      <c r="BE41" s="82"/>
      <c r="BF41" s="82"/>
      <c r="BG41" s="82"/>
      <c r="BH41" s="82"/>
      <c r="BI41" s="82"/>
      <c r="BJ41" s="82"/>
      <c r="BK41" s="82"/>
      <c r="BL41" s="82"/>
      <c r="BM41" s="82"/>
      <c r="BN41" s="82"/>
      <c r="BO41" s="82"/>
      <c r="BP41" s="82"/>
      <c r="BQ41" s="82"/>
      <c r="BR41" s="82"/>
      <c r="BS41" s="82"/>
      <c r="BT41" s="82"/>
      <c r="BU41" s="82"/>
      <c r="BV41" s="82"/>
    </row>
    <row r="42" spans="1:74" ht="15.75" customHeight="1" x14ac:dyDescent="0.25">
      <c r="A42" s="193"/>
      <c r="B42" s="193"/>
      <c r="C42" s="394"/>
      <c r="D42" s="400" t="s">
        <v>264</v>
      </c>
      <c r="E42" s="384">
        <f>AVERAGE(N67:N71,N73:N74,N76:N78,N80,N81,N84,N88,N89,N95,N96,N97:N101)</f>
        <v>0.12274002828327113</v>
      </c>
      <c r="F42" s="401">
        <f ca="1">AVERAGE(N8,N21,N23,N19,N25,N27)</f>
        <v>2.2436637112114782E-2</v>
      </c>
      <c r="G42" s="9"/>
      <c r="H42" s="184"/>
      <c r="I42" s="184"/>
      <c r="J42" s="191"/>
      <c r="K42" s="191"/>
      <c r="L42" s="82"/>
      <c r="M42" s="82"/>
      <c r="N42" s="82"/>
      <c r="O42" s="82"/>
      <c r="P42" s="82"/>
      <c r="Q42" s="82"/>
      <c r="R42" s="82"/>
      <c r="S42" s="82"/>
      <c r="T42" s="82"/>
      <c r="U42" s="139"/>
      <c r="V42" s="139"/>
      <c r="W42" s="139"/>
      <c r="X42" s="139"/>
      <c r="Y42" s="139"/>
      <c r="Z42" s="139"/>
      <c r="AA42" s="139"/>
      <c r="AB42" s="139"/>
      <c r="AC42" s="139"/>
      <c r="AD42" s="4"/>
      <c r="AE42" s="4"/>
      <c r="AF42" s="398">
        <v>2021</v>
      </c>
      <c r="AG42" s="47">
        <v>107</v>
      </c>
      <c r="AH42" s="399">
        <v>0.62</v>
      </c>
      <c r="AI42" s="47" t="s">
        <v>265</v>
      </c>
      <c r="AJ42" s="47" t="s">
        <v>266</v>
      </c>
      <c r="AK42" s="47" t="s">
        <v>267</v>
      </c>
      <c r="AL42" s="139"/>
      <c r="AM42" s="383"/>
      <c r="AN42" s="139"/>
      <c r="AO42" s="383"/>
      <c r="AP42" s="30"/>
      <c r="AQ42" s="383"/>
      <c r="AR42" s="30"/>
      <c r="AS42" s="383"/>
      <c r="AT42" s="6"/>
      <c r="AU42" s="6"/>
      <c r="AV42" s="6"/>
      <c r="AW42" s="6"/>
      <c r="AX42" s="6"/>
      <c r="AY42" s="6"/>
      <c r="AZ42" s="6"/>
      <c r="BA42" s="82"/>
      <c r="BB42" s="82"/>
      <c r="BC42" s="82"/>
      <c r="BD42" s="82"/>
      <c r="BE42" s="82"/>
      <c r="BF42" s="82"/>
      <c r="BG42" s="82"/>
      <c r="BH42" s="82"/>
      <c r="BI42" s="82"/>
      <c r="BJ42" s="82"/>
      <c r="BK42" s="82"/>
      <c r="BL42" s="82"/>
      <c r="BM42" s="82"/>
      <c r="BN42" s="82"/>
      <c r="BO42" s="82"/>
      <c r="BP42" s="82"/>
      <c r="BQ42" s="82"/>
      <c r="BR42" s="82"/>
      <c r="BS42" s="82"/>
      <c r="BT42" s="82"/>
      <c r="BU42" s="82"/>
      <c r="BV42" s="82"/>
    </row>
    <row r="43" spans="1:74" ht="15.75" customHeight="1" x14ac:dyDescent="0.25">
      <c r="A43" s="193"/>
      <c r="B43" s="193"/>
      <c r="C43" s="402" t="s">
        <v>268</v>
      </c>
      <c r="D43" s="403"/>
      <c r="E43" s="404" t="s">
        <v>269</v>
      </c>
      <c r="F43" s="404" t="s">
        <v>270</v>
      </c>
      <c r="G43" s="9"/>
      <c r="H43" s="184"/>
      <c r="I43" s="184"/>
      <c r="J43" s="191"/>
      <c r="K43" s="191"/>
      <c r="L43" s="82"/>
      <c r="M43" s="82"/>
      <c r="N43" s="82"/>
      <c r="O43" s="82"/>
      <c r="P43" s="82"/>
      <c r="Q43" s="82"/>
      <c r="R43" s="82"/>
      <c r="S43" s="82"/>
      <c r="T43" s="82"/>
      <c r="U43" s="139"/>
      <c r="V43" s="139"/>
      <c r="W43" s="139"/>
      <c r="X43" s="139"/>
      <c r="Y43" s="139"/>
      <c r="Z43" s="139"/>
      <c r="AA43" s="139"/>
      <c r="AB43" s="139"/>
      <c r="AC43" s="139"/>
      <c r="AD43" s="4"/>
      <c r="AE43" s="4"/>
      <c r="AF43" s="405">
        <v>2020</v>
      </c>
      <c r="AG43" s="47">
        <v>127</v>
      </c>
      <c r="AH43" s="399">
        <v>0.56000000000000005</v>
      </c>
      <c r="AI43" s="47" t="s">
        <v>271</v>
      </c>
      <c r="AJ43" s="47" t="s">
        <v>272</v>
      </c>
      <c r="AK43" s="47" t="s">
        <v>273</v>
      </c>
      <c r="AL43" s="139"/>
      <c r="AM43" s="383"/>
      <c r="AN43" s="139"/>
      <c r="AO43" s="383"/>
      <c r="AP43" s="30"/>
      <c r="AQ43" s="383"/>
      <c r="AR43" s="30"/>
      <c r="AS43" s="383"/>
      <c r="AT43" s="6"/>
      <c r="AU43" s="6"/>
      <c r="AV43" s="6"/>
      <c r="AW43" s="6"/>
      <c r="AX43" s="6"/>
      <c r="AY43" s="6"/>
      <c r="AZ43" s="6"/>
      <c r="BA43" s="82"/>
      <c r="BB43" s="82"/>
      <c r="BC43" s="82"/>
      <c r="BD43" s="82"/>
      <c r="BE43" s="82"/>
      <c r="BF43" s="82"/>
      <c r="BG43" s="82"/>
      <c r="BH43" s="82"/>
      <c r="BI43" s="82"/>
      <c r="BJ43" s="82"/>
      <c r="BK43" s="82"/>
      <c r="BL43" s="82"/>
      <c r="BM43" s="82"/>
      <c r="BN43" s="82"/>
      <c r="BO43" s="82"/>
      <c r="BP43" s="82"/>
      <c r="BQ43" s="82"/>
      <c r="BR43" s="82"/>
      <c r="BS43" s="82"/>
      <c r="BT43" s="82"/>
      <c r="BU43" s="82"/>
      <c r="BV43" s="82"/>
    </row>
    <row r="44" spans="1:74" ht="15.75" customHeight="1" x14ac:dyDescent="0.25">
      <c r="A44" s="193"/>
      <c r="B44" s="194"/>
      <c r="C44" s="406"/>
      <c r="D44" s="9"/>
      <c r="E44" s="9"/>
      <c r="F44" s="9"/>
      <c r="G44" s="9"/>
      <c r="H44" s="184"/>
      <c r="I44" s="184"/>
      <c r="J44" s="191"/>
      <c r="K44" s="191"/>
      <c r="L44" s="82"/>
      <c r="M44" s="82"/>
      <c r="N44" s="82"/>
      <c r="O44" s="82"/>
      <c r="P44" s="82"/>
      <c r="Q44" s="82"/>
      <c r="R44" s="82"/>
      <c r="S44" s="82"/>
      <c r="T44" s="82"/>
      <c r="U44" s="139"/>
      <c r="V44" s="139"/>
      <c r="W44" s="139"/>
      <c r="X44" s="139"/>
      <c r="Y44" s="139"/>
      <c r="Z44" s="139"/>
      <c r="AA44" s="139"/>
      <c r="AB44" s="139"/>
      <c r="AC44" s="139"/>
      <c r="AD44" s="4"/>
      <c r="AE44" s="4"/>
      <c r="AF44" s="405">
        <v>2019</v>
      </c>
      <c r="AG44" s="47">
        <v>120</v>
      </c>
      <c r="AH44" s="399">
        <v>0.68</v>
      </c>
      <c r="AI44" s="47" t="s">
        <v>274</v>
      </c>
      <c r="AJ44" s="47" t="s">
        <v>275</v>
      </c>
      <c r="AK44" s="47" t="s">
        <v>276</v>
      </c>
      <c r="AL44" s="139"/>
      <c r="AM44" s="383"/>
      <c r="AN44" s="139"/>
      <c r="AO44" s="383"/>
      <c r="AP44" s="30"/>
      <c r="AQ44" s="383"/>
      <c r="AR44" s="30"/>
      <c r="AS44" s="383"/>
      <c r="AT44" s="6"/>
      <c r="AU44" s="6"/>
      <c r="AV44" s="6"/>
      <c r="AW44" s="6"/>
      <c r="AX44" s="6"/>
      <c r="AY44" s="6"/>
      <c r="AZ44" s="6"/>
      <c r="BA44" s="82"/>
      <c r="BB44" s="82"/>
      <c r="BC44" s="82"/>
      <c r="BD44" s="82"/>
      <c r="BE44" s="82"/>
      <c r="BF44" s="82"/>
      <c r="BG44" s="82"/>
      <c r="BH44" s="82"/>
      <c r="BI44" s="82"/>
      <c r="BJ44" s="82"/>
      <c r="BK44" s="82"/>
      <c r="BL44" s="82"/>
      <c r="BM44" s="82"/>
      <c r="BN44" s="82"/>
      <c r="BO44" s="82"/>
      <c r="BP44" s="82"/>
      <c r="BQ44" s="82"/>
      <c r="BR44" s="82"/>
      <c r="BS44" s="82"/>
      <c r="BT44" s="82"/>
      <c r="BU44" s="82"/>
      <c r="BV44" s="82"/>
    </row>
    <row r="45" spans="1:74" ht="15.75" customHeight="1" x14ac:dyDescent="0.25">
      <c r="A45" s="193"/>
      <c r="B45" s="193"/>
      <c r="C45" s="407" t="s">
        <v>277</v>
      </c>
      <c r="D45" s="9"/>
      <c r="E45" s="390" t="s">
        <v>253</v>
      </c>
      <c r="F45" s="390" t="s">
        <v>254</v>
      </c>
      <c r="G45" s="9"/>
      <c r="H45" s="184"/>
      <c r="I45" s="184"/>
      <c r="J45" s="191"/>
      <c r="K45" s="191"/>
      <c r="L45" s="82"/>
      <c r="M45" s="82"/>
      <c r="N45" s="82"/>
      <c r="O45" s="82"/>
      <c r="P45" s="82"/>
      <c r="Q45" s="82"/>
      <c r="R45" s="82"/>
      <c r="S45" s="82"/>
      <c r="T45" s="82"/>
      <c r="U45" s="139"/>
      <c r="V45" s="139"/>
      <c r="W45" s="139"/>
      <c r="X45" s="139"/>
      <c r="Y45" s="139"/>
      <c r="Z45" s="139"/>
      <c r="AA45" s="139"/>
      <c r="AB45" s="139"/>
      <c r="AC45" s="139"/>
      <c r="AD45" s="4"/>
      <c r="AE45" s="4"/>
      <c r="AF45" s="405">
        <v>2018</v>
      </c>
      <c r="AG45" s="47">
        <v>135</v>
      </c>
      <c r="AH45" s="399">
        <v>0.63</v>
      </c>
      <c r="AI45" s="47" t="s">
        <v>278</v>
      </c>
      <c r="AJ45" s="9"/>
      <c r="AK45" s="9"/>
      <c r="AL45" s="139"/>
      <c r="AM45" s="383"/>
      <c r="AN45" s="139"/>
      <c r="AO45" s="383"/>
      <c r="AP45" s="30"/>
      <c r="AQ45" s="383"/>
      <c r="AR45" s="30"/>
      <c r="AS45" s="383"/>
      <c r="AT45" s="6"/>
      <c r="AU45" s="6"/>
      <c r="AV45" s="6"/>
      <c r="AW45" s="6"/>
      <c r="AX45" s="6"/>
      <c r="AY45" s="6"/>
      <c r="AZ45" s="6"/>
      <c r="BA45" s="82"/>
      <c r="BB45" s="82"/>
      <c r="BC45" s="82"/>
      <c r="BD45" s="82"/>
      <c r="BE45" s="82"/>
      <c r="BF45" s="82"/>
      <c r="BG45" s="82"/>
      <c r="BH45" s="82"/>
      <c r="BI45" s="82"/>
      <c r="BJ45" s="82"/>
      <c r="BK45" s="82"/>
      <c r="BL45" s="82"/>
      <c r="BM45" s="82"/>
      <c r="BN45" s="82"/>
      <c r="BO45" s="82"/>
      <c r="BP45" s="82"/>
      <c r="BQ45" s="82"/>
      <c r="BR45" s="82"/>
      <c r="BS45" s="82"/>
      <c r="BT45" s="82"/>
      <c r="BU45" s="82"/>
      <c r="BV45" s="82"/>
    </row>
    <row r="46" spans="1:74" ht="15.75" customHeight="1" x14ac:dyDescent="0.25">
      <c r="A46" s="193"/>
      <c r="B46" s="193"/>
      <c r="C46" s="394"/>
      <c r="D46" s="395" t="s">
        <v>279</v>
      </c>
      <c r="E46" s="408">
        <v>21</v>
      </c>
      <c r="F46" s="409">
        <v>5</v>
      </c>
      <c r="G46" s="410">
        <f>E46+F46</f>
        <v>26</v>
      </c>
      <c r="H46" s="184"/>
      <c r="I46" s="184"/>
      <c r="J46" s="191"/>
      <c r="K46" s="191"/>
      <c r="L46" s="82"/>
      <c r="M46" s="82"/>
      <c r="N46" s="82"/>
      <c r="O46" s="82"/>
      <c r="P46" s="82"/>
      <c r="Q46" s="82"/>
      <c r="R46" s="82"/>
      <c r="S46" s="82"/>
      <c r="T46" s="82"/>
      <c r="U46" s="139"/>
      <c r="V46" s="139"/>
      <c r="W46" s="139"/>
      <c r="X46" s="139"/>
      <c r="Y46" s="139"/>
      <c r="Z46" s="139"/>
      <c r="AA46" s="139"/>
      <c r="AB46" s="139"/>
      <c r="AC46" s="139"/>
      <c r="AD46" s="4"/>
      <c r="AE46" s="4"/>
      <c r="AF46" s="405">
        <v>2017</v>
      </c>
      <c r="AG46" s="47">
        <v>143</v>
      </c>
      <c r="AH46" s="399">
        <v>0.72</v>
      </c>
      <c r="AI46" s="47" t="s">
        <v>280</v>
      </c>
      <c r="AJ46" s="9"/>
      <c r="AK46" s="9"/>
      <c r="AL46" s="139"/>
      <c r="AM46" s="383"/>
      <c r="AN46" s="139"/>
      <c r="AO46" s="383"/>
      <c r="AP46" s="30"/>
      <c r="AQ46" s="383"/>
      <c r="AR46" s="30"/>
      <c r="AS46" s="383"/>
      <c r="AT46" s="6"/>
      <c r="AU46" s="6"/>
      <c r="AV46" s="6"/>
      <c r="AW46" s="6"/>
      <c r="AX46" s="6"/>
      <c r="AY46" s="6"/>
      <c r="AZ46" s="6"/>
      <c r="BA46" s="82"/>
      <c r="BB46" s="82"/>
      <c r="BC46" s="82"/>
      <c r="BD46" s="82"/>
      <c r="BE46" s="82"/>
      <c r="BF46" s="82"/>
      <c r="BG46" s="82"/>
      <c r="BH46" s="82"/>
      <c r="BI46" s="82"/>
      <c r="BJ46" s="82"/>
      <c r="BK46" s="82"/>
      <c r="BL46" s="82"/>
      <c r="BM46" s="82"/>
      <c r="BN46" s="82"/>
      <c r="BO46" s="82"/>
      <c r="BP46" s="82"/>
      <c r="BQ46" s="82"/>
      <c r="BR46" s="82"/>
      <c r="BS46" s="82"/>
      <c r="BT46" s="82"/>
      <c r="BU46" s="82"/>
      <c r="BV46" s="82"/>
    </row>
    <row r="47" spans="1:74" ht="15.75" customHeight="1" x14ac:dyDescent="0.25">
      <c r="A47" s="193"/>
      <c r="B47" s="193"/>
      <c r="C47" s="411"/>
      <c r="D47" s="400" t="s">
        <v>281</v>
      </c>
      <c r="E47" s="412">
        <v>22</v>
      </c>
      <c r="F47" s="413">
        <v>6</v>
      </c>
      <c r="G47" s="410">
        <f>F47+E47</f>
        <v>28</v>
      </c>
      <c r="H47" s="184"/>
      <c r="I47" s="184"/>
      <c r="J47" s="191"/>
      <c r="K47" s="191"/>
      <c r="L47" s="82"/>
      <c r="M47" s="82"/>
      <c r="N47" s="82"/>
      <c r="O47" s="82"/>
      <c r="P47" s="82"/>
      <c r="Q47" s="82"/>
      <c r="R47" s="82"/>
      <c r="S47" s="82"/>
      <c r="T47" s="82"/>
      <c r="U47" s="139"/>
      <c r="V47" s="139"/>
      <c r="W47" s="139"/>
      <c r="X47" s="139"/>
      <c r="Y47" s="139"/>
      <c r="Z47" s="139"/>
      <c r="AA47" s="139"/>
      <c r="AB47" s="139"/>
      <c r="AC47" s="139"/>
      <c r="AD47" s="4"/>
      <c r="AE47" s="4"/>
      <c r="AF47" s="4"/>
      <c r="AG47" s="4"/>
      <c r="AH47" s="4"/>
      <c r="AI47" s="383"/>
      <c r="AJ47" s="139"/>
      <c r="AK47" s="383"/>
      <c r="AL47" s="139"/>
      <c r="AM47" s="383"/>
      <c r="AN47" s="139"/>
      <c r="AO47" s="383"/>
      <c r="AP47" s="30"/>
      <c r="AQ47" s="383"/>
      <c r="AR47" s="30"/>
      <c r="AS47" s="383"/>
      <c r="AT47" s="6"/>
      <c r="AU47" s="6"/>
      <c r="AV47" s="6"/>
      <c r="AW47" s="6"/>
      <c r="AX47" s="6"/>
      <c r="AY47" s="6"/>
      <c r="AZ47" s="6"/>
      <c r="BA47" s="82"/>
      <c r="BB47" s="82"/>
      <c r="BC47" s="82"/>
      <c r="BD47" s="82"/>
      <c r="BE47" s="82"/>
      <c r="BF47" s="82"/>
      <c r="BG47" s="82"/>
      <c r="BH47" s="82"/>
      <c r="BI47" s="82"/>
      <c r="BJ47" s="82"/>
      <c r="BK47" s="82"/>
      <c r="BL47" s="82"/>
      <c r="BM47" s="82"/>
      <c r="BN47" s="82"/>
      <c r="BO47" s="82"/>
      <c r="BP47" s="82"/>
      <c r="BQ47" s="82"/>
      <c r="BR47" s="82"/>
      <c r="BS47" s="82"/>
      <c r="BT47" s="82"/>
      <c r="BU47" s="82"/>
      <c r="BV47" s="82"/>
    </row>
    <row r="48" spans="1:74" ht="15.75" customHeight="1" x14ac:dyDescent="0.25">
      <c r="A48" s="193"/>
      <c r="B48" s="193"/>
      <c r="C48" s="406"/>
      <c r="D48" s="9"/>
      <c r="E48" s="404">
        <f>E47+E46</f>
        <v>43</v>
      </c>
      <c r="F48" s="404">
        <f>F46+F47</f>
        <v>11</v>
      </c>
      <c r="G48" s="414">
        <f>G47+G46</f>
        <v>54</v>
      </c>
      <c r="H48" s="184"/>
      <c r="I48" s="184"/>
      <c r="J48" s="191"/>
      <c r="K48" s="191"/>
      <c r="L48" s="82"/>
      <c r="M48" s="82"/>
      <c r="N48" s="82"/>
      <c r="O48" s="82"/>
      <c r="P48" s="82"/>
      <c r="Q48" s="82"/>
      <c r="R48" s="82"/>
      <c r="S48" s="82"/>
      <c r="T48" s="82"/>
      <c r="U48" s="139"/>
      <c r="V48" s="139"/>
      <c r="W48" s="139"/>
      <c r="X48" s="139"/>
      <c r="Y48" s="139"/>
      <c r="Z48" s="139"/>
      <c r="AA48" s="139"/>
      <c r="AB48" s="139"/>
      <c r="AC48" s="139"/>
      <c r="AD48" s="4"/>
      <c r="AE48" s="4"/>
      <c r="AF48" s="4"/>
      <c r="AG48" s="4"/>
      <c r="AH48" s="4"/>
      <c r="AI48" s="383"/>
      <c r="AJ48" s="139"/>
      <c r="AK48" s="383"/>
      <c r="AL48" s="139"/>
      <c r="AM48" s="383"/>
      <c r="AN48" s="139"/>
      <c r="AO48" s="383"/>
      <c r="AP48" s="30"/>
      <c r="AQ48" s="383"/>
      <c r="AR48" s="30"/>
      <c r="AS48" s="383"/>
      <c r="AT48" s="6"/>
      <c r="AU48" s="6"/>
      <c r="AV48" s="6"/>
      <c r="AW48" s="6"/>
      <c r="AX48" s="6"/>
      <c r="AY48" s="6"/>
      <c r="AZ48" s="6"/>
      <c r="BA48" s="82"/>
      <c r="BB48" s="82"/>
      <c r="BC48" s="82"/>
      <c r="BD48" s="82"/>
      <c r="BE48" s="82"/>
      <c r="BF48" s="82"/>
      <c r="BG48" s="82"/>
      <c r="BH48" s="82"/>
      <c r="BI48" s="82"/>
      <c r="BJ48" s="82"/>
      <c r="BK48" s="82"/>
      <c r="BL48" s="82"/>
      <c r="BM48" s="82"/>
      <c r="BN48" s="82"/>
      <c r="BO48" s="82"/>
      <c r="BP48" s="82"/>
      <c r="BQ48" s="82"/>
      <c r="BR48" s="82"/>
      <c r="BS48" s="82"/>
      <c r="BT48" s="82"/>
      <c r="BU48" s="82"/>
      <c r="BV48" s="82"/>
    </row>
    <row r="49" spans="1:74" ht="15.75" customHeight="1" x14ac:dyDescent="0.25">
      <c r="A49" s="193"/>
      <c r="B49" s="193"/>
      <c r="C49" s="406"/>
      <c r="D49" s="9"/>
      <c r="E49" s="9"/>
      <c r="F49" s="9"/>
      <c r="G49" s="9"/>
      <c r="H49" s="184"/>
      <c r="I49" s="184"/>
      <c r="J49" s="191"/>
      <c r="K49" s="191"/>
      <c r="L49" s="82"/>
      <c r="M49" s="82"/>
      <c r="N49" s="82"/>
      <c r="O49" s="82"/>
      <c r="P49" s="82"/>
      <c r="Q49" s="82"/>
      <c r="R49" s="82"/>
      <c r="S49" s="82"/>
      <c r="T49" s="82"/>
      <c r="U49" s="139"/>
      <c r="V49" s="139"/>
      <c r="W49" s="139"/>
      <c r="X49" s="139"/>
      <c r="Y49" s="139"/>
      <c r="Z49" s="139"/>
      <c r="AA49" s="139"/>
      <c r="AB49" s="139"/>
      <c r="AC49" s="139"/>
      <c r="AD49" s="4"/>
      <c r="AE49" s="4"/>
      <c r="AF49" s="4"/>
      <c r="AG49" s="4"/>
      <c r="AH49" s="4"/>
      <c r="AI49" s="383"/>
      <c r="AJ49" s="139"/>
      <c r="AK49" s="383"/>
      <c r="AL49" s="139"/>
      <c r="AM49" s="383"/>
      <c r="AN49" s="139"/>
      <c r="AO49" s="383"/>
      <c r="AP49" s="30"/>
      <c r="AQ49" s="383"/>
      <c r="AR49" s="30"/>
      <c r="AS49" s="383"/>
      <c r="AT49" s="6"/>
      <c r="AU49" s="6"/>
      <c r="AV49" s="6"/>
      <c r="AW49" s="6"/>
      <c r="AX49" s="6"/>
      <c r="AY49" s="6"/>
      <c r="AZ49" s="6"/>
      <c r="BA49" s="82"/>
      <c r="BB49" s="82"/>
      <c r="BC49" s="82"/>
      <c r="BD49" s="82"/>
      <c r="BE49" s="82"/>
      <c r="BF49" s="82"/>
      <c r="BG49" s="82"/>
      <c r="BH49" s="82"/>
      <c r="BI49" s="82"/>
      <c r="BJ49" s="82"/>
      <c r="BK49" s="82"/>
      <c r="BL49" s="82"/>
      <c r="BM49" s="82"/>
      <c r="BN49" s="82"/>
      <c r="BO49" s="82"/>
      <c r="BP49" s="82"/>
      <c r="BQ49" s="82"/>
      <c r="BR49" s="82"/>
      <c r="BS49" s="82"/>
      <c r="BT49" s="82"/>
      <c r="BU49" s="82"/>
      <c r="BV49" s="82"/>
    </row>
    <row r="50" spans="1:74" ht="15.75" customHeight="1" x14ac:dyDescent="0.25">
      <c r="A50" s="193"/>
      <c r="B50" s="193"/>
      <c r="C50" s="407" t="s">
        <v>282</v>
      </c>
      <c r="D50" s="9"/>
      <c r="E50" s="390" t="s">
        <v>253</v>
      </c>
      <c r="F50" s="390" t="s">
        <v>254</v>
      </c>
      <c r="G50" s="9"/>
      <c r="H50" s="184"/>
      <c r="I50" s="184"/>
      <c r="J50" s="191"/>
      <c r="K50" s="191"/>
      <c r="L50" s="82"/>
      <c r="M50" s="82"/>
      <c r="N50" s="82"/>
      <c r="O50" s="82"/>
      <c r="P50" s="82"/>
      <c r="Q50" s="82"/>
      <c r="R50" s="82"/>
      <c r="S50" s="82"/>
      <c r="T50" s="82"/>
      <c r="U50" s="139"/>
      <c r="V50" s="139"/>
      <c r="W50" s="139"/>
      <c r="X50" s="139"/>
      <c r="Y50" s="139"/>
      <c r="Z50" s="139"/>
      <c r="AA50" s="139"/>
      <c r="AB50" s="139"/>
      <c r="AC50" s="139"/>
      <c r="AD50" s="4"/>
      <c r="AE50" s="4"/>
      <c r="AF50" s="4"/>
      <c r="AG50" s="4"/>
      <c r="AH50" s="4"/>
      <c r="AI50" s="383"/>
      <c r="AJ50" s="139"/>
      <c r="AK50" s="383"/>
      <c r="AL50" s="139"/>
      <c r="AM50" s="383"/>
      <c r="AN50" s="139"/>
      <c r="AO50" s="383"/>
      <c r="AP50" s="30"/>
      <c r="AQ50" s="383"/>
      <c r="AR50" s="30"/>
      <c r="AS50" s="383"/>
      <c r="AT50" s="6"/>
      <c r="AU50" s="6"/>
      <c r="AV50" s="6"/>
      <c r="AW50" s="6"/>
      <c r="AX50" s="6"/>
      <c r="AY50" s="6"/>
      <c r="AZ50" s="6"/>
      <c r="BA50" s="82"/>
      <c r="BB50" s="82"/>
      <c r="BC50" s="82"/>
      <c r="BD50" s="82"/>
      <c r="BE50" s="82"/>
      <c r="BF50" s="82"/>
      <c r="BG50" s="82"/>
      <c r="BH50" s="82"/>
      <c r="BI50" s="82"/>
      <c r="BJ50" s="82"/>
      <c r="BK50" s="82"/>
      <c r="BL50" s="82"/>
      <c r="BM50" s="82"/>
      <c r="BN50" s="82"/>
      <c r="BO50" s="82"/>
      <c r="BP50" s="82"/>
      <c r="BQ50" s="82"/>
      <c r="BR50" s="82"/>
      <c r="BS50" s="82"/>
      <c r="BT50" s="82"/>
      <c r="BU50" s="82"/>
      <c r="BV50" s="82"/>
    </row>
    <row r="51" spans="1:74" ht="15.75" customHeight="1" x14ac:dyDescent="0.25">
      <c r="A51" s="193"/>
      <c r="B51" s="193"/>
      <c r="C51" s="415"/>
      <c r="D51" s="416" t="s">
        <v>279</v>
      </c>
      <c r="E51" s="417">
        <f>E46/G48</f>
        <v>0.3888888888888889</v>
      </c>
      <c r="F51" s="418">
        <f>F46/G48</f>
        <v>9.2592592592592587E-2</v>
      </c>
      <c r="G51" s="419">
        <f>E51+F51</f>
        <v>0.48148148148148151</v>
      </c>
      <c r="H51" s="184"/>
      <c r="I51" s="184"/>
      <c r="J51" s="191"/>
      <c r="K51" s="191"/>
      <c r="L51" s="82"/>
      <c r="M51" s="82"/>
      <c r="N51" s="82"/>
      <c r="O51" s="82"/>
      <c r="P51" s="82"/>
      <c r="Q51" s="82"/>
      <c r="R51" s="82"/>
      <c r="S51" s="82"/>
      <c r="T51" s="82"/>
      <c r="U51" s="139"/>
      <c r="V51" s="139"/>
      <c r="W51" s="139"/>
      <c r="X51" s="139"/>
      <c r="Y51" s="139"/>
      <c r="Z51" s="139"/>
      <c r="AA51" s="139"/>
      <c r="AB51" s="139"/>
      <c r="AC51" s="139"/>
      <c r="AD51" s="4"/>
      <c r="AE51" s="4"/>
      <c r="AF51" s="4"/>
      <c r="AG51" s="4"/>
      <c r="AH51" s="4"/>
      <c r="AI51" s="383"/>
      <c r="AJ51" s="139"/>
      <c r="AK51" s="383"/>
      <c r="AL51" s="139"/>
      <c r="AM51" s="383"/>
      <c r="AN51" s="139"/>
      <c r="AO51" s="383"/>
      <c r="AP51" s="30"/>
      <c r="AQ51" s="383"/>
      <c r="AR51" s="30"/>
      <c r="AS51" s="383"/>
      <c r="AT51" s="6"/>
      <c r="AU51" s="6"/>
      <c r="AV51" s="6"/>
      <c r="AW51" s="6"/>
      <c r="AX51" s="6"/>
      <c r="AY51" s="6"/>
      <c r="AZ51" s="6"/>
      <c r="BA51" s="82"/>
      <c r="BB51" s="82"/>
      <c r="BC51" s="82"/>
      <c r="BD51" s="82"/>
      <c r="BE51" s="82"/>
      <c r="BF51" s="82"/>
      <c r="BG51" s="82"/>
      <c r="BH51" s="82"/>
      <c r="BI51" s="82"/>
      <c r="BJ51" s="82"/>
      <c r="BK51" s="82"/>
      <c r="BL51" s="82"/>
      <c r="BM51" s="82"/>
      <c r="BN51" s="82"/>
      <c r="BO51" s="82"/>
      <c r="BP51" s="82"/>
      <c r="BQ51" s="82"/>
      <c r="BR51" s="82"/>
      <c r="BS51" s="82"/>
      <c r="BT51" s="82"/>
      <c r="BU51" s="82"/>
      <c r="BV51" s="82"/>
    </row>
    <row r="52" spans="1:74" ht="15.75" customHeight="1" x14ac:dyDescent="0.25">
      <c r="A52" s="193"/>
      <c r="B52" s="193"/>
      <c r="C52" s="415"/>
      <c r="D52" s="400" t="s">
        <v>281</v>
      </c>
      <c r="E52" s="420">
        <f>E47/G48</f>
        <v>0.40740740740740738</v>
      </c>
      <c r="F52" s="421">
        <f>F47/G48</f>
        <v>0.1111111111111111</v>
      </c>
      <c r="G52" s="419">
        <f>F52+E52</f>
        <v>0.51851851851851849</v>
      </c>
      <c r="H52" s="184"/>
      <c r="I52" s="184"/>
      <c r="J52" s="191"/>
      <c r="K52" s="191"/>
      <c r="L52" s="82"/>
      <c r="M52" s="82"/>
      <c r="N52" s="82"/>
      <c r="O52" s="82"/>
      <c r="P52" s="82"/>
      <c r="Q52" s="82"/>
      <c r="R52" s="82"/>
      <c r="S52" s="82"/>
      <c r="T52" s="82"/>
      <c r="U52" s="139"/>
      <c r="V52" s="139"/>
      <c r="W52" s="139"/>
      <c r="X52" s="139"/>
      <c r="Y52" s="139"/>
      <c r="Z52" s="139"/>
      <c r="AA52" s="139"/>
      <c r="AB52" s="139"/>
      <c r="AC52" s="139"/>
      <c r="AD52" s="4"/>
      <c r="AE52" s="4"/>
      <c r="AF52" s="4"/>
      <c r="AG52" s="4"/>
      <c r="AH52" s="4"/>
      <c r="AI52" s="383"/>
      <c r="AJ52" s="139"/>
      <c r="AK52" s="383"/>
      <c r="AL52" s="139"/>
      <c r="AM52" s="383"/>
      <c r="AN52" s="139"/>
      <c r="AO52" s="383"/>
      <c r="AP52" s="30"/>
      <c r="AQ52" s="383"/>
      <c r="AR52" s="30"/>
      <c r="AS52" s="383"/>
      <c r="AT52" s="6"/>
      <c r="AU52" s="6"/>
      <c r="AV52" s="6"/>
      <c r="AW52" s="6"/>
      <c r="AX52" s="6"/>
      <c r="AY52" s="6"/>
      <c r="AZ52" s="6"/>
      <c r="BA52" s="82"/>
      <c r="BB52" s="82"/>
      <c r="BC52" s="82"/>
      <c r="BD52" s="82"/>
      <c r="BE52" s="82"/>
      <c r="BF52" s="82"/>
      <c r="BG52" s="82"/>
      <c r="BH52" s="82"/>
      <c r="BI52" s="82"/>
      <c r="BJ52" s="82"/>
      <c r="BK52" s="82"/>
      <c r="BL52" s="82"/>
      <c r="BM52" s="82"/>
      <c r="BN52" s="82"/>
      <c r="BO52" s="82"/>
      <c r="BP52" s="82"/>
      <c r="BQ52" s="82"/>
      <c r="BR52" s="82"/>
      <c r="BS52" s="82"/>
      <c r="BT52" s="82"/>
      <c r="BU52" s="82"/>
      <c r="BV52" s="82"/>
    </row>
    <row r="53" spans="1:74" ht="15.75" customHeight="1" x14ac:dyDescent="0.25">
      <c r="A53" s="193"/>
      <c r="B53" s="193"/>
      <c r="C53" s="422"/>
      <c r="D53" s="422"/>
      <c r="E53" s="423">
        <f>E52+E51</f>
        <v>0.79629629629629628</v>
      </c>
      <c r="F53" s="423">
        <f>F51+F52</f>
        <v>0.20370370370370369</v>
      </c>
      <c r="G53" s="422"/>
      <c r="H53" s="184"/>
      <c r="I53" s="184"/>
      <c r="J53" s="191"/>
      <c r="K53" s="191"/>
      <c r="L53" s="82"/>
      <c r="M53" s="82"/>
      <c r="N53" s="82"/>
      <c r="O53" s="82"/>
      <c r="P53" s="82"/>
      <c r="Q53" s="82"/>
      <c r="R53" s="82"/>
      <c r="S53" s="82"/>
      <c r="T53" s="82"/>
      <c r="U53" s="139"/>
      <c r="V53" s="139"/>
      <c r="W53" s="139"/>
      <c r="X53" s="139"/>
      <c r="Y53" s="139"/>
      <c r="Z53" s="139"/>
      <c r="AA53" s="139"/>
      <c r="AB53" s="139"/>
      <c r="AC53" s="139"/>
      <c r="AD53" s="4"/>
      <c r="AE53" s="4"/>
      <c r="AF53" s="4"/>
      <c r="AG53" s="4"/>
      <c r="AH53" s="4"/>
      <c r="AI53" s="383"/>
      <c r="AJ53" s="139"/>
      <c r="AK53" s="383"/>
      <c r="AL53" s="139"/>
      <c r="AM53" s="383"/>
      <c r="AN53" s="139"/>
      <c r="AO53" s="383"/>
      <c r="AP53" s="30"/>
      <c r="AQ53" s="383"/>
      <c r="AR53" s="30"/>
      <c r="AS53" s="383"/>
      <c r="AT53" s="6"/>
      <c r="AU53" s="6"/>
      <c r="AV53" s="6"/>
      <c r="AW53" s="6"/>
      <c r="AX53" s="6"/>
      <c r="AY53" s="6"/>
      <c r="AZ53" s="6"/>
      <c r="BA53" s="82"/>
      <c r="BB53" s="82"/>
      <c r="BC53" s="82"/>
      <c r="BD53" s="82"/>
      <c r="BE53" s="82"/>
      <c r="BF53" s="82"/>
      <c r="BG53" s="82"/>
      <c r="BH53" s="82"/>
      <c r="BI53" s="82"/>
      <c r="BJ53" s="82"/>
      <c r="BK53" s="82"/>
      <c r="BL53" s="82"/>
      <c r="BM53" s="82"/>
      <c r="BN53" s="82"/>
      <c r="BO53" s="82"/>
      <c r="BP53" s="82"/>
      <c r="BQ53" s="82"/>
      <c r="BR53" s="82"/>
      <c r="BS53" s="82"/>
      <c r="BT53" s="82"/>
      <c r="BU53" s="82"/>
      <c r="BV53" s="82"/>
    </row>
    <row r="54" spans="1:74" ht="15.75" customHeight="1" x14ac:dyDescent="0.25">
      <c r="A54" s="193"/>
      <c r="B54" s="193"/>
      <c r="C54" s="84"/>
      <c r="D54" s="84"/>
      <c r="E54" s="84"/>
      <c r="F54" s="84"/>
      <c r="G54" s="84"/>
      <c r="H54" s="184"/>
      <c r="I54" s="184"/>
      <c r="J54" s="191"/>
      <c r="K54" s="191"/>
      <c r="L54" s="82"/>
      <c r="M54" s="82"/>
      <c r="N54" s="82"/>
      <c r="O54" s="82"/>
      <c r="P54" s="82"/>
      <c r="Q54" s="82"/>
      <c r="R54" s="82"/>
      <c r="S54" s="82"/>
      <c r="T54" s="82"/>
      <c r="U54" s="139"/>
      <c r="V54" s="139"/>
      <c r="W54" s="139"/>
      <c r="X54" s="139"/>
      <c r="Y54" s="139"/>
      <c r="Z54" s="139"/>
      <c r="AA54" s="139"/>
      <c r="AB54" s="139"/>
      <c r="AC54" s="139"/>
      <c r="AD54" s="4"/>
      <c r="AE54" s="4"/>
      <c r="AF54" s="4"/>
      <c r="AG54" s="4"/>
      <c r="AH54" s="4"/>
      <c r="AI54" s="383"/>
      <c r="AJ54" s="139"/>
      <c r="AK54" s="383"/>
      <c r="AL54" s="139"/>
      <c r="AM54" s="383"/>
      <c r="AN54" s="139"/>
      <c r="AO54" s="383"/>
      <c r="AP54" s="30"/>
      <c r="AQ54" s="383"/>
      <c r="AR54" s="30"/>
      <c r="AS54" s="383"/>
      <c r="AT54" s="6"/>
      <c r="AU54" s="6"/>
      <c r="AV54" s="6"/>
      <c r="AW54" s="6"/>
      <c r="AX54" s="6"/>
      <c r="AY54" s="6"/>
      <c r="AZ54" s="6"/>
      <c r="BA54" s="82"/>
      <c r="BB54" s="82"/>
      <c r="BC54" s="82"/>
      <c r="BD54" s="82"/>
      <c r="BE54" s="82"/>
      <c r="BF54" s="82"/>
      <c r="BG54" s="82"/>
      <c r="BH54" s="82"/>
      <c r="BI54" s="82"/>
      <c r="BJ54" s="82"/>
      <c r="BK54" s="82"/>
      <c r="BL54" s="82"/>
      <c r="BM54" s="82"/>
      <c r="BN54" s="82"/>
      <c r="BO54" s="82"/>
      <c r="BP54" s="82"/>
      <c r="BQ54" s="82"/>
      <c r="BR54" s="82"/>
      <c r="BS54" s="82"/>
      <c r="BT54" s="82"/>
      <c r="BU54" s="82"/>
      <c r="BV54" s="82"/>
    </row>
    <row r="55" spans="1:74" ht="15.75" customHeight="1" x14ac:dyDescent="0.25">
      <c r="A55" s="5"/>
      <c r="B55" s="84"/>
      <c r="C55" s="84"/>
      <c r="D55" s="84"/>
      <c r="E55" s="84"/>
      <c r="F55" s="84"/>
      <c r="G55" s="84"/>
      <c r="H55" s="4"/>
      <c r="I55" s="82"/>
      <c r="J55" s="4"/>
      <c r="K55" s="4"/>
      <c r="L55" s="4"/>
      <c r="M55" s="4"/>
      <c r="N55" s="4"/>
      <c r="O55" s="4"/>
      <c r="P55" s="4"/>
      <c r="Q55" s="4"/>
      <c r="R55" s="4"/>
      <c r="S55" s="4"/>
      <c r="T55" s="4"/>
      <c r="U55" s="4"/>
      <c r="V55" s="4"/>
      <c r="W55" s="4"/>
      <c r="X55" s="4"/>
      <c r="Y55" s="4"/>
      <c r="Z55" s="4"/>
      <c r="AA55" s="4"/>
      <c r="AB55" s="4"/>
      <c r="AC55" s="4"/>
      <c r="AD55" s="4"/>
      <c r="AE55" s="6"/>
      <c r="AF55" s="6"/>
      <c r="AG55" s="4"/>
      <c r="AH55" s="4"/>
      <c r="AI55" s="139"/>
      <c r="AJ55" s="139"/>
      <c r="AK55" s="139"/>
      <c r="AL55" s="139"/>
      <c r="AM55" s="139"/>
      <c r="AN55" s="139"/>
      <c r="AO55" s="139"/>
      <c r="AP55" s="30"/>
      <c r="AQ55" s="139"/>
      <c r="AR55" s="30"/>
      <c r="AS55" s="30"/>
      <c r="AT55" s="30"/>
      <c r="AU55" s="30"/>
      <c r="AV55" s="30"/>
      <c r="AW55" s="30"/>
      <c r="AX55" s="30"/>
      <c r="AY55" s="30"/>
      <c r="AZ55" s="6"/>
      <c r="BA55" s="6"/>
      <c r="BB55" s="6"/>
      <c r="BC55" s="6"/>
      <c r="BD55" s="6"/>
      <c r="BE55" s="6"/>
      <c r="BF55" s="6"/>
      <c r="BG55" s="6"/>
      <c r="BH55" s="6"/>
      <c r="BI55" s="6"/>
      <c r="BJ55" s="6"/>
      <c r="BK55" s="6"/>
      <c r="BL55" s="6"/>
      <c r="BM55" s="6"/>
      <c r="BN55" s="6"/>
      <c r="BO55" s="6"/>
      <c r="BP55" s="6"/>
      <c r="BQ55" s="6"/>
      <c r="BR55" s="6"/>
      <c r="BS55" s="6"/>
      <c r="BT55" s="6"/>
      <c r="BU55" s="6"/>
      <c r="BV55" s="6"/>
    </row>
    <row r="56" spans="1:74" ht="15.75" customHeight="1" x14ac:dyDescent="0.25">
      <c r="A56" s="5"/>
      <c r="B56" s="231" t="s">
        <v>143</v>
      </c>
      <c r="C56" s="232"/>
      <c r="D56" s="232"/>
      <c r="E56" s="232"/>
      <c r="F56" s="232"/>
      <c r="G56" s="232"/>
      <c r="H56" s="205"/>
      <c r="I56" s="234"/>
      <c r="J56" s="205"/>
      <c r="K56" s="205"/>
      <c r="L56" s="205"/>
      <c r="M56" s="205"/>
      <c r="N56" s="205"/>
      <c r="O56" s="205"/>
      <c r="P56" s="205"/>
      <c r="Q56" s="205"/>
      <c r="R56" s="205"/>
      <c r="S56" s="205"/>
      <c r="T56" s="205"/>
      <c r="U56" s="205"/>
      <c r="V56" s="205"/>
      <c r="W56" s="4"/>
      <c r="X56" s="4"/>
      <c r="Y56" s="4"/>
      <c r="Z56" s="4"/>
      <c r="AA56" s="4"/>
      <c r="AB56" s="4"/>
      <c r="AC56" s="4"/>
      <c r="AD56" s="4"/>
      <c r="AE56" s="6"/>
      <c r="AF56" s="6"/>
      <c r="AG56" s="4"/>
      <c r="AH56" s="4"/>
      <c r="AI56" s="139"/>
      <c r="AJ56" s="139"/>
      <c r="AK56" s="139"/>
      <c r="AL56" s="139"/>
      <c r="AM56" s="139"/>
      <c r="AN56" s="139"/>
      <c r="AO56" s="139"/>
      <c r="AP56" s="30"/>
      <c r="AQ56" s="139"/>
      <c r="AR56" s="30"/>
      <c r="AS56" s="30"/>
      <c r="AT56" s="30"/>
      <c r="AU56" s="30"/>
      <c r="AV56" s="30"/>
      <c r="AW56" s="30"/>
      <c r="AX56" s="30"/>
      <c r="AY56" s="30"/>
      <c r="AZ56" s="6"/>
      <c r="BA56" s="6"/>
      <c r="BB56" s="6"/>
      <c r="BC56" s="6"/>
      <c r="BD56" s="6"/>
      <c r="BE56" s="6"/>
      <c r="BF56" s="6"/>
      <c r="BG56" s="6"/>
      <c r="BH56" s="6"/>
      <c r="BI56" s="6"/>
      <c r="BJ56" s="6"/>
      <c r="BK56" s="6"/>
      <c r="BL56" s="6"/>
      <c r="BM56" s="6"/>
      <c r="BN56" s="6"/>
      <c r="BO56" s="6"/>
      <c r="BP56" s="6"/>
      <c r="BQ56" s="6"/>
      <c r="BR56" s="6"/>
      <c r="BS56" s="6"/>
      <c r="BT56" s="6"/>
      <c r="BU56" s="6"/>
      <c r="BV56" s="6"/>
    </row>
    <row r="57" spans="1:74" ht="15.75" customHeight="1" x14ac:dyDescent="0.25">
      <c r="A57" s="68"/>
      <c r="B57" s="68"/>
      <c r="C57" s="449" t="s">
        <v>34</v>
      </c>
      <c r="D57" s="450"/>
      <c r="E57" s="450"/>
      <c r="F57" s="450"/>
      <c r="G57" s="451"/>
      <c r="H57" s="452" t="s">
        <v>144</v>
      </c>
      <c r="I57" s="453"/>
      <c r="J57" s="453"/>
      <c r="K57" s="453"/>
      <c r="L57" s="453"/>
      <c r="M57" s="453"/>
      <c r="N57" s="453"/>
      <c r="O57" s="453"/>
      <c r="P57" s="453"/>
      <c r="Q57" s="453"/>
      <c r="R57" s="453"/>
      <c r="S57" s="453"/>
      <c r="T57" s="453"/>
      <c r="U57" s="453"/>
      <c r="V57" s="454"/>
      <c r="W57" s="4"/>
      <c r="X57" s="4"/>
      <c r="Y57" s="4"/>
      <c r="Z57" s="4"/>
      <c r="AA57" s="4"/>
      <c r="AB57" s="4"/>
      <c r="AC57" s="4"/>
      <c r="AD57" s="6"/>
      <c r="AE57" s="6"/>
      <c r="AF57" s="6"/>
      <c r="AG57" s="4"/>
      <c r="AH57" s="4"/>
      <c r="AI57" s="139"/>
      <c r="AJ57" s="139"/>
      <c r="AK57" s="139"/>
      <c r="AL57" s="139"/>
      <c r="AM57" s="139"/>
      <c r="AN57" s="139"/>
      <c r="AO57" s="139"/>
      <c r="AP57" s="30"/>
      <c r="AQ57" s="139"/>
      <c r="AR57" s="30"/>
      <c r="AS57" s="30"/>
      <c r="AT57" s="30"/>
      <c r="AU57" s="30"/>
      <c r="AV57" s="30"/>
      <c r="AW57" s="30"/>
      <c r="AX57" s="30"/>
      <c r="AY57" s="30"/>
      <c r="AZ57" s="6"/>
      <c r="BA57" s="6"/>
      <c r="BB57" s="6"/>
      <c r="BC57" s="6"/>
      <c r="BD57" s="6"/>
      <c r="BE57" s="6"/>
      <c r="BF57" s="6"/>
      <c r="BG57" s="6"/>
      <c r="BH57" s="6"/>
      <c r="BI57" s="6"/>
      <c r="BJ57" s="6"/>
      <c r="BK57" s="6"/>
      <c r="BL57" s="6"/>
      <c r="BM57" s="6"/>
      <c r="BN57" s="6"/>
      <c r="BO57" s="6"/>
      <c r="BP57" s="6"/>
      <c r="BQ57" s="6"/>
      <c r="BR57" s="6"/>
      <c r="BS57" s="6"/>
      <c r="BT57" s="6"/>
      <c r="BU57" s="6"/>
      <c r="BV57" s="6"/>
    </row>
    <row r="58" spans="1:74" ht="48" x14ac:dyDescent="0.25">
      <c r="A58" s="37"/>
      <c r="B58" s="38" t="s">
        <v>0</v>
      </c>
      <c r="C58" s="39" t="s">
        <v>1</v>
      </c>
      <c r="D58" s="38" t="s">
        <v>39</v>
      </c>
      <c r="E58" s="38" t="s">
        <v>2</v>
      </c>
      <c r="F58" s="38" t="s">
        <v>40</v>
      </c>
      <c r="G58" s="38" t="s">
        <v>41</v>
      </c>
      <c r="H58" s="237" t="s">
        <v>146</v>
      </c>
      <c r="I58" s="40" t="s">
        <v>44</v>
      </c>
      <c r="J58" s="40" t="s">
        <v>45</v>
      </c>
      <c r="K58" s="40" t="s">
        <v>46</v>
      </c>
      <c r="L58" s="238" t="s">
        <v>147</v>
      </c>
      <c r="M58" s="40" t="s">
        <v>48</v>
      </c>
      <c r="N58" s="40" t="s">
        <v>49</v>
      </c>
      <c r="O58" s="40" t="s">
        <v>50</v>
      </c>
      <c r="P58" s="455" t="s">
        <v>148</v>
      </c>
      <c r="Q58" s="456"/>
      <c r="R58" s="456"/>
      <c r="S58" s="456"/>
      <c r="T58" s="456"/>
      <c r="U58" s="456"/>
      <c r="V58" s="457"/>
      <c r="W58" s="4"/>
      <c r="X58" s="4"/>
      <c r="Y58" s="4"/>
      <c r="Z58" s="4"/>
      <c r="AA58" s="4"/>
      <c r="AB58" s="4"/>
      <c r="AC58" s="4"/>
      <c r="AD58" s="45"/>
      <c r="AE58" s="45"/>
      <c r="AF58" s="45"/>
      <c r="AG58" s="45"/>
      <c r="AH58" s="45"/>
      <c r="AI58" s="45"/>
      <c r="AJ58" s="45"/>
      <c r="AK58" s="45"/>
      <c r="AL58" s="45"/>
      <c r="AM58" s="45"/>
      <c r="AN58" s="45"/>
      <c r="AO58" s="45"/>
      <c r="AP58" s="45"/>
      <c r="AQ58" s="45"/>
      <c r="AR58" s="45"/>
      <c r="AS58" s="45"/>
      <c r="AT58" s="45"/>
      <c r="AU58" s="45"/>
      <c r="AV58" s="45"/>
      <c r="AW58" s="45"/>
      <c r="AX58" s="45"/>
      <c r="AY58" s="45"/>
      <c r="AZ58" s="37"/>
      <c r="BA58" s="37"/>
      <c r="BB58" s="37"/>
      <c r="BC58" s="37"/>
      <c r="BD58" s="37"/>
      <c r="BE58" s="37"/>
      <c r="BF58" s="37"/>
      <c r="BG58" s="37"/>
      <c r="BH58" s="37"/>
      <c r="BI58" s="37"/>
      <c r="BJ58" s="37"/>
      <c r="BK58" s="37"/>
      <c r="BL58" s="37"/>
      <c r="BM58" s="37"/>
    </row>
    <row r="59" spans="1:74" ht="15.75" customHeight="1" x14ac:dyDescent="0.25">
      <c r="A59" s="5">
        <v>1</v>
      </c>
      <c r="B59" s="1" t="s">
        <v>283</v>
      </c>
      <c r="C59" s="48" t="str">
        <f ca="1">IFERROR(__xludf.DUMMYFUNCTION("GoogleFinance(B59,""name"")"),"Loading...")</f>
        <v>Loading...</v>
      </c>
      <c r="D59" s="49" t="str">
        <f ca="1">IFERROR(__xludf.DUMMYFUNCTION("GoogleFinance(B59,""marketcap"")/1000000"),"#N/A")</f>
        <v>#N/A</v>
      </c>
      <c r="E59" s="50" t="s">
        <v>284</v>
      </c>
      <c r="F59" s="50"/>
      <c r="G59" s="51">
        <v>44912</v>
      </c>
      <c r="H59" s="113">
        <v>12</v>
      </c>
      <c r="I59" s="53">
        <v>12.8</v>
      </c>
      <c r="J59" s="54">
        <v>195.3</v>
      </c>
      <c r="K59" s="55">
        <f t="shared" ref="K59:K61" si="1">J59*I59</f>
        <v>2499.84</v>
      </c>
      <c r="L59" s="56">
        <f t="shared" ref="L59:L81" si="2">H59*J59</f>
        <v>2343.6000000000004</v>
      </c>
      <c r="M59" s="56">
        <f t="shared" ref="M59:M101" si="3">L59-K59</f>
        <v>-156.23999999999978</v>
      </c>
      <c r="N59" s="57">
        <f t="shared" ref="N59:N101" si="4">H59/I59-1</f>
        <v>-6.25E-2</v>
      </c>
      <c r="O59" s="58">
        <v>32</v>
      </c>
      <c r="P59" s="239" t="s">
        <v>51</v>
      </c>
      <c r="Q59" s="4"/>
      <c r="R59" s="4"/>
      <c r="S59" s="4"/>
      <c r="T59" s="4"/>
      <c r="U59" s="4"/>
      <c r="V59" s="4"/>
      <c r="W59" s="4"/>
      <c r="X59" s="4"/>
      <c r="Y59" s="4"/>
      <c r="Z59" s="4"/>
      <c r="AA59" s="4"/>
      <c r="AB59" s="4"/>
      <c r="AC59" s="4"/>
      <c r="AD59" s="6"/>
      <c r="AE59" s="6"/>
      <c r="AF59" s="6"/>
      <c r="AG59" s="4"/>
      <c r="AH59" s="4"/>
      <c r="AI59" s="139"/>
      <c r="AJ59" s="139"/>
      <c r="AK59" s="139"/>
      <c r="AL59" s="139"/>
      <c r="AM59" s="139"/>
      <c r="AN59" s="139"/>
      <c r="AO59" s="139"/>
      <c r="AP59" s="30"/>
      <c r="AQ59" s="139"/>
      <c r="AR59" s="30"/>
      <c r="AS59" s="30"/>
      <c r="AT59" s="30"/>
      <c r="AU59" s="30"/>
      <c r="AV59" s="30"/>
      <c r="AW59" s="30"/>
      <c r="AX59" s="30"/>
      <c r="AY59" s="30"/>
      <c r="AZ59" s="6"/>
      <c r="BA59" s="6"/>
      <c r="BB59" s="6"/>
      <c r="BC59" s="6"/>
      <c r="BD59" s="6"/>
      <c r="BE59" s="6"/>
      <c r="BF59" s="6"/>
      <c r="BG59" s="6"/>
      <c r="BH59" s="6"/>
      <c r="BI59" s="6"/>
      <c r="BJ59" s="6"/>
      <c r="BK59" s="6"/>
      <c r="BL59" s="6"/>
      <c r="BM59" s="6"/>
      <c r="BN59" s="6"/>
      <c r="BO59" s="6"/>
      <c r="BP59" s="6"/>
      <c r="BQ59" s="6"/>
      <c r="BR59" s="6"/>
      <c r="BS59" s="6"/>
      <c r="BT59" s="6"/>
      <c r="BU59" s="6"/>
      <c r="BV59" s="6"/>
    </row>
    <row r="60" spans="1:74" ht="15.75" customHeight="1" x14ac:dyDescent="0.25">
      <c r="A60" s="5">
        <v>2</v>
      </c>
      <c r="B60" s="1" t="s">
        <v>285</v>
      </c>
      <c r="C60" s="48" t="str">
        <f ca="1">IFERROR(__xludf.DUMMYFUNCTION("GoogleFinance(B60,""name"")"),"Loading...")</f>
        <v>Loading...</v>
      </c>
      <c r="D60" s="49">
        <f ca="1">IFERROR(__xludf.DUMMYFUNCTION("GoogleFinance(B60,""marketcap"")/1000000"),1303.768007)</f>
        <v>1303.7680069999999</v>
      </c>
      <c r="E60" s="50" t="s">
        <v>286</v>
      </c>
      <c r="F60" s="50" t="s">
        <v>287</v>
      </c>
      <c r="G60" s="51">
        <v>44952</v>
      </c>
      <c r="H60" s="113">
        <v>8</v>
      </c>
      <c r="I60" s="53">
        <v>9.44</v>
      </c>
      <c r="J60" s="54">
        <f>1000/I60</f>
        <v>105.93220338983052</v>
      </c>
      <c r="K60" s="55">
        <f t="shared" si="1"/>
        <v>1000</v>
      </c>
      <c r="L60" s="56">
        <f t="shared" si="2"/>
        <v>847.45762711864415</v>
      </c>
      <c r="M60" s="56">
        <f t="shared" si="3"/>
        <v>-152.54237288135585</v>
      </c>
      <c r="N60" s="57">
        <f t="shared" si="4"/>
        <v>-0.15254237288135586</v>
      </c>
      <c r="O60" s="58">
        <v>23</v>
      </c>
      <c r="P60" s="298" t="s">
        <v>51</v>
      </c>
      <c r="Q60" s="4"/>
      <c r="R60" s="4"/>
      <c r="S60" s="4"/>
      <c r="T60" s="4"/>
      <c r="U60" s="4"/>
      <c r="V60" s="4"/>
      <c r="W60" s="4"/>
      <c r="X60" s="4"/>
      <c r="Y60" s="4"/>
      <c r="Z60" s="4"/>
      <c r="AA60" s="4"/>
      <c r="AB60" s="4"/>
      <c r="AC60" s="4"/>
      <c r="AE60" s="6"/>
      <c r="AF60" s="6"/>
      <c r="AG60" s="4"/>
      <c r="AH60" s="4"/>
      <c r="AI60" s="139"/>
      <c r="AJ60" s="139"/>
      <c r="AK60" s="139"/>
      <c r="AL60" s="139"/>
      <c r="AM60" s="139"/>
      <c r="AN60" s="139"/>
      <c r="AO60" s="139"/>
      <c r="AP60" s="30"/>
      <c r="AQ60" s="139"/>
      <c r="AR60" s="30"/>
      <c r="AS60" s="30"/>
      <c r="AT60" s="30"/>
      <c r="AU60" s="30"/>
      <c r="AV60" s="30"/>
      <c r="AW60" s="30"/>
      <c r="AX60" s="30"/>
      <c r="AY60" s="30"/>
      <c r="AZ60" s="6"/>
      <c r="BA60" s="6"/>
      <c r="BB60" s="6"/>
      <c r="BC60" s="6"/>
      <c r="BD60" s="6"/>
      <c r="BE60" s="6"/>
      <c r="BF60" s="6"/>
      <c r="BG60" s="6"/>
      <c r="BH60" s="6"/>
      <c r="BI60" s="6"/>
      <c r="BJ60" s="6"/>
      <c r="BK60" s="6"/>
      <c r="BL60" s="6"/>
      <c r="BM60" s="6"/>
      <c r="BN60" s="6"/>
      <c r="BO60" s="6"/>
      <c r="BP60" s="6"/>
      <c r="BQ60" s="6"/>
      <c r="BR60" s="6"/>
      <c r="BS60" s="6"/>
      <c r="BT60" s="6"/>
      <c r="BU60" s="6"/>
      <c r="BV60" s="6"/>
    </row>
    <row r="61" spans="1:74" ht="15.75" customHeight="1" x14ac:dyDescent="0.25">
      <c r="A61" s="5">
        <v>3</v>
      </c>
      <c r="B61" s="1" t="s">
        <v>288</v>
      </c>
      <c r="C61" s="48" t="str">
        <f ca="1">IFERROR(__xludf.DUMMYFUNCTION("GoogleFinance(B61,""name"")"),"Loading...")</f>
        <v>Loading...</v>
      </c>
      <c r="D61" s="49">
        <f ca="1">IFERROR(__xludf.DUMMYFUNCTION("GoogleFinance(B61,""marketcap"")/1000000"),72898.961833)</f>
        <v>72898.961832999994</v>
      </c>
      <c r="E61" s="50" t="s">
        <v>286</v>
      </c>
      <c r="F61" s="50" t="s">
        <v>289</v>
      </c>
      <c r="G61" s="51">
        <v>44951</v>
      </c>
      <c r="H61" s="113">
        <v>38.5</v>
      </c>
      <c r="I61" s="53">
        <v>40.5</v>
      </c>
      <c r="J61" s="54">
        <f>2500/I61</f>
        <v>61.728395061728392</v>
      </c>
      <c r="K61" s="55">
        <f t="shared" si="1"/>
        <v>2500</v>
      </c>
      <c r="L61" s="56">
        <f t="shared" si="2"/>
        <v>2376.5432098765432</v>
      </c>
      <c r="M61" s="56">
        <f t="shared" si="3"/>
        <v>-123.45679012345681</v>
      </c>
      <c r="N61" s="57">
        <f t="shared" si="4"/>
        <v>-4.9382716049382713E-2</v>
      </c>
      <c r="O61" s="58">
        <v>30</v>
      </c>
      <c r="P61" s="298" t="s">
        <v>51</v>
      </c>
      <c r="Q61" s="4"/>
      <c r="R61" s="4"/>
      <c r="S61" s="4"/>
      <c r="T61" s="4"/>
      <c r="U61" s="4"/>
      <c r="V61" s="4"/>
      <c r="W61" s="4"/>
      <c r="X61" s="4"/>
      <c r="Y61" s="4"/>
      <c r="Z61" s="4"/>
      <c r="AA61" s="4"/>
      <c r="AB61" s="4"/>
      <c r="AG61" s="4"/>
      <c r="AH61" s="4"/>
      <c r="AI61" s="139"/>
      <c r="AJ61" s="139"/>
      <c r="AK61" s="139"/>
      <c r="AL61" s="139"/>
      <c r="AM61" s="139"/>
      <c r="AN61" s="139"/>
      <c r="AO61" s="139"/>
      <c r="AP61" s="30"/>
      <c r="AQ61" s="139"/>
      <c r="AR61" s="30"/>
      <c r="AS61" s="30"/>
      <c r="AT61" s="30"/>
      <c r="AU61" s="30"/>
      <c r="AV61" s="30"/>
      <c r="AW61" s="30"/>
      <c r="AX61" s="30"/>
      <c r="AY61" s="30"/>
      <c r="AZ61" s="6"/>
      <c r="BA61" s="6"/>
      <c r="BB61" s="6"/>
      <c r="BC61" s="6"/>
      <c r="BD61" s="6"/>
      <c r="BE61" s="6"/>
      <c r="BF61" s="6"/>
      <c r="BG61" s="6"/>
      <c r="BH61" s="6"/>
      <c r="BI61" s="6"/>
      <c r="BJ61" s="6"/>
      <c r="BK61" s="6"/>
      <c r="BL61" s="6"/>
      <c r="BM61" s="6"/>
      <c r="BN61" s="6"/>
      <c r="BO61" s="6"/>
      <c r="BP61" s="6"/>
      <c r="BQ61" s="6"/>
      <c r="BR61" s="6"/>
      <c r="BS61" s="6"/>
      <c r="BT61" s="6"/>
      <c r="BU61" s="6"/>
      <c r="BV61" s="6"/>
    </row>
    <row r="62" spans="1:74" ht="15.75" customHeight="1" x14ac:dyDescent="0.25">
      <c r="A62" s="5">
        <v>4</v>
      </c>
      <c r="B62" s="1" t="s">
        <v>290</v>
      </c>
      <c r="C62" s="48" t="str">
        <f ca="1">IFERROR(__xludf.DUMMYFUNCTION("GoogleFinance(B62,""name"")"),"Loading...")</f>
        <v>Loading...</v>
      </c>
      <c r="D62" s="49">
        <f ca="1">IFERROR(__xludf.DUMMYFUNCTION("GoogleFinance(B62,""marketcap"")/1000000"),2127.652735)</f>
        <v>2127.6527350000001</v>
      </c>
      <c r="E62" s="50" t="s">
        <v>13</v>
      </c>
      <c r="F62" s="50" t="s">
        <v>291</v>
      </c>
      <c r="G62" s="51">
        <v>44974</v>
      </c>
      <c r="H62" s="113">
        <v>6</v>
      </c>
      <c r="I62" s="53">
        <v>7</v>
      </c>
      <c r="J62" s="54">
        <f t="shared" ref="J62:J63" si="5">2000/I62</f>
        <v>285.71428571428572</v>
      </c>
      <c r="K62" s="55">
        <v>2000</v>
      </c>
      <c r="L62" s="56">
        <f t="shared" si="2"/>
        <v>1714.2857142857142</v>
      </c>
      <c r="M62" s="56">
        <f t="shared" si="3"/>
        <v>-285.71428571428578</v>
      </c>
      <c r="N62" s="57">
        <f t="shared" si="4"/>
        <v>-0.1428571428571429</v>
      </c>
      <c r="O62" s="58">
        <v>15</v>
      </c>
      <c r="P62" s="298" t="s">
        <v>51</v>
      </c>
      <c r="Q62" s="4"/>
      <c r="R62" s="4"/>
      <c r="S62" s="4"/>
      <c r="T62" s="4"/>
      <c r="U62" s="4"/>
      <c r="V62" s="4"/>
      <c r="W62" s="4"/>
      <c r="X62" s="4"/>
      <c r="Y62" s="4"/>
      <c r="Z62" s="4"/>
      <c r="AA62" s="4"/>
      <c r="AB62" s="4"/>
      <c r="AG62" s="4"/>
      <c r="AH62" s="4"/>
      <c r="AI62" s="139"/>
      <c r="AJ62" s="139"/>
      <c r="AK62" s="139"/>
      <c r="AL62" s="139"/>
      <c r="AM62" s="139"/>
      <c r="AN62" s="139"/>
      <c r="AO62" s="139"/>
      <c r="AP62" s="30"/>
      <c r="AQ62" s="139"/>
      <c r="AR62" s="30"/>
      <c r="AS62" s="30"/>
      <c r="AT62" s="30"/>
      <c r="AU62" s="30"/>
      <c r="AV62" s="30"/>
      <c r="AW62" s="30"/>
      <c r="AX62" s="30"/>
      <c r="AY62" s="30"/>
      <c r="AZ62" s="6"/>
      <c r="BA62" s="6"/>
      <c r="BB62" s="6"/>
      <c r="BC62" s="6"/>
      <c r="BD62" s="6"/>
      <c r="BE62" s="6"/>
      <c r="BF62" s="6"/>
      <c r="BG62" s="6"/>
      <c r="BH62" s="6"/>
      <c r="BI62" s="6"/>
      <c r="BJ62" s="6"/>
      <c r="BK62" s="6"/>
      <c r="BL62" s="6"/>
      <c r="BM62" s="6"/>
      <c r="BN62" s="6"/>
      <c r="BO62" s="6"/>
      <c r="BP62" s="6"/>
      <c r="BQ62" s="6"/>
      <c r="BR62" s="6"/>
      <c r="BS62" s="6"/>
      <c r="BT62" s="6"/>
      <c r="BU62" s="6"/>
      <c r="BV62" s="6"/>
    </row>
    <row r="63" spans="1:74" ht="15.75" customHeight="1" x14ac:dyDescent="0.25">
      <c r="A63" s="47">
        <v>5</v>
      </c>
      <c r="B63" s="1" t="s">
        <v>292</v>
      </c>
      <c r="C63" s="48" t="str">
        <f ca="1">IFERROR(__xludf.DUMMYFUNCTION("GoogleFinance(B63,""name"")"),"Loading...")</f>
        <v>Loading...</v>
      </c>
      <c r="D63" s="49">
        <f ca="1">IFERROR(__xludf.DUMMYFUNCTION("GoogleFinance(B63,""marketcap"")/1000000"),1743735.3525)</f>
        <v>1743735.3525</v>
      </c>
      <c r="E63" s="50" t="s">
        <v>139</v>
      </c>
      <c r="F63" s="50" t="s">
        <v>23</v>
      </c>
      <c r="G63" s="51">
        <v>44988</v>
      </c>
      <c r="H63" s="52">
        <v>84</v>
      </c>
      <c r="I63" s="53">
        <v>90.55</v>
      </c>
      <c r="J63" s="54">
        <f t="shared" si="5"/>
        <v>22.087244616234127</v>
      </c>
      <c r="K63" s="55">
        <v>2000</v>
      </c>
      <c r="L63" s="56">
        <f t="shared" si="2"/>
        <v>1855.3285477636666</v>
      </c>
      <c r="M63" s="56">
        <f t="shared" si="3"/>
        <v>-144.67145223633338</v>
      </c>
      <c r="N63" s="57">
        <f t="shared" si="4"/>
        <v>-7.2335726118166743E-2</v>
      </c>
      <c r="O63" s="58">
        <v>7</v>
      </c>
      <c r="P63" s="298" t="s">
        <v>51</v>
      </c>
      <c r="Q63" s="4"/>
      <c r="R63" s="4"/>
      <c r="S63" s="4"/>
      <c r="T63" s="4"/>
      <c r="U63" s="4"/>
      <c r="V63" s="4"/>
      <c r="W63" s="4"/>
      <c r="X63" s="4"/>
      <c r="Y63" s="4"/>
      <c r="Z63" s="4"/>
      <c r="AA63" s="4"/>
      <c r="AB63" s="4"/>
      <c r="AG63" s="4"/>
      <c r="AH63" s="4"/>
      <c r="AI63" s="139"/>
      <c r="AJ63" s="139"/>
      <c r="AK63" s="139"/>
      <c r="AL63" s="139"/>
      <c r="AM63" s="139"/>
      <c r="AN63" s="139"/>
      <c r="AO63" s="139"/>
      <c r="AP63" s="30"/>
      <c r="AQ63" s="139"/>
      <c r="AR63" s="30"/>
      <c r="AS63" s="30"/>
      <c r="AT63" s="30"/>
      <c r="AU63" s="30"/>
      <c r="AV63" s="30"/>
      <c r="AW63" s="30"/>
      <c r="AX63" s="30"/>
      <c r="AY63" s="30"/>
      <c r="AZ63" s="6"/>
      <c r="BA63" s="6"/>
      <c r="BB63" s="6"/>
      <c r="BC63" s="6"/>
      <c r="BD63" s="6"/>
      <c r="BE63" s="6"/>
      <c r="BF63" s="6"/>
      <c r="BG63" s="6"/>
      <c r="BH63" s="6"/>
      <c r="BI63" s="6"/>
      <c r="BJ63" s="6"/>
      <c r="BK63" s="6"/>
      <c r="BL63" s="6"/>
      <c r="BM63" s="6"/>
      <c r="BN63" s="6"/>
      <c r="BO63" s="6"/>
      <c r="BP63" s="6"/>
      <c r="BQ63" s="6"/>
      <c r="BR63" s="6"/>
      <c r="BS63" s="6"/>
      <c r="BT63" s="6"/>
      <c r="BU63" s="6"/>
      <c r="BV63" s="6"/>
    </row>
    <row r="64" spans="1:74" ht="15.75" customHeight="1" x14ac:dyDescent="0.25">
      <c r="A64" s="47">
        <v>6</v>
      </c>
      <c r="B64" s="1" t="s">
        <v>293</v>
      </c>
      <c r="C64" s="48" t="str">
        <f ca="1">IFERROR(__xludf.DUMMYFUNCTION("GoogleFinance(B64,""name"")"),"Loading...")</f>
        <v>Loading...</v>
      </c>
      <c r="D64" s="49">
        <f ca="1">IFERROR(__xludf.DUMMYFUNCTION("GoogleFinance(B64,""marketcap"")/1000000"),1886.452231)</f>
        <v>1886.452231</v>
      </c>
      <c r="E64" s="50" t="s">
        <v>139</v>
      </c>
      <c r="F64" s="50" t="s">
        <v>23</v>
      </c>
      <c r="G64" s="51">
        <v>44988</v>
      </c>
      <c r="H64" s="52">
        <v>4.7</v>
      </c>
      <c r="I64" s="53">
        <v>5.23</v>
      </c>
      <c r="J64" s="54">
        <f t="shared" ref="J64:J65" si="6">1000/I64</f>
        <v>191.20458891013382</v>
      </c>
      <c r="K64" s="55">
        <v>1000</v>
      </c>
      <c r="L64" s="56">
        <f t="shared" si="2"/>
        <v>898.66156787762895</v>
      </c>
      <c r="M64" s="56">
        <f t="shared" si="3"/>
        <v>-101.33843212237105</v>
      </c>
      <c r="N64" s="57">
        <f t="shared" si="4"/>
        <v>-0.10133843212237093</v>
      </c>
      <c r="O64" s="58">
        <v>7</v>
      </c>
      <c r="P64" s="298" t="s">
        <v>51</v>
      </c>
      <c r="Q64" s="4"/>
      <c r="R64" s="4"/>
      <c r="S64" s="4"/>
      <c r="T64" s="4"/>
      <c r="U64" s="4"/>
      <c r="V64" s="4"/>
      <c r="W64" s="4"/>
      <c r="X64" s="4"/>
      <c r="Y64" s="4"/>
      <c r="Z64" s="4"/>
      <c r="AA64" s="4"/>
      <c r="AB64" s="4"/>
      <c r="AG64" s="4"/>
      <c r="AH64" s="4"/>
      <c r="AI64" s="139"/>
      <c r="AJ64" s="139"/>
      <c r="AK64" s="139"/>
      <c r="AL64" s="139"/>
      <c r="AM64" s="139"/>
      <c r="AN64" s="139"/>
      <c r="AO64" s="139"/>
      <c r="AP64" s="30"/>
      <c r="AQ64" s="139"/>
      <c r="AR64" s="30"/>
      <c r="AS64" s="30"/>
      <c r="AT64" s="30"/>
      <c r="AU64" s="30"/>
      <c r="AV64" s="30"/>
      <c r="AW64" s="30"/>
      <c r="AX64" s="30"/>
      <c r="AY64" s="30"/>
      <c r="AZ64" s="6"/>
      <c r="BA64" s="6"/>
      <c r="BB64" s="6"/>
      <c r="BC64" s="6"/>
      <c r="BD64" s="6"/>
      <c r="BE64" s="6"/>
      <c r="BF64" s="6"/>
      <c r="BG64" s="6"/>
      <c r="BH64" s="6"/>
      <c r="BI64" s="6"/>
      <c r="BJ64" s="6"/>
      <c r="BK64" s="6"/>
      <c r="BL64" s="6"/>
      <c r="BM64" s="6"/>
      <c r="BN64" s="6"/>
      <c r="BO64" s="6"/>
      <c r="BP64" s="6"/>
      <c r="BQ64" s="6"/>
      <c r="BR64" s="6"/>
      <c r="BS64" s="6"/>
      <c r="BT64" s="6"/>
      <c r="BU64" s="6"/>
      <c r="BV64" s="6"/>
    </row>
    <row r="65" spans="1:74" ht="15.75" customHeight="1" x14ac:dyDescent="0.25">
      <c r="A65" s="144">
        <v>7</v>
      </c>
      <c r="B65" s="1" t="s">
        <v>294</v>
      </c>
      <c r="C65" s="48" t="str">
        <f ca="1">IFERROR(__xludf.DUMMYFUNCTION("GoogleFinance(B65,""name"")"),"Loading...")</f>
        <v>Loading...</v>
      </c>
      <c r="D65" s="49">
        <f ca="1">IFERROR(__xludf.DUMMYFUNCTION("GoogleFinance(B65,""marketcap"")/1000000"),15521.96649)</f>
        <v>15521.966490000001</v>
      </c>
      <c r="E65" s="50" t="s">
        <v>139</v>
      </c>
      <c r="F65" s="50" t="s">
        <v>23</v>
      </c>
      <c r="G65" s="51">
        <v>44988</v>
      </c>
      <c r="H65" s="52">
        <v>103.3</v>
      </c>
      <c r="I65" s="53">
        <v>108</v>
      </c>
      <c r="J65" s="54">
        <f t="shared" si="6"/>
        <v>9.2592592592592595</v>
      </c>
      <c r="K65" s="55">
        <v>1000</v>
      </c>
      <c r="L65" s="56">
        <f t="shared" si="2"/>
        <v>956.48148148148152</v>
      </c>
      <c r="M65" s="56">
        <f t="shared" si="3"/>
        <v>-43.518518518518476</v>
      </c>
      <c r="N65" s="57">
        <f t="shared" si="4"/>
        <v>-4.3518518518518512E-2</v>
      </c>
      <c r="O65" s="58">
        <v>7</v>
      </c>
      <c r="P65" s="320" t="s">
        <v>51</v>
      </c>
      <c r="Q65" s="4"/>
      <c r="R65" s="4"/>
      <c r="S65" s="4"/>
      <c r="T65" s="4"/>
      <c r="U65" s="4"/>
      <c r="V65" s="4"/>
      <c r="W65" s="4"/>
      <c r="X65" s="4"/>
      <c r="Y65" s="4"/>
      <c r="Z65" s="4"/>
      <c r="AA65" s="4"/>
      <c r="AB65" s="4"/>
      <c r="AG65" s="4"/>
      <c r="AH65" s="4"/>
      <c r="AI65" s="139"/>
      <c r="AJ65" s="139"/>
      <c r="AK65" s="139"/>
      <c r="AL65" s="139"/>
      <c r="AM65" s="139"/>
      <c r="AN65" s="139"/>
      <c r="AO65" s="139"/>
      <c r="AP65" s="30"/>
      <c r="AQ65" s="139"/>
      <c r="AR65" s="30"/>
      <c r="AS65" s="30"/>
      <c r="AT65" s="30"/>
      <c r="AU65" s="30"/>
      <c r="AV65" s="30"/>
      <c r="AW65" s="30"/>
      <c r="AX65" s="30"/>
      <c r="AY65" s="30"/>
      <c r="AZ65" s="6"/>
      <c r="BA65" s="6"/>
      <c r="BB65" s="6"/>
      <c r="BC65" s="6"/>
      <c r="BD65" s="6"/>
      <c r="BE65" s="6"/>
      <c r="BF65" s="6"/>
      <c r="BG65" s="6"/>
      <c r="BH65" s="6"/>
      <c r="BI65" s="6"/>
      <c r="BJ65" s="6"/>
      <c r="BK65" s="6"/>
      <c r="BL65" s="6"/>
      <c r="BM65" s="6"/>
      <c r="BN65" s="6"/>
      <c r="BO65" s="6"/>
      <c r="BP65" s="6"/>
      <c r="BQ65" s="6"/>
      <c r="BR65" s="6"/>
      <c r="BS65" s="6"/>
      <c r="BT65" s="6"/>
      <c r="BU65" s="6"/>
      <c r="BV65" s="6"/>
    </row>
    <row r="66" spans="1:74" ht="15.75" customHeight="1" x14ac:dyDescent="0.25">
      <c r="A66" s="144">
        <v>8</v>
      </c>
      <c r="B66" s="1" t="s">
        <v>295</v>
      </c>
      <c r="C66" s="48" t="str">
        <f ca="1">IFERROR(__xludf.DUMMYFUNCTION("GoogleFinance(B66,""name"")"),"Loading...")</f>
        <v>Loading...</v>
      </c>
      <c r="D66" s="49">
        <f ca="1">IFERROR(__xludf.DUMMYFUNCTION("GoogleFinance(B66,""marketcap"")/1000000"),71442.038984)</f>
        <v>71442.038983999999</v>
      </c>
      <c r="E66" s="50" t="s">
        <v>8</v>
      </c>
      <c r="F66" s="50" t="s">
        <v>296</v>
      </c>
      <c r="G66" s="51">
        <v>44986</v>
      </c>
      <c r="H66" s="52">
        <v>54.25</v>
      </c>
      <c r="I66" s="53">
        <v>58</v>
      </c>
      <c r="J66" s="54">
        <f t="shared" ref="J66:J68" si="7">2000/I66</f>
        <v>34.482758620689658</v>
      </c>
      <c r="K66" s="55">
        <v>2000</v>
      </c>
      <c r="L66" s="56">
        <f t="shared" si="2"/>
        <v>1870.6896551724139</v>
      </c>
      <c r="M66" s="56">
        <f t="shared" si="3"/>
        <v>-129.31034482758605</v>
      </c>
      <c r="N66" s="57">
        <f t="shared" si="4"/>
        <v>-6.4655172413793149E-2</v>
      </c>
      <c r="O66" s="58">
        <v>14</v>
      </c>
      <c r="P66" s="320" t="s">
        <v>51</v>
      </c>
      <c r="Q66" s="4"/>
      <c r="R66" s="4"/>
      <c r="S66" s="4"/>
      <c r="T66" s="4"/>
      <c r="U66" s="4"/>
      <c r="V66" s="4"/>
      <c r="W66" s="4"/>
      <c r="X66" s="4"/>
      <c r="Y66" s="4"/>
      <c r="Z66" s="4"/>
      <c r="AA66" s="4"/>
      <c r="AB66" s="4"/>
      <c r="AG66" s="4"/>
      <c r="AH66" s="4"/>
      <c r="AI66" s="139"/>
      <c r="AJ66" s="139"/>
      <c r="AK66" s="139"/>
      <c r="AL66" s="139"/>
      <c r="AM66" s="139"/>
      <c r="AN66" s="139"/>
      <c r="AO66" s="139"/>
      <c r="AP66" s="30"/>
      <c r="AQ66" s="139"/>
      <c r="AR66" s="30"/>
      <c r="AS66" s="30"/>
      <c r="AT66" s="30"/>
      <c r="AU66" s="30"/>
      <c r="AV66" s="30"/>
      <c r="AW66" s="30"/>
      <c r="AX66" s="30"/>
      <c r="AY66" s="30"/>
      <c r="AZ66" s="6"/>
      <c r="BA66" s="6"/>
      <c r="BB66" s="6"/>
      <c r="BC66" s="6"/>
      <c r="BD66" s="6"/>
      <c r="BE66" s="6"/>
      <c r="BF66" s="6"/>
      <c r="BG66" s="6"/>
      <c r="BH66" s="6"/>
      <c r="BI66" s="6"/>
      <c r="BJ66" s="6"/>
      <c r="BK66" s="6"/>
      <c r="BL66" s="6"/>
      <c r="BM66" s="6"/>
      <c r="BN66" s="6"/>
      <c r="BO66" s="6"/>
      <c r="BP66" s="6"/>
      <c r="BQ66" s="6"/>
      <c r="BR66" s="6"/>
      <c r="BS66" s="6"/>
      <c r="BT66" s="6"/>
      <c r="BU66" s="6"/>
      <c r="BV66" s="6"/>
    </row>
    <row r="67" spans="1:74" ht="15.75" customHeight="1" x14ac:dyDescent="0.25">
      <c r="A67" s="47">
        <v>9</v>
      </c>
      <c r="B67" s="1" t="s">
        <v>297</v>
      </c>
      <c r="C67" s="48" t="str">
        <f ca="1">IFERROR(__xludf.DUMMYFUNCTION("GoogleFinance(B67,""name"")"),"Loading...")</f>
        <v>Loading...</v>
      </c>
      <c r="D67" s="49">
        <f ca="1">IFERROR(__xludf.DUMMYFUNCTION("GoogleFinance(B67,""marketcap"")/1000000"),1042562.713044)</f>
        <v>1042562.713044</v>
      </c>
      <c r="E67" s="50" t="s">
        <v>8</v>
      </c>
      <c r="F67" s="50" t="s">
        <v>296</v>
      </c>
      <c r="G67" s="51">
        <v>44988</v>
      </c>
      <c r="H67" s="52">
        <v>251</v>
      </c>
      <c r="I67" s="53">
        <v>232.8</v>
      </c>
      <c r="J67" s="54">
        <f t="shared" si="7"/>
        <v>8.5910652920962196</v>
      </c>
      <c r="K67" s="55">
        <v>2000</v>
      </c>
      <c r="L67" s="56">
        <f t="shared" si="2"/>
        <v>2156.3573883161512</v>
      </c>
      <c r="M67" s="56">
        <f t="shared" si="3"/>
        <v>156.35738831615117</v>
      </c>
      <c r="N67" s="57">
        <f t="shared" si="4"/>
        <v>7.8178694158075546E-2</v>
      </c>
      <c r="O67" s="58">
        <v>13</v>
      </c>
      <c r="P67" s="27" t="s">
        <v>298</v>
      </c>
      <c r="Q67" s="139"/>
      <c r="R67" s="139"/>
      <c r="S67" s="139"/>
      <c r="T67" s="139"/>
      <c r="U67" s="139"/>
      <c r="V67" s="139"/>
      <c r="W67" s="139"/>
      <c r="X67" s="4"/>
      <c r="Y67" s="4"/>
      <c r="Z67" s="4"/>
      <c r="AA67" s="4"/>
      <c r="AB67" s="4"/>
      <c r="AC67" s="88"/>
      <c r="AD67" s="88"/>
      <c r="AE67" s="88"/>
      <c r="AF67" s="88"/>
      <c r="AG67" s="4"/>
      <c r="AH67" s="4"/>
      <c r="AI67" s="139"/>
      <c r="AJ67" s="139"/>
      <c r="AK67" s="139"/>
      <c r="AL67" s="139"/>
      <c r="AM67" s="139"/>
      <c r="AN67" s="139"/>
      <c r="AO67" s="139"/>
      <c r="AP67" s="30"/>
      <c r="AQ67" s="139"/>
      <c r="AR67" s="30"/>
      <c r="AS67" s="30"/>
      <c r="AT67" s="30"/>
      <c r="AU67" s="30"/>
      <c r="AV67" s="30"/>
      <c r="AW67" s="30"/>
      <c r="AX67" s="30"/>
      <c r="AY67" s="30"/>
      <c r="AZ67" s="82"/>
      <c r="BA67" s="82"/>
      <c r="BB67" s="82"/>
      <c r="BC67" s="82"/>
      <c r="BD67" s="82"/>
      <c r="BE67" s="82"/>
      <c r="BF67" s="82"/>
      <c r="BG67" s="82"/>
      <c r="BH67" s="82"/>
      <c r="BI67" s="82"/>
      <c r="BJ67" s="82"/>
      <c r="BK67" s="82"/>
      <c r="BL67" s="82"/>
      <c r="BM67" s="82"/>
      <c r="BN67" s="82"/>
      <c r="BO67" s="82"/>
      <c r="BP67" s="82"/>
      <c r="BQ67" s="82"/>
      <c r="BR67" s="82"/>
      <c r="BS67" s="82"/>
      <c r="BT67" s="82"/>
      <c r="BU67" s="82"/>
      <c r="BV67" s="82"/>
    </row>
    <row r="68" spans="1:74" ht="15.75" customHeight="1" x14ac:dyDescent="0.25">
      <c r="A68" s="47">
        <f t="shared" ref="A68:A101" si="8">A67+1</f>
        <v>10</v>
      </c>
      <c r="B68" s="1" t="s">
        <v>21</v>
      </c>
      <c r="C68" s="48" t="str">
        <f ca="1">IFERROR(__xludf.DUMMYFUNCTION("GoogleFinance(B68,""name"")"),"Loading...")</f>
        <v>Loading...</v>
      </c>
      <c r="D68" s="49" t="str">
        <f ca="1">IFERROR(__xludf.DUMMYFUNCTION("GoogleFinance(B68,""marketcap"")/1000000"),"#N/A")</f>
        <v>#N/A</v>
      </c>
      <c r="E68" s="50" t="s">
        <v>8</v>
      </c>
      <c r="F68" s="50" t="s">
        <v>296</v>
      </c>
      <c r="G68" s="51">
        <v>44981</v>
      </c>
      <c r="H68" s="52">
        <v>254.8</v>
      </c>
      <c r="I68" s="53">
        <v>237.76</v>
      </c>
      <c r="J68" s="54">
        <f t="shared" si="7"/>
        <v>8.4118438761776577</v>
      </c>
      <c r="K68" s="55">
        <v>2000</v>
      </c>
      <c r="L68" s="56">
        <f t="shared" si="2"/>
        <v>2143.3378196500671</v>
      </c>
      <c r="M68" s="56">
        <f t="shared" si="3"/>
        <v>143.3378196500671</v>
      </c>
      <c r="N68" s="57">
        <f t="shared" si="4"/>
        <v>7.1668909825033822E-2</v>
      </c>
      <c r="O68" s="58">
        <v>25</v>
      </c>
      <c r="P68" s="27" t="s">
        <v>298</v>
      </c>
      <c r="Q68" s="139"/>
      <c r="R68" s="139"/>
      <c r="S68" s="139"/>
      <c r="T68" s="139"/>
      <c r="U68" s="139"/>
      <c r="V68" s="139"/>
      <c r="W68" s="139"/>
      <c r="X68" s="4"/>
      <c r="Y68" s="4"/>
      <c r="Z68" s="4"/>
      <c r="AA68" s="4"/>
      <c r="AB68" s="4"/>
      <c r="AC68" s="88"/>
      <c r="AD68" s="88"/>
      <c r="AE68" s="88"/>
      <c r="AF68" s="88"/>
      <c r="AG68" s="4"/>
      <c r="AH68" s="4"/>
      <c r="AI68" s="139"/>
      <c r="AJ68" s="139"/>
      <c r="AK68" s="139"/>
      <c r="AL68" s="139"/>
      <c r="AM68" s="139"/>
      <c r="AN68" s="139"/>
      <c r="AO68" s="139"/>
      <c r="AP68" s="30"/>
      <c r="AQ68" s="139"/>
      <c r="AR68" s="30"/>
      <c r="AS68" s="30"/>
      <c r="AT68" s="30"/>
      <c r="AU68" s="30"/>
      <c r="AV68" s="30"/>
      <c r="AW68" s="30"/>
      <c r="AX68" s="30"/>
      <c r="AY68" s="30"/>
      <c r="AZ68" s="82"/>
      <c r="BA68" s="82"/>
      <c r="BB68" s="82"/>
      <c r="BC68" s="82"/>
      <c r="BD68" s="82"/>
      <c r="BE68" s="82"/>
      <c r="BF68" s="82"/>
      <c r="BG68" s="82"/>
      <c r="BH68" s="82"/>
      <c r="BI68" s="82"/>
      <c r="BJ68" s="82"/>
      <c r="BK68" s="82"/>
      <c r="BL68" s="82"/>
      <c r="BM68" s="82"/>
      <c r="BN68" s="82"/>
      <c r="BO68" s="82"/>
      <c r="BP68" s="82"/>
      <c r="BQ68" s="82"/>
      <c r="BR68" s="82"/>
      <c r="BS68" s="82"/>
      <c r="BT68" s="82"/>
      <c r="BU68" s="82"/>
      <c r="BV68" s="82"/>
    </row>
    <row r="69" spans="1:74" ht="15.75" customHeight="1" x14ac:dyDescent="0.25">
      <c r="A69" s="47">
        <f t="shared" si="8"/>
        <v>11</v>
      </c>
      <c r="B69" s="1" t="s">
        <v>299</v>
      </c>
      <c r="C69" s="48" t="str">
        <f ca="1">IFERROR(__xludf.DUMMYFUNCTION("GoogleFinance(B69,""name"")"),"Loading...")</f>
        <v>Loading...</v>
      </c>
      <c r="D69" s="49">
        <f ca="1">IFERROR(__xludf.DUMMYFUNCTION("GoogleFinance(B69,""marketcap"")/1000000"),150077.131865)</f>
        <v>150077.131865</v>
      </c>
      <c r="E69" s="50" t="s">
        <v>95</v>
      </c>
      <c r="F69" s="50" t="s">
        <v>300</v>
      </c>
      <c r="G69" s="51">
        <v>44987</v>
      </c>
      <c r="H69" s="52">
        <v>75.75</v>
      </c>
      <c r="I69" s="53">
        <v>71.900000000000006</v>
      </c>
      <c r="J69" s="54">
        <f t="shared" ref="J69:J70" si="9">3000/I69</f>
        <v>41.724617524339358</v>
      </c>
      <c r="K69" s="55">
        <v>3000</v>
      </c>
      <c r="L69" s="56">
        <f t="shared" si="2"/>
        <v>3160.6397774687061</v>
      </c>
      <c r="M69" s="56">
        <f t="shared" si="3"/>
        <v>160.63977746870614</v>
      </c>
      <c r="N69" s="57">
        <f t="shared" si="4"/>
        <v>5.3546592489568834E-2</v>
      </c>
      <c r="O69" s="58">
        <v>19</v>
      </c>
      <c r="P69" s="27" t="s">
        <v>298</v>
      </c>
      <c r="Q69" s="4"/>
      <c r="R69" s="4"/>
      <c r="S69" s="4"/>
      <c r="T69" s="4"/>
      <c r="U69" s="4"/>
      <c r="V69" s="4"/>
      <c r="W69" s="4"/>
      <c r="X69" s="4"/>
      <c r="Y69" s="4"/>
      <c r="Z69" s="4"/>
      <c r="AA69" s="4"/>
      <c r="AB69" s="4"/>
      <c r="AG69" s="4"/>
      <c r="AH69" s="4"/>
      <c r="AI69" s="139"/>
      <c r="AJ69" s="139"/>
      <c r="AK69" s="139"/>
      <c r="AL69" s="139"/>
      <c r="AM69" s="139"/>
      <c r="AN69" s="139"/>
      <c r="AO69" s="139"/>
      <c r="AP69" s="30"/>
      <c r="AQ69" s="139"/>
      <c r="AR69" s="30"/>
      <c r="AS69" s="30"/>
      <c r="AT69" s="30"/>
      <c r="AU69" s="30"/>
      <c r="AV69" s="30"/>
      <c r="AW69" s="30"/>
      <c r="AX69" s="30"/>
      <c r="AY69" s="30"/>
      <c r="AZ69" s="6"/>
      <c r="BA69" s="6"/>
      <c r="BB69" s="6"/>
      <c r="BC69" s="6"/>
      <c r="BD69" s="6"/>
      <c r="BE69" s="6"/>
      <c r="BF69" s="6"/>
      <c r="BG69" s="6"/>
      <c r="BH69" s="6"/>
      <c r="BI69" s="6"/>
      <c r="BJ69" s="6"/>
      <c r="BK69" s="6"/>
      <c r="BL69" s="6"/>
      <c r="BM69" s="6"/>
      <c r="BN69" s="6"/>
      <c r="BO69" s="6"/>
      <c r="BP69" s="6"/>
      <c r="BQ69" s="6"/>
      <c r="BR69" s="6"/>
      <c r="BS69" s="6"/>
      <c r="BT69" s="6"/>
      <c r="BU69" s="6"/>
      <c r="BV69" s="6"/>
    </row>
    <row r="70" spans="1:74" ht="15.75" customHeight="1" x14ac:dyDescent="0.25">
      <c r="A70" s="47">
        <f t="shared" si="8"/>
        <v>12</v>
      </c>
      <c r="B70" s="1" t="s">
        <v>301</v>
      </c>
      <c r="C70" s="48" t="str">
        <f ca="1">IFERROR(__xludf.DUMMYFUNCTION("GoogleFinance(B70,""name"")"),"Loading...")</f>
        <v>Loading...</v>
      </c>
      <c r="D70" s="49">
        <f ca="1">IFERROR(__xludf.DUMMYFUNCTION("GoogleFinance(B70,""marketcap"")/1000000"),69142.871464)</f>
        <v>69142.871463999996</v>
      </c>
      <c r="E70" s="50" t="s">
        <v>95</v>
      </c>
      <c r="F70" s="50" t="s">
        <v>300</v>
      </c>
      <c r="G70" s="51">
        <v>44987</v>
      </c>
      <c r="H70" s="52">
        <v>96.08</v>
      </c>
      <c r="I70" s="53">
        <v>93.54</v>
      </c>
      <c r="J70" s="54">
        <f t="shared" si="9"/>
        <v>32.071840923669015</v>
      </c>
      <c r="K70" s="55">
        <v>3000</v>
      </c>
      <c r="L70" s="56">
        <f t="shared" si="2"/>
        <v>3081.462475946119</v>
      </c>
      <c r="M70" s="56">
        <f t="shared" si="3"/>
        <v>81.462475946118957</v>
      </c>
      <c r="N70" s="57">
        <f t="shared" si="4"/>
        <v>2.7154158648706295E-2</v>
      </c>
      <c r="O70" s="58">
        <v>19</v>
      </c>
      <c r="P70" s="27" t="s">
        <v>298</v>
      </c>
      <c r="Q70" s="4"/>
      <c r="R70" s="4"/>
      <c r="S70" s="4"/>
      <c r="T70" s="4"/>
      <c r="U70" s="4"/>
      <c r="V70" s="4"/>
      <c r="W70" s="4"/>
      <c r="X70" s="4"/>
      <c r="Y70" s="4"/>
      <c r="Z70" s="4"/>
      <c r="AA70" s="4"/>
      <c r="AB70" s="4"/>
      <c r="AG70" s="4"/>
      <c r="AH70" s="4"/>
      <c r="AI70" s="139"/>
      <c r="AJ70" s="139"/>
      <c r="AK70" s="139"/>
      <c r="AL70" s="139"/>
      <c r="AM70" s="139"/>
      <c r="AN70" s="139"/>
      <c r="AO70" s="139"/>
      <c r="AP70" s="30"/>
      <c r="AQ70" s="139"/>
      <c r="AR70" s="30"/>
      <c r="AS70" s="30"/>
      <c r="AT70" s="30"/>
      <c r="AU70" s="30"/>
      <c r="AV70" s="30"/>
      <c r="AW70" s="30"/>
      <c r="AX70" s="30"/>
      <c r="AY70" s="30"/>
      <c r="AZ70" s="6"/>
      <c r="BA70" s="6"/>
      <c r="BB70" s="6"/>
      <c r="BC70" s="6"/>
      <c r="BD70" s="6"/>
      <c r="BE70" s="6"/>
      <c r="BF70" s="6"/>
      <c r="BG70" s="6"/>
      <c r="BH70" s="6"/>
      <c r="BI70" s="6"/>
      <c r="BJ70" s="6"/>
      <c r="BK70" s="6"/>
      <c r="BL70" s="6"/>
      <c r="BM70" s="6"/>
      <c r="BN70" s="6"/>
      <c r="BO70" s="6"/>
      <c r="BP70" s="6"/>
      <c r="BQ70" s="6"/>
      <c r="BR70" s="6"/>
      <c r="BS70" s="6"/>
      <c r="BT70" s="6"/>
      <c r="BU70" s="6"/>
      <c r="BV70" s="6"/>
    </row>
    <row r="71" spans="1:74" ht="15.75" customHeight="1" x14ac:dyDescent="0.25">
      <c r="A71" s="47">
        <f t="shared" si="8"/>
        <v>13</v>
      </c>
      <c r="B71" s="424" t="s">
        <v>302</v>
      </c>
      <c r="C71" s="141" t="str">
        <f ca="1">IFERROR(__xludf.DUMMYFUNCTION("GoogleFinance(B71,""name"")"),"Loading...")</f>
        <v>Loading...</v>
      </c>
      <c r="D71" s="142">
        <f ca="1">IFERROR(__xludf.DUMMYFUNCTION("GoogleFinance(B71,""marketcap"")/1000000"),739937.638515)</f>
        <v>739937.638515</v>
      </c>
      <c r="E71" s="131" t="s">
        <v>12</v>
      </c>
      <c r="F71" s="131" t="s">
        <v>303</v>
      </c>
      <c r="G71" s="425">
        <v>44980</v>
      </c>
      <c r="H71" s="52">
        <v>206.8</v>
      </c>
      <c r="I71" s="145">
        <v>172.6</v>
      </c>
      <c r="J71" s="240">
        <v>5.8</v>
      </c>
      <c r="K71" s="146">
        <v>1000</v>
      </c>
      <c r="L71" s="146">
        <f t="shared" si="2"/>
        <v>1199.44</v>
      </c>
      <c r="M71" s="241">
        <f t="shared" si="3"/>
        <v>199.44000000000005</v>
      </c>
      <c r="N71" s="148">
        <f t="shared" si="4"/>
        <v>0.19814600231749724</v>
      </c>
      <c r="O71" s="58">
        <v>27</v>
      </c>
      <c r="P71" s="27" t="s">
        <v>298</v>
      </c>
      <c r="Q71" s="4"/>
      <c r="R71" s="4"/>
      <c r="S71" s="4"/>
      <c r="T71" s="4"/>
      <c r="U71" s="4"/>
      <c r="V71" s="4"/>
      <c r="W71" s="4"/>
      <c r="X71" s="4"/>
      <c r="Y71" s="4"/>
      <c r="Z71" s="4"/>
      <c r="AA71" s="4"/>
      <c r="AB71" s="4"/>
      <c r="AG71" s="4"/>
      <c r="AH71" s="4"/>
      <c r="AI71" s="139"/>
      <c r="AJ71" s="139"/>
      <c r="AK71" s="139"/>
      <c r="AL71" s="139"/>
      <c r="AM71" s="139"/>
      <c r="AN71" s="139"/>
      <c r="AO71" s="139"/>
      <c r="AP71" s="30"/>
      <c r="AQ71" s="139"/>
      <c r="AR71" s="30"/>
      <c r="AS71" s="30"/>
      <c r="AT71" s="30"/>
      <c r="AU71" s="30"/>
      <c r="AV71" s="30"/>
      <c r="AW71" s="30"/>
      <c r="AX71" s="30"/>
      <c r="AY71" s="30"/>
      <c r="AZ71" s="6"/>
      <c r="BA71" s="6"/>
      <c r="BB71" s="6"/>
      <c r="BC71" s="6"/>
      <c r="BD71" s="6"/>
      <c r="BE71" s="6"/>
      <c r="BF71" s="6"/>
      <c r="BG71" s="6"/>
      <c r="BH71" s="6"/>
      <c r="BI71" s="6"/>
      <c r="BJ71" s="6"/>
      <c r="BK71" s="6"/>
      <c r="BL71" s="6"/>
      <c r="BM71" s="6"/>
      <c r="BN71" s="6"/>
      <c r="BO71" s="6"/>
      <c r="BP71" s="6"/>
      <c r="BQ71" s="6"/>
      <c r="BR71" s="6"/>
      <c r="BS71" s="6"/>
      <c r="BT71" s="6"/>
      <c r="BU71" s="6"/>
      <c r="BV71" s="6"/>
    </row>
    <row r="72" spans="1:74" ht="15.75" customHeight="1" x14ac:dyDescent="0.25">
      <c r="A72" s="47">
        <f t="shared" si="8"/>
        <v>14</v>
      </c>
      <c r="B72" s="30" t="s">
        <v>304</v>
      </c>
      <c r="C72" s="107" t="str">
        <f ca="1">IFERROR(__xludf.DUMMYFUNCTION("GoogleFinance(B72,""name"")"),"Loading...")</f>
        <v>Loading...</v>
      </c>
      <c r="D72" s="108" t="str">
        <f ca="1">IFERROR(__xludf.DUMMYFUNCTION("GoogleFinance(B72,""marketcap"")/1000000"),"#N/A")</f>
        <v>#N/A</v>
      </c>
      <c r="E72" s="109" t="s">
        <v>119</v>
      </c>
      <c r="F72" s="109" t="s">
        <v>305</v>
      </c>
      <c r="G72" s="110">
        <v>45005</v>
      </c>
      <c r="H72" s="113">
        <v>17</v>
      </c>
      <c r="I72" s="114">
        <v>18.52</v>
      </c>
      <c r="J72" s="115">
        <f t="shared" ref="J72:J76" si="10">1000/I72</f>
        <v>53.995680345572353</v>
      </c>
      <c r="K72" s="116">
        <v>1000</v>
      </c>
      <c r="L72" s="117">
        <f t="shared" si="2"/>
        <v>917.92656587473004</v>
      </c>
      <c r="M72" s="117">
        <f t="shared" si="3"/>
        <v>-82.073434125269955</v>
      </c>
      <c r="N72" s="118">
        <f t="shared" si="4"/>
        <v>-8.2073434125269906E-2</v>
      </c>
      <c r="O72" s="119">
        <f ca="1">TODAY()-G72</f>
        <v>99</v>
      </c>
      <c r="P72" s="27" t="s">
        <v>51</v>
      </c>
      <c r="Q72" s="4"/>
      <c r="R72" s="4"/>
      <c r="S72" s="4"/>
      <c r="T72" s="4"/>
      <c r="U72" s="4"/>
      <c r="V72" s="4"/>
      <c r="W72" s="4"/>
      <c r="X72" s="4"/>
      <c r="Y72" s="4"/>
      <c r="Z72" s="4"/>
      <c r="AA72" s="4"/>
      <c r="AB72" s="4"/>
      <c r="AG72" s="4"/>
      <c r="AH72" s="4"/>
      <c r="AI72" s="139"/>
      <c r="AJ72" s="139"/>
      <c r="AK72" s="139"/>
      <c r="AL72" s="139"/>
      <c r="AM72" s="139"/>
      <c r="AN72" s="139"/>
      <c r="AO72" s="139"/>
      <c r="AP72" s="30"/>
      <c r="AQ72" s="139"/>
      <c r="AR72" s="30"/>
      <c r="AS72" s="30"/>
      <c r="AT72" s="30"/>
      <c r="AU72" s="30"/>
      <c r="AV72" s="30"/>
      <c r="AW72" s="30"/>
      <c r="AX72" s="30"/>
      <c r="AY72" s="30"/>
      <c r="AZ72" s="6"/>
      <c r="BA72" s="6"/>
      <c r="BB72" s="6"/>
      <c r="BC72" s="6"/>
      <c r="BD72" s="6"/>
      <c r="BE72" s="6"/>
      <c r="BF72" s="6"/>
      <c r="BG72" s="6"/>
      <c r="BH72" s="6"/>
      <c r="BI72" s="6"/>
      <c r="BJ72" s="6"/>
      <c r="BK72" s="6"/>
      <c r="BL72" s="6"/>
      <c r="BM72" s="6"/>
      <c r="BN72" s="6"/>
      <c r="BO72" s="6"/>
      <c r="BP72" s="6"/>
      <c r="BQ72" s="6"/>
      <c r="BR72" s="6"/>
      <c r="BS72" s="6"/>
      <c r="BT72" s="6"/>
      <c r="BU72" s="6"/>
      <c r="BV72" s="6"/>
    </row>
    <row r="73" spans="1:74" ht="15.75" customHeight="1" x14ac:dyDescent="0.25">
      <c r="A73" s="47">
        <f t="shared" si="8"/>
        <v>15</v>
      </c>
      <c r="B73" s="1" t="s">
        <v>306</v>
      </c>
      <c r="C73" s="48" t="str">
        <f ca="1">IFERROR(__xludf.DUMMYFUNCTION("GoogleFinance(B73,""name"")"),"Loading...")</f>
        <v>Loading...</v>
      </c>
      <c r="D73" s="49">
        <f ca="1">IFERROR(__xludf.DUMMYFUNCTION("GoogleFinance(B73,""marketcap"")/1000000"),620.083476)</f>
        <v>620.08347600000002</v>
      </c>
      <c r="E73" s="50" t="s">
        <v>10</v>
      </c>
      <c r="F73" s="50" t="s">
        <v>106</v>
      </c>
      <c r="G73" s="51">
        <v>44952</v>
      </c>
      <c r="H73" s="113">
        <v>11.13</v>
      </c>
      <c r="I73" s="53">
        <v>10.67</v>
      </c>
      <c r="J73" s="54">
        <f t="shared" si="10"/>
        <v>93.720712277413313</v>
      </c>
      <c r="K73" s="55">
        <f>J73*I73</f>
        <v>1000</v>
      </c>
      <c r="L73" s="56">
        <f t="shared" si="2"/>
        <v>1043.1115276476103</v>
      </c>
      <c r="M73" s="56">
        <f t="shared" si="3"/>
        <v>43.111527647610274</v>
      </c>
      <c r="N73" s="57">
        <f t="shared" si="4"/>
        <v>4.3111527647610171E-2</v>
      </c>
      <c r="O73" s="58">
        <v>56</v>
      </c>
      <c r="P73" s="27" t="s">
        <v>298</v>
      </c>
      <c r="Q73" s="4"/>
      <c r="R73" s="4"/>
      <c r="S73" s="4"/>
      <c r="T73" s="4"/>
      <c r="U73" s="4"/>
      <c r="V73" s="4"/>
      <c r="W73" s="4"/>
      <c r="X73" s="4"/>
      <c r="Y73" s="4"/>
      <c r="Z73" s="4"/>
      <c r="AA73" s="4"/>
      <c r="AB73" s="4"/>
      <c r="AG73" s="4"/>
      <c r="AH73" s="4"/>
      <c r="AI73" s="139"/>
      <c r="AJ73" s="139"/>
      <c r="AK73" s="139"/>
      <c r="AL73" s="139"/>
      <c r="AM73" s="139"/>
      <c r="AN73" s="139"/>
      <c r="AO73" s="139"/>
      <c r="AP73" s="30"/>
      <c r="AQ73" s="139"/>
      <c r="AR73" s="30"/>
      <c r="AS73" s="30"/>
      <c r="AT73" s="30"/>
      <c r="AU73" s="30"/>
      <c r="AV73" s="30"/>
      <c r="AW73" s="30"/>
      <c r="AX73" s="30"/>
      <c r="AY73" s="30"/>
      <c r="AZ73" s="6"/>
      <c r="BA73" s="6"/>
      <c r="BB73" s="6"/>
      <c r="BC73" s="6"/>
      <c r="BD73" s="6"/>
      <c r="BE73" s="6"/>
      <c r="BF73" s="6"/>
      <c r="BG73" s="6"/>
      <c r="BH73" s="6"/>
      <c r="BI73" s="6"/>
      <c r="BJ73" s="6"/>
      <c r="BK73" s="6"/>
      <c r="BL73" s="6"/>
      <c r="BM73" s="6"/>
      <c r="BN73" s="6"/>
      <c r="BO73" s="6"/>
      <c r="BP73" s="6"/>
      <c r="BQ73" s="6"/>
      <c r="BR73" s="6"/>
      <c r="BS73" s="6"/>
      <c r="BT73" s="6"/>
      <c r="BU73" s="6"/>
      <c r="BV73" s="6"/>
    </row>
    <row r="74" spans="1:74" ht="15.75" customHeight="1" x14ac:dyDescent="0.25">
      <c r="A74" s="47">
        <f t="shared" si="8"/>
        <v>16</v>
      </c>
      <c r="B74" s="1" t="s">
        <v>302</v>
      </c>
      <c r="C74" s="48" t="str">
        <f ca="1">IFERROR(__xludf.DUMMYFUNCTION("GoogleFinance(B74,""name"")"),"Loading...")</f>
        <v>Loading...</v>
      </c>
      <c r="D74" s="49">
        <f ca="1">IFERROR(__xludf.DUMMYFUNCTION("GoogleFinance(B74,""marketcap"")/1000000"),739937.638515)</f>
        <v>739937.638515</v>
      </c>
      <c r="E74" s="50" t="s">
        <v>12</v>
      </c>
      <c r="F74" s="50" t="s">
        <v>303</v>
      </c>
      <c r="G74" s="51">
        <v>44980</v>
      </c>
      <c r="H74" s="52">
        <v>206.12</v>
      </c>
      <c r="I74" s="53">
        <v>172.6</v>
      </c>
      <c r="J74" s="54">
        <f t="shared" si="10"/>
        <v>5.793742757821553</v>
      </c>
      <c r="K74" s="55">
        <v>1000</v>
      </c>
      <c r="L74" s="56">
        <f t="shared" si="2"/>
        <v>1194.2062572421785</v>
      </c>
      <c r="M74" s="56">
        <f t="shared" si="3"/>
        <v>194.20625724217848</v>
      </c>
      <c r="N74" s="57">
        <f t="shared" si="4"/>
        <v>0.19420625724217855</v>
      </c>
      <c r="O74" s="58">
        <v>28</v>
      </c>
      <c r="P74" s="27" t="s">
        <v>298</v>
      </c>
      <c r="Q74" s="4"/>
      <c r="R74" s="4"/>
      <c r="S74" s="4"/>
      <c r="T74" s="4"/>
      <c r="U74" s="4"/>
      <c r="V74" s="4"/>
      <c r="W74" s="4"/>
      <c r="X74" s="4"/>
      <c r="Y74" s="4"/>
      <c r="Z74" s="4"/>
      <c r="AA74" s="4"/>
      <c r="AB74" s="4"/>
      <c r="AG74" s="4"/>
      <c r="AH74" s="4"/>
      <c r="AI74" s="139"/>
      <c r="AJ74" s="139"/>
      <c r="AK74" s="139"/>
      <c r="AL74" s="139"/>
      <c r="AM74" s="139"/>
      <c r="AN74" s="139"/>
      <c r="AO74" s="139"/>
      <c r="AP74" s="30"/>
      <c r="AQ74" s="139"/>
      <c r="AR74" s="30"/>
      <c r="AS74" s="30"/>
      <c r="AT74" s="30"/>
      <c r="AU74" s="30"/>
      <c r="AV74" s="30"/>
      <c r="AW74" s="30"/>
      <c r="AX74" s="30"/>
      <c r="AY74" s="30"/>
      <c r="AZ74" s="6"/>
      <c r="BA74" s="6"/>
      <c r="BB74" s="6"/>
      <c r="BC74" s="6"/>
      <c r="BD74" s="6"/>
      <c r="BE74" s="6"/>
      <c r="BF74" s="6"/>
      <c r="BG74" s="6"/>
      <c r="BH74" s="6"/>
      <c r="BI74" s="6"/>
      <c r="BJ74" s="6"/>
      <c r="BK74" s="6"/>
      <c r="BL74" s="6"/>
      <c r="BM74" s="6"/>
      <c r="BN74" s="6"/>
      <c r="BO74" s="6"/>
      <c r="BP74" s="6"/>
      <c r="BQ74" s="6"/>
      <c r="BR74" s="6"/>
      <c r="BS74" s="6"/>
      <c r="BT74" s="6"/>
      <c r="BU74" s="6"/>
      <c r="BV74" s="6"/>
    </row>
    <row r="75" spans="1:74" ht="15.75" customHeight="1" x14ac:dyDescent="0.25">
      <c r="A75" s="47">
        <f t="shared" si="8"/>
        <v>17</v>
      </c>
      <c r="B75" s="1" t="s">
        <v>307</v>
      </c>
      <c r="C75" s="48" t="str">
        <f ca="1">IFERROR(__xludf.DUMMYFUNCTION("GoogleFinance(B75,""name"")"),"Loading...")</f>
        <v>Loading...</v>
      </c>
      <c r="D75" s="49">
        <f ca="1">IFERROR(__xludf.DUMMYFUNCTION("GoogleFinance(B75,""marketcap"")/1000000"),1252.809174)</f>
        <v>1252.809174</v>
      </c>
      <c r="E75" s="50" t="s">
        <v>13</v>
      </c>
      <c r="F75" s="50" t="s">
        <v>308</v>
      </c>
      <c r="G75" s="51">
        <v>45000</v>
      </c>
      <c r="H75" s="52">
        <v>42.79</v>
      </c>
      <c r="I75" s="53">
        <v>44.26</v>
      </c>
      <c r="J75" s="54">
        <f t="shared" si="10"/>
        <v>22.593764121102577</v>
      </c>
      <c r="K75" s="55">
        <v>1000</v>
      </c>
      <c r="L75" s="56">
        <f t="shared" si="2"/>
        <v>966.78716674197926</v>
      </c>
      <c r="M75" s="56">
        <f t="shared" si="3"/>
        <v>-33.212833258020737</v>
      </c>
      <c r="N75" s="57">
        <f t="shared" si="4"/>
        <v>-3.3212833258020713E-2</v>
      </c>
      <c r="O75" s="58">
        <v>8</v>
      </c>
      <c r="P75" s="27" t="s">
        <v>309</v>
      </c>
      <c r="Q75" s="4"/>
      <c r="R75" s="4"/>
      <c r="S75" s="4"/>
      <c r="T75" s="4"/>
      <c r="U75" s="4"/>
      <c r="V75" s="4"/>
      <c r="W75" s="4"/>
      <c r="X75" s="4"/>
      <c r="Y75" s="4"/>
      <c r="Z75" s="4"/>
      <c r="AA75" s="4"/>
      <c r="AB75" s="4"/>
      <c r="AG75" s="4"/>
      <c r="AH75" s="4"/>
      <c r="AI75" s="139"/>
      <c r="AJ75" s="139"/>
      <c r="AK75" s="139"/>
      <c r="AL75" s="139"/>
      <c r="AM75" s="139"/>
      <c r="AN75" s="139"/>
      <c r="AO75" s="139"/>
      <c r="AP75" s="30"/>
      <c r="AQ75" s="139"/>
      <c r="AR75" s="30"/>
      <c r="AS75" s="30"/>
      <c r="AT75" s="30"/>
      <c r="AU75" s="30"/>
      <c r="AV75" s="30"/>
      <c r="AW75" s="30"/>
      <c r="AX75" s="30"/>
      <c r="AY75" s="30"/>
      <c r="AZ75" s="6"/>
      <c r="BA75" s="6"/>
      <c r="BB75" s="6"/>
      <c r="BC75" s="6"/>
      <c r="BD75" s="6"/>
      <c r="BE75" s="6"/>
      <c r="BF75" s="6"/>
      <c r="BG75" s="6"/>
      <c r="BH75" s="6"/>
      <c r="BI75" s="6"/>
      <c r="BJ75" s="6"/>
      <c r="BK75" s="6"/>
      <c r="BL75" s="6"/>
      <c r="BM75" s="6"/>
      <c r="BN75" s="6"/>
      <c r="BO75" s="6"/>
      <c r="BP75" s="6"/>
      <c r="BQ75" s="6"/>
      <c r="BR75" s="6"/>
      <c r="BS75" s="6"/>
      <c r="BT75" s="6"/>
      <c r="BU75" s="6"/>
      <c r="BV75" s="6"/>
    </row>
    <row r="76" spans="1:74" ht="15.75" customHeight="1" x14ac:dyDescent="0.25">
      <c r="A76" s="47">
        <f t="shared" si="8"/>
        <v>18</v>
      </c>
      <c r="B76" s="1" t="s">
        <v>290</v>
      </c>
      <c r="C76" s="48" t="str">
        <f ca="1">IFERROR(__xludf.DUMMYFUNCTION("GoogleFinance(B76,""name"")"),"Loading...")</f>
        <v>Loading...</v>
      </c>
      <c r="D76" s="49">
        <f ca="1">IFERROR(__xludf.DUMMYFUNCTION("GoogleFinance(B76,""marketcap"")/1000000"),2127.652735)</f>
        <v>2127.6527350000001</v>
      </c>
      <c r="E76" s="50" t="s">
        <v>13</v>
      </c>
      <c r="F76" s="50" t="s">
        <v>291</v>
      </c>
      <c r="G76" s="51">
        <v>45000</v>
      </c>
      <c r="H76" s="52">
        <v>8.52</v>
      </c>
      <c r="I76" s="53">
        <v>7</v>
      </c>
      <c r="J76" s="54">
        <f t="shared" si="10"/>
        <v>142.85714285714286</v>
      </c>
      <c r="K76" s="55">
        <v>1000</v>
      </c>
      <c r="L76" s="56">
        <f t="shared" si="2"/>
        <v>1217.1428571428571</v>
      </c>
      <c r="M76" s="56">
        <f t="shared" si="3"/>
        <v>217.14285714285711</v>
      </c>
      <c r="N76" s="57">
        <f t="shared" si="4"/>
        <v>0.21714285714285708</v>
      </c>
      <c r="O76" s="58">
        <v>8</v>
      </c>
      <c r="P76" s="27" t="s">
        <v>298</v>
      </c>
      <c r="Q76" s="4"/>
      <c r="R76" s="4"/>
      <c r="S76" s="4"/>
      <c r="T76" s="4"/>
      <c r="U76" s="4"/>
      <c r="V76" s="4"/>
      <c r="W76" s="4"/>
      <c r="X76" s="4"/>
      <c r="Y76" s="4"/>
      <c r="Z76" s="4"/>
      <c r="AA76" s="4"/>
      <c r="AB76" s="4"/>
      <c r="AG76" s="4"/>
      <c r="AH76" s="4"/>
      <c r="AI76" s="139"/>
      <c r="AJ76" s="139"/>
      <c r="AK76" s="139"/>
      <c r="AL76" s="139"/>
      <c r="AM76" s="139"/>
      <c r="AN76" s="139"/>
      <c r="AO76" s="139"/>
      <c r="AP76" s="30"/>
      <c r="AQ76" s="139"/>
      <c r="AR76" s="30"/>
      <c r="AS76" s="30"/>
      <c r="AT76" s="30"/>
      <c r="AU76" s="30"/>
      <c r="AV76" s="30"/>
      <c r="AW76" s="30"/>
      <c r="AX76" s="30"/>
      <c r="AY76" s="30"/>
      <c r="AZ76" s="6"/>
      <c r="BA76" s="6"/>
      <c r="BB76" s="6"/>
      <c r="BC76" s="6"/>
      <c r="BD76" s="6"/>
      <c r="BE76" s="6"/>
      <c r="BF76" s="6"/>
      <c r="BG76" s="6"/>
      <c r="BH76" s="6"/>
      <c r="BI76" s="6"/>
      <c r="BJ76" s="6"/>
      <c r="BK76" s="6"/>
      <c r="BL76" s="6"/>
      <c r="BM76" s="6"/>
      <c r="BN76" s="6"/>
      <c r="BO76" s="6"/>
      <c r="BP76" s="6"/>
      <c r="BQ76" s="6"/>
      <c r="BR76" s="6"/>
      <c r="BS76" s="6"/>
      <c r="BT76" s="6"/>
      <c r="BU76" s="6"/>
      <c r="BV76" s="6"/>
    </row>
    <row r="77" spans="1:74" ht="15.75" customHeight="1" x14ac:dyDescent="0.25">
      <c r="A77" s="47">
        <f t="shared" si="8"/>
        <v>19</v>
      </c>
      <c r="B77" s="30" t="s">
        <v>310</v>
      </c>
      <c r="C77" s="117" t="str">
        <f ca="1">IFERROR(__xludf.DUMMYFUNCTION("GoogleFinance(B77,""name"")"),"Loading...")</f>
        <v>Loading...</v>
      </c>
      <c r="D77" s="108">
        <f ca="1">IFERROR(__xludf.DUMMYFUNCTION("GoogleFinance(B77,""marketcap"")/1000000"),414003.103769)</f>
        <v>414003.10376899998</v>
      </c>
      <c r="E77" s="109" t="s">
        <v>14</v>
      </c>
      <c r="F77" s="109" t="s">
        <v>311</v>
      </c>
      <c r="G77" s="110">
        <v>45005</v>
      </c>
      <c r="H77" s="113">
        <v>104.32</v>
      </c>
      <c r="I77" s="114">
        <v>101.84</v>
      </c>
      <c r="J77" s="115">
        <f t="shared" ref="J77:J79" si="11">2000/I77</f>
        <v>19.638648860958366</v>
      </c>
      <c r="K77" s="116">
        <v>2000</v>
      </c>
      <c r="L77" s="117">
        <f t="shared" si="2"/>
        <v>2048.7038491751764</v>
      </c>
      <c r="M77" s="117">
        <f t="shared" si="3"/>
        <v>48.703849175176401</v>
      </c>
      <c r="N77" s="118">
        <f t="shared" si="4"/>
        <v>2.4351924587588281E-2</v>
      </c>
      <c r="O77" s="119">
        <v>3</v>
      </c>
      <c r="P77" s="27" t="s">
        <v>298</v>
      </c>
      <c r="Q77" s="4"/>
      <c r="R77" s="4"/>
      <c r="S77" s="4"/>
      <c r="T77" s="4"/>
      <c r="U77" s="4"/>
      <c r="V77" s="4"/>
      <c r="W77" s="4"/>
      <c r="X77" s="4"/>
      <c r="Y77" s="4"/>
      <c r="Z77" s="4"/>
      <c r="AA77" s="4"/>
      <c r="AB77" s="4"/>
      <c r="AG77" s="4"/>
      <c r="AH77" s="4"/>
      <c r="AI77" s="139"/>
      <c r="AJ77" s="139"/>
      <c r="AK77" s="139"/>
      <c r="AL77" s="139"/>
      <c r="AM77" s="139"/>
      <c r="AN77" s="139"/>
      <c r="AO77" s="139"/>
      <c r="AP77" s="30"/>
      <c r="AQ77" s="139"/>
      <c r="AR77" s="30"/>
      <c r="AS77" s="30"/>
      <c r="AT77" s="30"/>
      <c r="AU77" s="30"/>
      <c r="AV77" s="30"/>
      <c r="AW77" s="30"/>
      <c r="AX77" s="30"/>
      <c r="AY77" s="30"/>
      <c r="AZ77" s="6"/>
      <c r="BA77" s="6"/>
      <c r="BB77" s="6"/>
      <c r="BC77" s="6"/>
      <c r="BD77" s="6"/>
      <c r="BE77" s="6"/>
      <c r="BF77" s="6"/>
      <c r="BG77" s="6"/>
      <c r="BH77" s="6"/>
      <c r="BI77" s="6"/>
      <c r="BJ77" s="6"/>
      <c r="BK77" s="6"/>
      <c r="BL77" s="6"/>
      <c r="BM77" s="6"/>
      <c r="BN77" s="6"/>
      <c r="BO77" s="6"/>
      <c r="BP77" s="6"/>
      <c r="BQ77" s="6"/>
      <c r="BR77" s="6"/>
      <c r="BS77" s="6"/>
      <c r="BT77" s="6"/>
      <c r="BU77" s="6"/>
      <c r="BV77" s="6"/>
    </row>
    <row r="78" spans="1:74" ht="15.75" customHeight="1" x14ac:dyDescent="0.25">
      <c r="A78" s="47">
        <f t="shared" si="8"/>
        <v>20</v>
      </c>
      <c r="B78" s="1" t="s">
        <v>312</v>
      </c>
      <c r="C78" s="48" t="str">
        <f ca="1">IFERROR(__xludf.DUMMYFUNCTION("GoogleFinance(B78,""name"")"),"Loading...")</f>
        <v>Loading...</v>
      </c>
      <c r="D78" s="49">
        <f ca="1">IFERROR(__xludf.DUMMYFUNCTION("GoogleFinance(B78,""marketcap"")/1000000"),50357.313382)</f>
        <v>50357.313382</v>
      </c>
      <c r="E78" s="50" t="s">
        <v>14</v>
      </c>
      <c r="F78" s="50" t="s">
        <v>311</v>
      </c>
      <c r="G78" s="51">
        <v>45002</v>
      </c>
      <c r="H78" s="52">
        <v>62.31</v>
      </c>
      <c r="I78" s="53">
        <v>58.5</v>
      </c>
      <c r="J78" s="54">
        <f t="shared" si="11"/>
        <v>34.188034188034187</v>
      </c>
      <c r="K78" s="55">
        <v>2000</v>
      </c>
      <c r="L78" s="56">
        <f t="shared" si="2"/>
        <v>2130.2564102564102</v>
      </c>
      <c r="M78" s="56">
        <f t="shared" si="3"/>
        <v>130.25641025641016</v>
      </c>
      <c r="N78" s="57">
        <f t="shared" si="4"/>
        <v>6.5128205128205163E-2</v>
      </c>
      <c r="O78" s="58">
        <v>13</v>
      </c>
      <c r="P78" s="27" t="s">
        <v>298</v>
      </c>
      <c r="Q78" s="4"/>
      <c r="R78" s="4"/>
      <c r="S78" s="4"/>
      <c r="T78" s="4"/>
      <c r="U78" s="4"/>
      <c r="V78" s="4"/>
      <c r="W78" s="4"/>
      <c r="X78" s="4"/>
      <c r="Y78" s="4"/>
      <c r="Z78" s="4"/>
      <c r="AA78" s="4"/>
      <c r="AB78" s="4"/>
      <c r="AG78" s="4"/>
      <c r="AH78" s="4"/>
      <c r="AI78" s="139"/>
      <c r="AJ78" s="139"/>
      <c r="AK78" s="139"/>
      <c r="AL78" s="139"/>
      <c r="AM78" s="139"/>
      <c r="AN78" s="139"/>
      <c r="AO78" s="139"/>
      <c r="AP78" s="30"/>
      <c r="AQ78" s="139"/>
      <c r="AR78" s="30"/>
      <c r="AS78" s="30"/>
      <c r="AT78" s="30"/>
      <c r="AU78" s="30"/>
      <c r="AV78" s="30"/>
      <c r="AW78" s="30"/>
      <c r="AX78" s="30"/>
      <c r="AY78" s="30"/>
      <c r="AZ78" s="6"/>
      <c r="BA78" s="6"/>
      <c r="BB78" s="6"/>
      <c r="BC78" s="6"/>
      <c r="BD78" s="6"/>
      <c r="BE78" s="6"/>
      <c r="BF78" s="6"/>
      <c r="BG78" s="6"/>
      <c r="BH78" s="6"/>
      <c r="BI78" s="6"/>
      <c r="BJ78" s="6"/>
      <c r="BK78" s="6"/>
      <c r="BL78" s="6"/>
      <c r="BM78" s="6"/>
      <c r="BN78" s="6"/>
      <c r="BO78" s="6"/>
      <c r="BP78" s="6"/>
      <c r="BQ78" s="6"/>
      <c r="BR78" s="6"/>
      <c r="BS78" s="6"/>
      <c r="BT78" s="6"/>
      <c r="BU78" s="6"/>
      <c r="BV78" s="6"/>
    </row>
    <row r="79" spans="1:74" ht="15.75" customHeight="1" x14ac:dyDescent="0.25">
      <c r="A79" s="47">
        <f t="shared" si="8"/>
        <v>21</v>
      </c>
      <c r="B79" s="1" t="s">
        <v>313</v>
      </c>
      <c r="C79" s="48" t="str">
        <f ca="1">IFERROR(__xludf.DUMMYFUNCTION("GoogleFinance(B79,""name"")"),"Loading...")</f>
        <v>Loading...</v>
      </c>
      <c r="D79" s="49">
        <f ca="1">IFERROR(__xludf.DUMMYFUNCTION("GoogleFinance(B79,""marketcap"")/1000000"),106935.972341)</f>
        <v>106935.972341</v>
      </c>
      <c r="E79" s="50" t="s">
        <v>13</v>
      </c>
      <c r="F79" s="50" t="s">
        <v>314</v>
      </c>
      <c r="G79" s="51">
        <v>45014</v>
      </c>
      <c r="H79" s="52">
        <v>80</v>
      </c>
      <c r="I79" s="53">
        <v>86.7</v>
      </c>
      <c r="J79" s="54">
        <f t="shared" si="11"/>
        <v>23.068050749711649</v>
      </c>
      <c r="K79" s="55">
        <v>2000</v>
      </c>
      <c r="L79" s="56">
        <f t="shared" si="2"/>
        <v>1845.4440599769318</v>
      </c>
      <c r="M79" s="56">
        <f t="shared" si="3"/>
        <v>-154.55594002306816</v>
      </c>
      <c r="N79" s="57">
        <f t="shared" si="4"/>
        <v>-7.7277970011534025E-2</v>
      </c>
      <c r="O79" s="58">
        <v>10</v>
      </c>
      <c r="P79" s="27" t="s">
        <v>51</v>
      </c>
      <c r="Q79" s="4"/>
      <c r="R79" s="4"/>
      <c r="S79" s="4"/>
      <c r="T79" s="4"/>
      <c r="U79" s="4"/>
      <c r="V79" s="4"/>
      <c r="W79" s="4"/>
      <c r="X79" s="4"/>
      <c r="Y79" s="4"/>
      <c r="Z79" s="4"/>
      <c r="AA79" s="4"/>
      <c r="AB79" s="4"/>
      <c r="AG79" s="4"/>
      <c r="AH79" s="4"/>
      <c r="AI79" s="139"/>
      <c r="AJ79" s="139"/>
      <c r="AK79" s="139"/>
      <c r="AL79" s="139"/>
      <c r="AM79" s="139"/>
      <c r="AN79" s="139"/>
      <c r="AO79" s="139"/>
      <c r="AP79" s="30"/>
      <c r="AQ79" s="139"/>
      <c r="AR79" s="30"/>
      <c r="AS79" s="30"/>
      <c r="AT79" s="30"/>
      <c r="AU79" s="30"/>
      <c r="AV79" s="30"/>
      <c r="AW79" s="30"/>
      <c r="AX79" s="30"/>
      <c r="AY79" s="30"/>
      <c r="AZ79" s="6"/>
      <c r="BA79" s="6"/>
      <c r="BB79" s="6"/>
      <c r="BC79" s="6"/>
      <c r="BD79" s="6"/>
      <c r="BE79" s="6"/>
      <c r="BF79" s="6"/>
      <c r="BG79" s="6"/>
      <c r="BH79" s="6"/>
      <c r="BI79" s="6"/>
      <c r="BJ79" s="6"/>
      <c r="BK79" s="6"/>
      <c r="BL79" s="6"/>
      <c r="BM79" s="6"/>
      <c r="BN79" s="6"/>
      <c r="BO79" s="6"/>
      <c r="BP79" s="6"/>
      <c r="BQ79" s="6"/>
      <c r="BR79" s="6"/>
      <c r="BS79" s="6"/>
      <c r="BT79" s="6"/>
      <c r="BU79" s="6"/>
      <c r="BV79" s="6"/>
    </row>
    <row r="80" spans="1:74" ht="15.75" customHeight="1" x14ac:dyDescent="0.25">
      <c r="A80" s="47">
        <f t="shared" si="8"/>
        <v>22</v>
      </c>
      <c r="B80" s="30" t="s">
        <v>290</v>
      </c>
      <c r="C80" s="107" t="str">
        <f ca="1">IFERROR(__xludf.DUMMYFUNCTION("GoogleFinance(B80,""name"")"),"Loading...")</f>
        <v>Loading...</v>
      </c>
      <c r="D80" s="108">
        <f ca="1">IFERROR(__xludf.DUMMYFUNCTION("GoogleFinance(B80,""marketcap"")/1000000"),2127.652735)</f>
        <v>2127.6527350000001</v>
      </c>
      <c r="E80" s="109" t="s">
        <v>13</v>
      </c>
      <c r="F80" s="109" t="s">
        <v>291</v>
      </c>
      <c r="G80" s="110">
        <v>45014</v>
      </c>
      <c r="H80" s="113">
        <v>10.16</v>
      </c>
      <c r="I80" s="114">
        <v>7.7</v>
      </c>
      <c r="J80" s="115">
        <f t="shared" ref="J80:J81" si="12">500/I80</f>
        <v>64.935064935064929</v>
      </c>
      <c r="K80" s="116">
        <v>500</v>
      </c>
      <c r="L80" s="117">
        <f t="shared" si="2"/>
        <v>659.74025974025972</v>
      </c>
      <c r="M80" s="117">
        <f t="shared" si="3"/>
        <v>159.74025974025972</v>
      </c>
      <c r="N80" s="118">
        <f t="shared" si="4"/>
        <v>0.31948051948051948</v>
      </c>
      <c r="O80" s="119">
        <v>14</v>
      </c>
      <c r="P80" s="27" t="s">
        <v>298</v>
      </c>
      <c r="Q80" s="4"/>
      <c r="R80" s="4"/>
      <c r="S80" s="4"/>
      <c r="T80" s="4"/>
      <c r="U80" s="4"/>
      <c r="V80" s="4"/>
      <c r="W80" s="4"/>
      <c r="X80" s="4"/>
      <c r="Y80" s="4"/>
      <c r="Z80" s="4"/>
      <c r="AA80" s="4"/>
      <c r="AB80" s="4"/>
      <c r="AG80" s="4"/>
      <c r="AH80" s="4"/>
      <c r="AI80" s="139"/>
      <c r="AJ80" s="139"/>
      <c r="AK80" s="139"/>
      <c r="AL80" s="139"/>
      <c r="AM80" s="139"/>
      <c r="AN80" s="139"/>
      <c r="AO80" s="139"/>
      <c r="AP80" s="30"/>
      <c r="AQ80" s="139"/>
      <c r="AR80" s="30"/>
      <c r="AS80" s="30"/>
      <c r="AT80" s="30"/>
      <c r="AU80" s="30"/>
      <c r="AV80" s="30"/>
      <c r="AW80" s="30"/>
      <c r="AX80" s="30"/>
      <c r="AY80" s="30"/>
      <c r="AZ80" s="6"/>
      <c r="BA80" s="6"/>
      <c r="BB80" s="6"/>
      <c r="BC80" s="6"/>
      <c r="BD80" s="6"/>
      <c r="BE80" s="6"/>
      <c r="BF80" s="6"/>
      <c r="BG80" s="6"/>
      <c r="BH80" s="6"/>
      <c r="BI80" s="6"/>
      <c r="BJ80" s="6"/>
      <c r="BK80" s="6"/>
      <c r="BL80" s="6"/>
      <c r="BM80" s="6"/>
      <c r="BN80" s="6"/>
      <c r="BO80" s="6"/>
      <c r="BP80" s="6"/>
      <c r="BQ80" s="6"/>
      <c r="BR80" s="6"/>
      <c r="BS80" s="6"/>
      <c r="BT80" s="6"/>
      <c r="BU80" s="6"/>
      <c r="BV80" s="6"/>
    </row>
    <row r="81" spans="1:74" ht="15.75" customHeight="1" x14ac:dyDescent="0.25">
      <c r="A81" s="47">
        <f t="shared" si="8"/>
        <v>23</v>
      </c>
      <c r="B81" s="30" t="s">
        <v>290</v>
      </c>
      <c r="C81" s="107" t="str">
        <f ca="1">IFERROR(__xludf.DUMMYFUNCTION("GoogleFinance(B81,""name"")"),"Loading...")</f>
        <v>Loading...</v>
      </c>
      <c r="D81" s="108">
        <f ca="1">IFERROR(__xludf.DUMMYFUNCTION("GoogleFinance(B81,""marketcap"")/1000000"),2127.652735)</f>
        <v>2127.6527350000001</v>
      </c>
      <c r="E81" s="109" t="s">
        <v>13</v>
      </c>
      <c r="F81" s="109" t="s">
        <v>291</v>
      </c>
      <c r="G81" s="110">
        <v>45014</v>
      </c>
      <c r="H81" s="113">
        <v>11.54</v>
      </c>
      <c r="I81" s="114">
        <v>7.7</v>
      </c>
      <c r="J81" s="115">
        <f t="shared" si="12"/>
        <v>64.935064935064929</v>
      </c>
      <c r="K81" s="116">
        <v>500</v>
      </c>
      <c r="L81" s="117">
        <f t="shared" si="2"/>
        <v>749.35064935064918</v>
      </c>
      <c r="M81" s="117">
        <f t="shared" si="3"/>
        <v>249.35064935064918</v>
      </c>
      <c r="N81" s="118">
        <f t="shared" si="4"/>
        <v>0.49870129870129865</v>
      </c>
      <c r="O81" s="119">
        <v>19</v>
      </c>
      <c r="P81" s="27" t="s">
        <v>298</v>
      </c>
      <c r="Q81" s="4"/>
      <c r="R81" s="4"/>
      <c r="S81" s="4"/>
      <c r="T81" s="4"/>
      <c r="U81" s="4"/>
      <c r="V81" s="4"/>
      <c r="W81" s="4"/>
      <c r="X81" s="4"/>
      <c r="Y81" s="4"/>
      <c r="Z81" s="4"/>
      <c r="AA81" s="4"/>
      <c r="AB81" s="4"/>
      <c r="AG81" s="4"/>
      <c r="AH81" s="4"/>
      <c r="AI81" s="139"/>
      <c r="AJ81" s="139"/>
      <c r="AK81" s="139"/>
      <c r="AL81" s="139"/>
      <c r="AM81" s="139"/>
      <c r="AN81" s="139"/>
      <c r="AO81" s="139"/>
      <c r="AP81" s="30"/>
      <c r="AQ81" s="139"/>
      <c r="AR81" s="30"/>
      <c r="AS81" s="30"/>
      <c r="AT81" s="30"/>
      <c r="AU81" s="30"/>
      <c r="AV81" s="30"/>
      <c r="AW81" s="30"/>
      <c r="AX81" s="30"/>
      <c r="AY81" s="30"/>
      <c r="AZ81" s="6"/>
      <c r="BA81" s="6"/>
      <c r="BB81" s="6"/>
      <c r="BC81" s="6"/>
      <c r="BD81" s="6"/>
      <c r="BE81" s="6"/>
      <c r="BF81" s="6"/>
      <c r="BG81" s="6"/>
      <c r="BH81" s="6"/>
      <c r="BI81" s="6"/>
      <c r="BJ81" s="6"/>
      <c r="BK81" s="6"/>
      <c r="BL81" s="6"/>
      <c r="BM81" s="6"/>
      <c r="BN81" s="6"/>
      <c r="BO81" s="6"/>
      <c r="BP81" s="6"/>
      <c r="BQ81" s="6"/>
      <c r="BR81" s="6"/>
      <c r="BS81" s="6"/>
      <c r="BT81" s="6"/>
      <c r="BU81" s="6"/>
      <c r="BV81" s="6"/>
    </row>
    <row r="82" spans="1:74" ht="13.2" x14ac:dyDescent="0.25">
      <c r="A82" s="47">
        <f t="shared" si="8"/>
        <v>24</v>
      </c>
      <c r="B82" s="1" t="s">
        <v>315</v>
      </c>
      <c r="C82" s="48" t="str">
        <f ca="1">IFERROR(__xludf.DUMMYFUNCTION("GoogleFinance(B82,""name"")"),"Loading...")</f>
        <v>Loading...</v>
      </c>
      <c r="D82" s="49">
        <f ca="1">IFERROR(__xludf.DUMMYFUNCTION("GoogleFinance(B82,""marketcap"")/1000000"),349915.633564)</f>
        <v>349915.63356400002</v>
      </c>
      <c r="E82" s="50" t="s">
        <v>16</v>
      </c>
      <c r="F82" s="50" t="s">
        <v>82</v>
      </c>
      <c r="G82" s="51">
        <v>45006</v>
      </c>
      <c r="H82" s="113">
        <v>143.06</v>
      </c>
      <c r="I82" s="53">
        <v>155</v>
      </c>
      <c r="J82" s="54">
        <f t="shared" ref="J82:J83" si="13">2000/I82</f>
        <v>12.903225806451612</v>
      </c>
      <c r="K82" s="55">
        <f>J82*I82</f>
        <v>1999.9999999999998</v>
      </c>
      <c r="L82" s="56">
        <f>J82*H82</f>
        <v>1845.9354838709676</v>
      </c>
      <c r="M82" s="117">
        <f t="shared" si="3"/>
        <v>-154.0645161290322</v>
      </c>
      <c r="N82" s="118">
        <f t="shared" si="4"/>
        <v>-7.7032258064516079E-2</v>
      </c>
      <c r="O82" s="58">
        <v>31</v>
      </c>
      <c r="P82" s="59" t="s">
        <v>51</v>
      </c>
      <c r="Q82" s="57"/>
      <c r="R82" s="4"/>
      <c r="S82" s="4"/>
      <c r="T82" s="4"/>
      <c r="U82" s="4"/>
      <c r="V82" s="4"/>
      <c r="W82" s="4"/>
      <c r="X82" s="4"/>
      <c r="Y82" s="4"/>
      <c r="Z82" s="4"/>
      <c r="AA82" s="4"/>
      <c r="AB82" s="4"/>
      <c r="AE82" s="3"/>
      <c r="AF82" s="3"/>
      <c r="AG82" s="3"/>
      <c r="AH82" s="3" t="str">
        <f ca="1">IFERROR(__xludf.DUMMYFUNCTION("GoogleFinance(B82,""price"",today()-7)"),"#N/A")</f>
        <v>#N/A</v>
      </c>
      <c r="AI82" s="31"/>
      <c r="AJ82" s="3" t="str">
        <f ca="1">IFERROR(__xludf.DUMMYFUNCTION("GoogleFinance(B82,""price"",today()-31)"),"#N/A")</f>
        <v>#N/A</v>
      </c>
      <c r="AK82" s="31"/>
      <c r="AL82" s="3" t="str">
        <f ca="1">IFERROR(__xludf.DUMMYFUNCTION("GoogleFinance(B82,""price"",today()-91)"),"#N/A")</f>
        <v>#N/A</v>
      </c>
      <c r="AM82" s="31"/>
      <c r="AN82" s="3" t="str">
        <f ca="1">IFERROR(__xludf.DUMMYFUNCTION("GoogleFinance(B82,""price"",today()-182)"),"#N/A")</f>
        <v>#N/A</v>
      </c>
      <c r="AO82" s="31"/>
      <c r="AP82" s="3" t="str">
        <f ca="1">IFERROR(__xludf.DUMMYFUNCTION("GoogleFinance(B82,""price"",DATE(2022,12,30))"),"Date")</f>
        <v>Date</v>
      </c>
      <c r="AQ82" s="31" t="str">
        <f ca="1">IFERROR(__xludf.DUMMYFUNCTION("""COMPUTED_VALUE"""),"Close")</f>
        <v>Close</v>
      </c>
      <c r="AR82" s="6"/>
      <c r="AS82" s="6"/>
      <c r="AT82" s="6"/>
      <c r="AU82" s="6"/>
      <c r="AX82" s="6"/>
      <c r="BD82" s="6"/>
      <c r="BE82" s="6"/>
      <c r="BF82" s="6"/>
      <c r="BG82" s="6"/>
      <c r="BH82" s="6"/>
      <c r="BI82" s="6"/>
      <c r="BJ82" s="6"/>
      <c r="BK82" s="6"/>
      <c r="BL82" s="6"/>
      <c r="BM82" s="6"/>
    </row>
    <row r="83" spans="1:74" ht="15.75" customHeight="1" x14ac:dyDescent="0.25">
      <c r="A83" s="47">
        <f t="shared" si="8"/>
        <v>25</v>
      </c>
      <c r="B83" s="1" t="s">
        <v>316</v>
      </c>
      <c r="C83" s="48" t="str">
        <f ca="1">IFERROR(__xludf.DUMMYFUNCTION("GoogleFinance(B83,""name"")"),"Loading...")</f>
        <v>Loading...</v>
      </c>
      <c r="D83" s="49">
        <f ca="1">IFERROR(__xludf.DUMMYFUNCTION("GoogleFinance(B83,""marketcap"")/1000000"),84706.40198)</f>
        <v>84706.401979999995</v>
      </c>
      <c r="E83" s="50" t="s">
        <v>11</v>
      </c>
      <c r="F83" s="50" t="s">
        <v>209</v>
      </c>
      <c r="G83" s="51">
        <v>45034</v>
      </c>
      <c r="H83" s="52">
        <v>63</v>
      </c>
      <c r="I83" s="53">
        <v>70.209999999999994</v>
      </c>
      <c r="J83" s="54">
        <f t="shared" si="13"/>
        <v>28.485970659450224</v>
      </c>
      <c r="K83" s="55">
        <v>2000</v>
      </c>
      <c r="L83" s="56">
        <f t="shared" ref="L83:L101" si="14">H83*J83</f>
        <v>1794.6161515453641</v>
      </c>
      <c r="M83" s="56">
        <f t="shared" si="3"/>
        <v>-205.38384845463588</v>
      </c>
      <c r="N83" s="57">
        <f t="shared" si="4"/>
        <v>-0.10269192422731799</v>
      </c>
      <c r="O83" s="58">
        <v>7</v>
      </c>
      <c r="P83" s="59" t="s">
        <v>51</v>
      </c>
      <c r="Q83" s="426"/>
      <c r="R83" s="4"/>
      <c r="S83" s="4"/>
      <c r="T83" s="4"/>
      <c r="U83" s="4"/>
      <c r="V83" s="4"/>
      <c r="W83" s="4"/>
      <c r="X83" s="4"/>
      <c r="Y83" s="4"/>
      <c r="Z83" s="4"/>
      <c r="AA83" s="4"/>
      <c r="AB83" s="4"/>
      <c r="AG83" s="4"/>
      <c r="AH83" s="4"/>
      <c r="AI83" s="383"/>
      <c r="AJ83" s="139"/>
      <c r="AK83" s="383"/>
      <c r="AL83" s="139"/>
      <c r="AM83" s="383"/>
      <c r="AN83" s="139"/>
      <c r="AO83" s="383"/>
      <c r="AP83" s="427">
        <f ca="1">IFERROR(__xludf.DUMMYFUNCTION("""COMPUTED_VALUE"""),44925.6666666666)</f>
        <v>44925.666666666599</v>
      </c>
      <c r="AQ83" s="383">
        <f ca="1">IFERROR(__xludf.DUMMYFUNCTION("""COMPUTED_VALUE"""),151.56)</f>
        <v>151.56</v>
      </c>
      <c r="AR83" s="30"/>
      <c r="AS83" s="30"/>
      <c r="AT83" s="30"/>
      <c r="AU83" s="30"/>
      <c r="AV83" s="183"/>
      <c r="AW83" s="183"/>
      <c r="AX83" s="30"/>
      <c r="AY83" s="183"/>
      <c r="AZ83" s="26"/>
      <c r="BA83" s="26"/>
      <c r="BB83" s="26"/>
      <c r="BC83" s="26"/>
      <c r="BD83" s="26"/>
      <c r="BE83" s="26"/>
      <c r="BF83" s="26"/>
      <c r="BG83" s="26"/>
      <c r="BH83" s="26"/>
      <c r="BI83" s="26"/>
      <c r="BJ83" s="26"/>
      <c r="BK83" s="26"/>
      <c r="BL83" s="26"/>
      <c r="BM83" s="26"/>
      <c r="BN83" s="26"/>
      <c r="BO83" s="26"/>
      <c r="BP83" s="26"/>
      <c r="BQ83" s="26"/>
      <c r="BR83" s="26"/>
      <c r="BS83" s="26"/>
      <c r="BT83" s="26"/>
      <c r="BU83" s="26"/>
      <c r="BV83" s="26"/>
    </row>
    <row r="84" spans="1:74" ht="15.75" customHeight="1" x14ac:dyDescent="0.25">
      <c r="A84" s="47">
        <f t="shared" si="8"/>
        <v>26</v>
      </c>
      <c r="B84" s="1" t="s">
        <v>304</v>
      </c>
      <c r="C84" s="48" t="str">
        <f ca="1">IFERROR(__xludf.DUMMYFUNCTION("GoogleFinance(B84,""name"")"),"Loading...")</f>
        <v>Loading...</v>
      </c>
      <c r="D84" s="49" t="str">
        <f ca="1">IFERROR(__xludf.DUMMYFUNCTION("GoogleFinance(B84,""marketcap"")/1000000"),"#N/A")</f>
        <v>#N/A</v>
      </c>
      <c r="E84" s="50" t="s">
        <v>119</v>
      </c>
      <c r="F84" s="50" t="s">
        <v>305</v>
      </c>
      <c r="G84" s="51">
        <v>45007</v>
      </c>
      <c r="H84" s="52">
        <v>22.55</v>
      </c>
      <c r="I84" s="53">
        <v>17.5</v>
      </c>
      <c r="J84" s="54">
        <v>27</v>
      </c>
      <c r="K84" s="55">
        <f>J84*I84</f>
        <v>472.5</v>
      </c>
      <c r="L84" s="56">
        <f t="shared" si="14"/>
        <v>608.85</v>
      </c>
      <c r="M84" s="56">
        <f t="shared" si="3"/>
        <v>136.35000000000002</v>
      </c>
      <c r="N84" s="57">
        <f t="shared" si="4"/>
        <v>0.2885714285714287</v>
      </c>
      <c r="O84" s="58">
        <v>35</v>
      </c>
      <c r="P84" s="27" t="s">
        <v>298</v>
      </c>
      <c r="Q84" s="426"/>
      <c r="R84" s="4"/>
      <c r="S84" s="4"/>
      <c r="T84" s="4"/>
      <c r="U84" s="4"/>
      <c r="V84" s="4"/>
      <c r="W84" s="4"/>
      <c r="X84" s="4"/>
      <c r="Y84" s="4"/>
      <c r="Z84" s="4"/>
      <c r="AA84" s="4"/>
      <c r="AB84" s="4"/>
      <c r="AG84" s="4"/>
      <c r="AH84" s="4">
        <v>45040.666666666672</v>
      </c>
      <c r="AI84" s="383">
        <v>156.35</v>
      </c>
      <c r="AJ84" s="139">
        <v>45016.666666666672</v>
      </c>
      <c r="AK84" s="383">
        <v>148.69</v>
      </c>
      <c r="AL84" s="139">
        <v>44956.666666666672</v>
      </c>
      <c r="AM84" s="383">
        <v>141.01</v>
      </c>
      <c r="AN84" s="139">
        <v>44865.666666666672</v>
      </c>
      <c r="AO84" s="383">
        <v>134.66999999999999</v>
      </c>
      <c r="AP84" s="427">
        <v>44925.666666666672</v>
      </c>
      <c r="AQ84" s="383">
        <v>151.56</v>
      </c>
      <c r="AR84" s="30"/>
      <c r="AS84" s="30"/>
      <c r="AT84" s="30"/>
      <c r="AU84" s="30"/>
      <c r="AV84" s="183"/>
      <c r="AW84" s="183"/>
      <c r="AX84" s="30"/>
      <c r="AY84" s="183"/>
      <c r="AZ84" s="26"/>
      <c r="BA84" s="26"/>
      <c r="BB84" s="26"/>
      <c r="BC84" s="26"/>
      <c r="BD84" s="26"/>
      <c r="BE84" s="26"/>
      <c r="BF84" s="26"/>
      <c r="BG84" s="26"/>
      <c r="BH84" s="26"/>
      <c r="BI84" s="26"/>
      <c r="BJ84" s="26"/>
      <c r="BK84" s="26"/>
      <c r="BL84" s="26"/>
      <c r="BM84" s="26"/>
      <c r="BN84" s="26"/>
      <c r="BO84" s="26"/>
      <c r="BP84" s="26"/>
      <c r="BQ84" s="26"/>
      <c r="BR84" s="26"/>
      <c r="BS84" s="26"/>
      <c r="BT84" s="26"/>
      <c r="BU84" s="26"/>
      <c r="BV84" s="26"/>
    </row>
    <row r="85" spans="1:74" ht="15.75" customHeight="1" x14ac:dyDescent="0.25">
      <c r="A85" s="47">
        <f t="shared" si="8"/>
        <v>27</v>
      </c>
      <c r="B85" s="1" t="s">
        <v>317</v>
      </c>
      <c r="C85" s="48" t="str">
        <f ca="1">IFERROR(__xludf.DUMMYFUNCTION("GoogleFinance(B85,""name"")"),"Loading...")</f>
        <v>Loading...</v>
      </c>
      <c r="D85" s="49">
        <f ca="1">IFERROR(__xludf.DUMMYFUNCTION("GoogleFinance(B85,""marketcap"")/1000000"),74685.897883)</f>
        <v>74685.897882999998</v>
      </c>
      <c r="E85" s="50" t="s">
        <v>13</v>
      </c>
      <c r="F85" s="50" t="s">
        <v>318</v>
      </c>
      <c r="G85" s="51">
        <v>44993</v>
      </c>
      <c r="H85" s="52">
        <v>72.5</v>
      </c>
      <c r="I85" s="53">
        <v>75.540000000000006</v>
      </c>
      <c r="J85" s="54">
        <f t="shared" ref="J85:J88" si="15">2000/I85</f>
        <v>26.476039184537992</v>
      </c>
      <c r="K85" s="55">
        <v>2000</v>
      </c>
      <c r="L85" s="56">
        <f t="shared" si="14"/>
        <v>1919.5128408790044</v>
      </c>
      <c r="M85" s="56">
        <f t="shared" si="3"/>
        <v>-80.487159120995557</v>
      </c>
      <c r="N85" s="57">
        <f t="shared" si="4"/>
        <v>-4.0243579560497844E-2</v>
      </c>
      <c r="O85" s="58">
        <v>56</v>
      </c>
      <c r="P85" s="27" t="s">
        <v>309</v>
      </c>
      <c r="Q85" s="426"/>
      <c r="R85" s="4"/>
      <c r="S85" s="4"/>
      <c r="T85" s="4"/>
      <c r="U85" s="4"/>
      <c r="V85" s="4"/>
      <c r="W85" s="4"/>
      <c r="X85" s="4"/>
      <c r="Y85" s="4"/>
      <c r="Z85" s="4"/>
      <c r="AA85" s="4"/>
      <c r="AB85" s="4"/>
      <c r="AG85" s="4"/>
      <c r="AH85" s="4"/>
      <c r="AI85" s="383"/>
      <c r="AJ85" s="139"/>
      <c r="AK85" s="383"/>
      <c r="AL85" s="139"/>
      <c r="AM85" s="383"/>
      <c r="AN85" s="139"/>
      <c r="AO85" s="383"/>
      <c r="AP85" s="30"/>
      <c r="AQ85" s="383"/>
      <c r="AR85" s="30"/>
      <c r="AS85" s="30"/>
      <c r="AT85" s="30"/>
      <c r="AU85" s="30"/>
      <c r="AV85" s="183"/>
      <c r="AW85" s="183"/>
      <c r="AX85" s="30"/>
      <c r="AY85" s="183"/>
      <c r="AZ85" s="26"/>
      <c r="BA85" s="26"/>
      <c r="BB85" s="26"/>
      <c r="BC85" s="26"/>
      <c r="BD85" s="26"/>
      <c r="BE85" s="26"/>
      <c r="BF85" s="26"/>
      <c r="BG85" s="26"/>
      <c r="BH85" s="26"/>
      <c r="BI85" s="26"/>
      <c r="BJ85" s="26"/>
      <c r="BK85" s="26"/>
      <c r="BL85" s="26"/>
      <c r="BM85" s="26"/>
      <c r="BN85" s="26"/>
      <c r="BO85" s="26"/>
      <c r="BP85" s="26"/>
      <c r="BQ85" s="26"/>
      <c r="BR85" s="26"/>
      <c r="BS85" s="26"/>
      <c r="BT85" s="26"/>
      <c r="BU85" s="26"/>
      <c r="BV85" s="26"/>
    </row>
    <row r="86" spans="1:74" ht="15.75" customHeight="1" x14ac:dyDescent="0.25">
      <c r="A86" s="47">
        <f t="shared" si="8"/>
        <v>28</v>
      </c>
      <c r="B86" s="1" t="s">
        <v>208</v>
      </c>
      <c r="C86" s="48" t="str">
        <f ca="1">IFERROR(__xludf.DUMMYFUNCTION("GoogleFinance(B86,""name"")"),"Loading...")</f>
        <v>Loading...</v>
      </c>
      <c r="D86" s="49">
        <f ca="1">IFERROR(__xludf.DUMMYFUNCTION("GoogleFinance(B86,""marketcap"")/1000000"),117182.52622)</f>
        <v>117182.52622</v>
      </c>
      <c r="E86" s="50" t="s">
        <v>11</v>
      </c>
      <c r="F86" s="50" t="s">
        <v>209</v>
      </c>
      <c r="G86" s="51">
        <v>45034</v>
      </c>
      <c r="H86" s="52">
        <v>58.4</v>
      </c>
      <c r="I86" s="53">
        <v>63.22</v>
      </c>
      <c r="J86" s="54">
        <f t="shared" si="15"/>
        <v>31.635558367605189</v>
      </c>
      <c r="K86" s="55">
        <v>2000</v>
      </c>
      <c r="L86" s="56">
        <f t="shared" si="14"/>
        <v>1847.5166086681429</v>
      </c>
      <c r="M86" s="56">
        <f t="shared" si="3"/>
        <v>-152.48339133185709</v>
      </c>
      <c r="N86" s="57">
        <f t="shared" si="4"/>
        <v>-7.6241695665928533E-2</v>
      </c>
      <c r="O86" s="58">
        <v>15</v>
      </c>
      <c r="P86" s="27" t="s">
        <v>309</v>
      </c>
      <c r="Q86" s="426"/>
      <c r="R86" s="4"/>
      <c r="S86" s="4"/>
      <c r="T86" s="4"/>
      <c r="U86" s="4"/>
      <c r="V86" s="4"/>
      <c r="W86" s="4"/>
      <c r="X86" s="4"/>
      <c r="Y86" s="4"/>
      <c r="Z86" s="4"/>
      <c r="AA86" s="4"/>
      <c r="AB86" s="4"/>
      <c r="AG86" s="4"/>
      <c r="AH86" s="4"/>
      <c r="AI86" s="383"/>
      <c r="AJ86" s="139"/>
      <c r="AK86" s="383"/>
      <c r="AL86" s="139"/>
      <c r="AM86" s="383"/>
      <c r="AN86" s="139"/>
      <c r="AO86" s="383"/>
      <c r="AP86" s="30"/>
      <c r="AQ86" s="383"/>
      <c r="AR86" s="30"/>
      <c r="AS86" s="30"/>
      <c r="AT86" s="30"/>
      <c r="AU86" s="30"/>
      <c r="AV86" s="183"/>
      <c r="AW86" s="183"/>
      <c r="AX86" s="30"/>
      <c r="AY86" s="183"/>
      <c r="AZ86" s="26"/>
      <c r="BA86" s="26"/>
      <c r="BB86" s="26"/>
      <c r="BC86" s="26"/>
      <c r="BD86" s="26"/>
      <c r="BE86" s="26"/>
      <c r="BF86" s="26"/>
      <c r="BG86" s="26"/>
      <c r="BH86" s="26"/>
      <c r="BI86" s="26"/>
      <c r="BJ86" s="26"/>
      <c r="BK86" s="26"/>
      <c r="BL86" s="26"/>
      <c r="BM86" s="26"/>
      <c r="BN86" s="26"/>
      <c r="BO86" s="26"/>
      <c r="BP86" s="26"/>
      <c r="BQ86" s="26"/>
      <c r="BR86" s="26"/>
      <c r="BS86" s="26"/>
      <c r="BT86" s="26"/>
      <c r="BU86" s="26"/>
      <c r="BV86" s="26"/>
    </row>
    <row r="87" spans="1:74" ht="15.75" customHeight="1" x14ac:dyDescent="0.25">
      <c r="A87" s="47">
        <f t="shared" si="8"/>
        <v>29</v>
      </c>
      <c r="B87" s="1" t="s">
        <v>214</v>
      </c>
      <c r="C87" s="48" t="str">
        <f ca="1">IFERROR(__xludf.DUMMYFUNCTION("GoogleFinance(B87,""name"")"),"Loading...")</f>
        <v>Loading...</v>
      </c>
      <c r="D87" s="49">
        <f ca="1">IFERROR(__xludf.DUMMYFUNCTION("GoogleFinance(B87,""marketcap"")/1000000"),104624.707239)</f>
        <v>104624.707239</v>
      </c>
      <c r="E87" s="50" t="s">
        <v>13</v>
      </c>
      <c r="F87" s="50" t="s">
        <v>19</v>
      </c>
      <c r="G87" s="51">
        <v>45034</v>
      </c>
      <c r="H87" s="52">
        <v>333.5</v>
      </c>
      <c r="I87" s="53">
        <v>333.8</v>
      </c>
      <c r="J87" s="54">
        <f t="shared" si="15"/>
        <v>5.9916117435590168</v>
      </c>
      <c r="K87" s="55">
        <v>2000</v>
      </c>
      <c r="L87" s="56">
        <f t="shared" si="14"/>
        <v>1998.202516476932</v>
      </c>
      <c r="M87" s="56">
        <f t="shared" si="3"/>
        <v>-1.7974835230679673</v>
      </c>
      <c r="N87" s="57">
        <f t="shared" si="4"/>
        <v>-8.9874176153392771E-4</v>
      </c>
      <c r="O87" s="58">
        <v>15</v>
      </c>
      <c r="P87" s="27" t="s">
        <v>309</v>
      </c>
      <c r="Q87" s="426"/>
      <c r="R87" s="4"/>
      <c r="S87" s="4"/>
      <c r="T87" s="4"/>
      <c r="U87" s="4"/>
      <c r="V87" s="4"/>
      <c r="W87" s="4"/>
      <c r="X87" s="4"/>
      <c r="Y87" s="4"/>
      <c r="Z87" s="4"/>
      <c r="AA87" s="4"/>
      <c r="AB87" s="4"/>
      <c r="AG87" s="4"/>
      <c r="AH87" s="4"/>
      <c r="AI87" s="383"/>
      <c r="AJ87" s="139"/>
      <c r="AK87" s="383"/>
      <c r="AL87" s="139"/>
      <c r="AM87" s="383"/>
      <c r="AN87" s="139"/>
      <c r="AO87" s="383"/>
      <c r="AP87" s="30"/>
      <c r="AQ87" s="383"/>
      <c r="AR87" s="30"/>
      <c r="AS87" s="30"/>
      <c r="AT87" s="30"/>
      <c r="AU87" s="30"/>
      <c r="AV87" s="183"/>
      <c r="AW87" s="183"/>
      <c r="AX87" s="30"/>
      <c r="AY87" s="183"/>
      <c r="AZ87" s="26"/>
      <c r="BA87" s="26"/>
      <c r="BB87" s="26"/>
      <c r="BC87" s="26"/>
      <c r="BD87" s="26"/>
      <c r="BE87" s="26"/>
      <c r="BF87" s="26"/>
      <c r="BG87" s="26"/>
      <c r="BH87" s="26"/>
      <c r="BI87" s="26"/>
      <c r="BJ87" s="26"/>
      <c r="BK87" s="26"/>
      <c r="BL87" s="26"/>
      <c r="BM87" s="26"/>
      <c r="BN87" s="26"/>
      <c r="BO87" s="26"/>
      <c r="BP87" s="26"/>
      <c r="BQ87" s="26"/>
      <c r="BR87" s="26"/>
      <c r="BS87" s="26"/>
      <c r="BT87" s="26"/>
      <c r="BU87" s="26"/>
      <c r="BV87" s="26"/>
    </row>
    <row r="88" spans="1:74" ht="15.75" customHeight="1" x14ac:dyDescent="0.25">
      <c r="A88" s="47">
        <f t="shared" si="8"/>
        <v>30</v>
      </c>
      <c r="B88" s="1" t="s">
        <v>319</v>
      </c>
      <c r="C88" s="48" t="str">
        <f ca="1">IFERROR(__xludf.DUMMYFUNCTION("GoogleFinance(B88,""name"")"),"Loading...")</f>
        <v>Loading...</v>
      </c>
      <c r="D88" s="49" t="str">
        <f ca="1">IFERROR(__xludf.DUMMYFUNCTION("GoogleFinance(B88,""marketcap"")/1000000"),"#N/A")</f>
        <v>#N/A</v>
      </c>
      <c r="E88" s="50" t="s">
        <v>14</v>
      </c>
      <c r="F88" s="50" t="s">
        <v>320</v>
      </c>
      <c r="G88" s="51">
        <v>45033</v>
      </c>
      <c r="H88" s="52">
        <v>20.54</v>
      </c>
      <c r="I88" s="53">
        <v>19.670000000000002</v>
      </c>
      <c r="J88" s="54">
        <f t="shared" si="15"/>
        <v>101.67768174885612</v>
      </c>
      <c r="K88" s="55">
        <v>2000</v>
      </c>
      <c r="L88" s="56">
        <f t="shared" si="14"/>
        <v>2088.4595831215047</v>
      </c>
      <c r="M88" s="56">
        <f t="shared" si="3"/>
        <v>88.459583121504693</v>
      </c>
      <c r="N88" s="57">
        <f t="shared" si="4"/>
        <v>4.4229791560752352E-2</v>
      </c>
      <c r="O88" s="58">
        <v>24</v>
      </c>
      <c r="P88" s="27" t="s">
        <v>298</v>
      </c>
      <c r="Q88" s="426"/>
      <c r="R88" s="4"/>
      <c r="S88" s="4"/>
      <c r="T88" s="4"/>
      <c r="U88" s="4"/>
      <c r="V88" s="4"/>
      <c r="W88" s="4"/>
      <c r="X88" s="4"/>
      <c r="Y88" s="4"/>
      <c r="Z88" s="4"/>
      <c r="AA88" s="4"/>
      <c r="AB88" s="4"/>
      <c r="AG88" s="4"/>
      <c r="AH88" s="4"/>
      <c r="AI88" s="383"/>
      <c r="AJ88" s="139"/>
      <c r="AK88" s="383"/>
      <c r="AL88" s="139"/>
      <c r="AM88" s="383"/>
      <c r="AN88" s="139"/>
      <c r="AO88" s="383"/>
      <c r="AP88" s="30"/>
      <c r="AQ88" s="383"/>
      <c r="AR88" s="30"/>
      <c r="AS88" s="30"/>
      <c r="AT88" s="30"/>
      <c r="AU88" s="30"/>
      <c r="AV88" s="183"/>
      <c r="AW88" s="183"/>
      <c r="AX88" s="30"/>
      <c r="AY88" s="183"/>
      <c r="AZ88" s="26"/>
      <c r="BA88" s="26"/>
      <c r="BB88" s="26"/>
      <c r="BC88" s="26"/>
      <c r="BD88" s="26"/>
      <c r="BE88" s="26"/>
      <c r="BF88" s="26"/>
      <c r="BG88" s="26"/>
      <c r="BH88" s="26"/>
      <c r="BI88" s="26"/>
      <c r="BJ88" s="26"/>
      <c r="BK88" s="26"/>
      <c r="BL88" s="26"/>
      <c r="BM88" s="26"/>
      <c r="BN88" s="26"/>
      <c r="BO88" s="26"/>
      <c r="BP88" s="26"/>
      <c r="BQ88" s="26"/>
      <c r="BR88" s="26"/>
      <c r="BS88" s="26"/>
      <c r="BT88" s="26"/>
      <c r="BU88" s="26"/>
      <c r="BV88" s="26"/>
    </row>
    <row r="89" spans="1:74" ht="15.75" customHeight="1" x14ac:dyDescent="0.25">
      <c r="A89" s="47">
        <f t="shared" si="8"/>
        <v>31</v>
      </c>
      <c r="B89" s="30" t="s">
        <v>321</v>
      </c>
      <c r="C89" s="107" t="str">
        <f ca="1">IFERROR(__xludf.DUMMYFUNCTION("GoogleFinance(B89,""name"")"),"Loading...")</f>
        <v>Loading...</v>
      </c>
      <c r="D89" s="108">
        <f ca="1">IFERROR(__xludf.DUMMYFUNCTION("GoogleFinance(B89,""marketcap"")/1000000"),10969.675611)</f>
        <v>10969.675611000001</v>
      </c>
      <c r="E89" s="109" t="s">
        <v>9</v>
      </c>
      <c r="F89" s="109" t="s">
        <v>23</v>
      </c>
      <c r="G89" s="110">
        <v>45054</v>
      </c>
      <c r="H89" s="113">
        <v>94.86</v>
      </c>
      <c r="I89" s="114">
        <v>93.8</v>
      </c>
      <c r="J89" s="115">
        <f>1000/I89</f>
        <v>10.660980810234541</v>
      </c>
      <c r="K89" s="116">
        <v>1000</v>
      </c>
      <c r="L89" s="117">
        <f t="shared" si="14"/>
        <v>1011.3006396588486</v>
      </c>
      <c r="M89" s="117">
        <f t="shared" si="3"/>
        <v>11.300639658848581</v>
      </c>
      <c r="N89" s="118">
        <f t="shared" si="4"/>
        <v>1.1300639658848644E-2</v>
      </c>
      <c r="O89" s="119">
        <f t="shared" ref="O89:O91" ca="1" si="16">TODAY()-G89</f>
        <v>50</v>
      </c>
      <c r="P89" s="27" t="s">
        <v>298</v>
      </c>
      <c r="Q89" s="426"/>
      <c r="R89" s="4"/>
      <c r="S89" s="4"/>
      <c r="T89" s="4"/>
      <c r="U89" s="4"/>
      <c r="V89" s="4"/>
      <c r="W89" s="4"/>
      <c r="X89" s="4"/>
      <c r="Y89" s="4"/>
      <c r="Z89" s="4"/>
      <c r="AA89" s="4"/>
      <c r="AB89" s="4"/>
      <c r="AG89" s="4"/>
      <c r="AH89" s="4"/>
      <c r="AI89" s="383"/>
      <c r="AJ89" s="139"/>
      <c r="AK89" s="383"/>
      <c r="AL89" s="139"/>
      <c r="AM89" s="383"/>
      <c r="AN89" s="139"/>
      <c r="AO89" s="383"/>
      <c r="AP89" s="30"/>
      <c r="AQ89" s="383"/>
      <c r="AR89" s="30"/>
      <c r="AS89" s="30"/>
      <c r="AT89" s="30"/>
      <c r="AU89" s="30"/>
      <c r="AV89" s="183"/>
      <c r="AW89" s="183"/>
      <c r="AX89" s="30"/>
      <c r="AY89" s="183"/>
      <c r="AZ89" s="26"/>
      <c r="BA89" s="26"/>
      <c r="BB89" s="26"/>
      <c r="BC89" s="26"/>
      <c r="BD89" s="26"/>
      <c r="BE89" s="26"/>
      <c r="BF89" s="26"/>
      <c r="BG89" s="26"/>
      <c r="BH89" s="26"/>
      <c r="BI89" s="26"/>
      <c r="BJ89" s="26"/>
      <c r="BK89" s="26"/>
      <c r="BL89" s="26"/>
      <c r="BM89" s="26"/>
      <c r="BN89" s="26"/>
      <c r="BO89" s="26"/>
      <c r="BP89" s="26"/>
      <c r="BQ89" s="26"/>
      <c r="BR89" s="26"/>
      <c r="BS89" s="26"/>
      <c r="BT89" s="26"/>
      <c r="BU89" s="26"/>
      <c r="BV89" s="26"/>
    </row>
    <row r="90" spans="1:74" ht="15.75" customHeight="1" x14ac:dyDescent="0.25">
      <c r="A90" s="47">
        <f t="shared" si="8"/>
        <v>32</v>
      </c>
      <c r="B90" s="183" t="s">
        <v>322</v>
      </c>
      <c r="C90" s="428" t="str">
        <f ca="1">IFERROR(__xludf.DUMMYFUNCTION("GoogleFinance(B90,""name"")"),"Loading...")</f>
        <v>Loading...</v>
      </c>
      <c r="D90" s="429" t="str">
        <f ca="1">IFERROR(__xludf.DUMMYFUNCTION("GoogleFinance(B90,""marketcap"")/1000000"),"#N/A")</f>
        <v>#N/A</v>
      </c>
      <c r="E90" s="430" t="s">
        <v>14</v>
      </c>
      <c r="F90" s="430" t="s">
        <v>90</v>
      </c>
      <c r="G90" s="110">
        <v>45056</v>
      </c>
      <c r="H90" s="161">
        <v>251.95</v>
      </c>
      <c r="I90" s="431">
        <v>265.07</v>
      </c>
      <c r="J90" s="432">
        <f t="shared" ref="J90:J91" si="17">2000/I90</f>
        <v>7.5451767457652696</v>
      </c>
      <c r="K90" s="433">
        <v>2000</v>
      </c>
      <c r="L90" s="433">
        <f t="shared" si="14"/>
        <v>1901.0072810955596</v>
      </c>
      <c r="M90" s="117">
        <f t="shared" si="3"/>
        <v>-98.99271890444038</v>
      </c>
      <c r="N90" s="118">
        <f t="shared" si="4"/>
        <v>-4.9496359452220196E-2</v>
      </c>
      <c r="O90" s="434">
        <f t="shared" ca="1" si="16"/>
        <v>48</v>
      </c>
      <c r="P90" s="27" t="s">
        <v>309</v>
      </c>
      <c r="Q90" s="426"/>
      <c r="R90" s="4"/>
      <c r="S90" s="4"/>
      <c r="T90" s="4"/>
      <c r="U90" s="4"/>
      <c r="V90" s="4"/>
      <c r="W90" s="4"/>
      <c r="X90" s="4"/>
      <c r="Y90" s="4"/>
      <c r="Z90" s="4"/>
      <c r="AA90" s="4"/>
      <c r="AB90" s="4"/>
      <c r="AG90" s="4"/>
      <c r="AH90" s="4"/>
      <c r="AI90" s="383"/>
      <c r="AJ90" s="139"/>
      <c r="AK90" s="383"/>
      <c r="AL90" s="139"/>
      <c r="AM90" s="383"/>
      <c r="AN90" s="139"/>
      <c r="AO90" s="383"/>
      <c r="AP90" s="30"/>
      <c r="AQ90" s="383"/>
      <c r="AR90" s="30"/>
      <c r="AS90" s="30"/>
      <c r="AT90" s="30"/>
      <c r="AU90" s="30"/>
      <c r="AV90" s="183"/>
      <c r="AW90" s="183"/>
      <c r="AX90" s="30"/>
      <c r="AY90" s="183"/>
      <c r="AZ90" s="26"/>
      <c r="BA90" s="26"/>
      <c r="BB90" s="26"/>
      <c r="BC90" s="26"/>
      <c r="BD90" s="26"/>
      <c r="BE90" s="26"/>
      <c r="BF90" s="26"/>
      <c r="BG90" s="26"/>
      <c r="BH90" s="26"/>
      <c r="BI90" s="26"/>
      <c r="BJ90" s="26"/>
      <c r="BK90" s="26"/>
      <c r="BL90" s="26"/>
      <c r="BM90" s="26"/>
      <c r="BN90" s="26"/>
      <c r="BO90" s="26"/>
      <c r="BP90" s="26"/>
      <c r="BQ90" s="26"/>
      <c r="BR90" s="26"/>
      <c r="BS90" s="26"/>
      <c r="BT90" s="26"/>
      <c r="BU90" s="26"/>
      <c r="BV90" s="26"/>
    </row>
    <row r="91" spans="1:74" ht="15.75" customHeight="1" x14ac:dyDescent="0.25">
      <c r="A91" s="47">
        <f t="shared" si="8"/>
        <v>33</v>
      </c>
      <c r="B91" s="183" t="s">
        <v>323</v>
      </c>
      <c r="C91" s="428" t="str">
        <f ca="1">IFERROR(__xludf.DUMMYFUNCTION("GoogleFinance(B91,""name"")"),"Loading...")</f>
        <v>Loading...</v>
      </c>
      <c r="D91" s="429">
        <f ca="1">IFERROR(__xludf.DUMMYFUNCTION("GoogleFinance(B91,""marketcap"")/1000000"),592.121978)</f>
        <v>592.12197800000001</v>
      </c>
      <c r="E91" s="430" t="s">
        <v>106</v>
      </c>
      <c r="F91" s="430" t="s">
        <v>90</v>
      </c>
      <c r="G91" s="110">
        <v>45014</v>
      </c>
      <c r="H91" s="161">
        <v>111.13</v>
      </c>
      <c r="I91" s="431">
        <v>114.07</v>
      </c>
      <c r="J91" s="432">
        <f t="shared" si="17"/>
        <v>17.533093714385906</v>
      </c>
      <c r="K91" s="433">
        <v>2000</v>
      </c>
      <c r="L91" s="433">
        <f t="shared" si="14"/>
        <v>1948.4527044797057</v>
      </c>
      <c r="M91" s="117">
        <f t="shared" si="3"/>
        <v>-51.547295520294256</v>
      </c>
      <c r="N91" s="118">
        <f t="shared" si="4"/>
        <v>-2.5773647760147234E-2</v>
      </c>
      <c r="O91" s="434">
        <f t="shared" ca="1" si="16"/>
        <v>90</v>
      </c>
      <c r="P91" s="27" t="s">
        <v>309</v>
      </c>
      <c r="Q91" s="426"/>
      <c r="R91" s="4"/>
      <c r="S91" s="4"/>
      <c r="T91" s="4"/>
      <c r="U91" s="4"/>
      <c r="V91" s="4"/>
      <c r="W91" s="4"/>
      <c r="X91" s="4"/>
      <c r="Y91" s="4"/>
      <c r="Z91" s="4"/>
      <c r="AA91" s="4"/>
      <c r="AB91" s="4"/>
      <c r="AG91" s="4"/>
      <c r="AH91" s="4"/>
      <c r="AI91" s="383"/>
      <c r="AJ91" s="139"/>
      <c r="AK91" s="383"/>
      <c r="AL91" s="139"/>
      <c r="AM91" s="383"/>
      <c r="AN91" s="139"/>
      <c r="AO91" s="383"/>
      <c r="AP91" s="30"/>
      <c r="AQ91" s="383"/>
      <c r="AR91" s="30"/>
      <c r="AS91" s="30"/>
      <c r="AT91" s="30"/>
      <c r="AU91" s="30"/>
      <c r="AV91" s="183"/>
      <c r="AW91" s="183"/>
      <c r="AX91" s="30"/>
      <c r="AY91" s="183"/>
      <c r="AZ91" s="26"/>
      <c r="BA91" s="26"/>
      <c r="BB91" s="26"/>
      <c r="BC91" s="26"/>
      <c r="BD91" s="26"/>
      <c r="BE91" s="26"/>
      <c r="BF91" s="26"/>
      <c r="BG91" s="26"/>
      <c r="BH91" s="26"/>
      <c r="BI91" s="26"/>
      <c r="BJ91" s="26"/>
      <c r="BK91" s="26"/>
      <c r="BL91" s="26"/>
      <c r="BM91" s="26"/>
      <c r="BN91" s="26"/>
      <c r="BO91" s="26"/>
      <c r="BP91" s="26"/>
      <c r="BQ91" s="26"/>
      <c r="BR91" s="26"/>
      <c r="BS91" s="26"/>
      <c r="BT91" s="26"/>
      <c r="BU91" s="26"/>
      <c r="BV91" s="26"/>
    </row>
    <row r="92" spans="1:74" ht="15.75" customHeight="1" x14ac:dyDescent="0.25">
      <c r="A92" s="47">
        <f t="shared" si="8"/>
        <v>34</v>
      </c>
      <c r="B92" s="1" t="s">
        <v>304</v>
      </c>
      <c r="C92" s="48" t="str">
        <f ca="1">IFERROR(__xludf.DUMMYFUNCTION("GoogleFinance(B92,""name"")"),"Loading...")</f>
        <v>Loading...</v>
      </c>
      <c r="D92" s="49" t="str">
        <f ca="1">IFERROR(__xludf.DUMMYFUNCTION("GoogleFinance(B92,""marketcap"")/1000000"),"#N/A")</f>
        <v>#N/A</v>
      </c>
      <c r="E92" s="50" t="s">
        <v>119</v>
      </c>
      <c r="F92" s="50" t="s">
        <v>324</v>
      </c>
      <c r="G92" s="51">
        <v>45007</v>
      </c>
      <c r="H92" s="52">
        <v>16</v>
      </c>
      <c r="I92" s="53">
        <v>17.5</v>
      </c>
      <c r="J92" s="54">
        <v>30.1</v>
      </c>
      <c r="K92" s="55">
        <v>500</v>
      </c>
      <c r="L92" s="56">
        <f t="shared" si="14"/>
        <v>481.6</v>
      </c>
      <c r="M92" s="147">
        <f t="shared" si="3"/>
        <v>-18.399999999999977</v>
      </c>
      <c r="N92" s="246">
        <f t="shared" si="4"/>
        <v>-8.5714285714285743E-2</v>
      </c>
      <c r="O92" s="58">
        <v>58</v>
      </c>
      <c r="P92" s="59" t="s">
        <v>51</v>
      </c>
      <c r="Q92" s="426"/>
      <c r="R92" s="4"/>
      <c r="S92" s="4"/>
      <c r="T92" s="4"/>
      <c r="U92" s="4"/>
      <c r="V92" s="4"/>
      <c r="W92" s="4"/>
      <c r="X92" s="4"/>
      <c r="Y92" s="4"/>
      <c r="Z92" s="4"/>
      <c r="AA92" s="4"/>
      <c r="AB92" s="4"/>
      <c r="AG92" s="4"/>
      <c r="AH92" s="4"/>
      <c r="AI92" s="383"/>
      <c r="AJ92" s="139"/>
      <c r="AK92" s="383"/>
      <c r="AL92" s="139"/>
      <c r="AM92" s="383"/>
      <c r="AN92" s="139"/>
      <c r="AO92" s="383"/>
      <c r="AP92" s="30"/>
      <c r="AQ92" s="383"/>
      <c r="AR92" s="30"/>
      <c r="AS92" s="30"/>
      <c r="AT92" s="30"/>
      <c r="AU92" s="30"/>
      <c r="AV92" s="183"/>
      <c r="AW92" s="183"/>
      <c r="AX92" s="30"/>
      <c r="AY92" s="183"/>
      <c r="AZ92" s="26"/>
      <c r="BA92" s="26"/>
      <c r="BB92" s="26"/>
      <c r="BC92" s="26"/>
      <c r="BD92" s="26"/>
      <c r="BE92" s="26"/>
      <c r="BF92" s="26"/>
      <c r="BG92" s="26"/>
      <c r="BH92" s="26"/>
      <c r="BI92" s="26"/>
      <c r="BJ92" s="26"/>
      <c r="BK92" s="26"/>
      <c r="BL92" s="26"/>
      <c r="BM92" s="26"/>
      <c r="BN92" s="26"/>
      <c r="BO92" s="26"/>
      <c r="BP92" s="26"/>
      <c r="BQ92" s="26"/>
      <c r="BR92" s="26"/>
      <c r="BS92" s="26"/>
      <c r="BT92" s="26"/>
      <c r="BU92" s="26"/>
      <c r="BV92" s="26"/>
    </row>
    <row r="93" spans="1:74" ht="15.75" customHeight="1" x14ac:dyDescent="0.25">
      <c r="A93" s="47">
        <f t="shared" si="8"/>
        <v>35</v>
      </c>
      <c r="B93" s="22" t="s">
        <v>234</v>
      </c>
      <c r="C93" s="141" t="str">
        <f ca="1">IFERROR(__xludf.DUMMYFUNCTION("GoogleFinance(B93,""name"")"),"Loading...")</f>
        <v>Loading...</v>
      </c>
      <c r="D93" s="142" t="str">
        <f ca="1">IFERROR(__xludf.DUMMYFUNCTION("GoogleFinance(B93,""marketcap"")/1000000"),"#N/A")</f>
        <v>#N/A</v>
      </c>
      <c r="E93" s="23" t="s">
        <v>119</v>
      </c>
      <c r="F93" s="23" t="s">
        <v>235</v>
      </c>
      <c r="G93" s="313">
        <v>45054</v>
      </c>
      <c r="H93" s="314">
        <v>14</v>
      </c>
      <c r="I93" s="145">
        <v>15.15</v>
      </c>
      <c r="J93" s="240">
        <f t="shared" ref="J93:J94" si="18">1000/I93</f>
        <v>66.006600660065999</v>
      </c>
      <c r="K93" s="146">
        <v>1000</v>
      </c>
      <c r="L93" s="146">
        <f t="shared" si="14"/>
        <v>924.09240924092398</v>
      </c>
      <c r="M93" s="147">
        <f t="shared" si="3"/>
        <v>-75.907590759076015</v>
      </c>
      <c r="N93" s="246">
        <f t="shared" si="4"/>
        <v>-7.5907590759075938E-2</v>
      </c>
      <c r="O93" s="58">
        <v>12</v>
      </c>
      <c r="P93" s="59" t="s">
        <v>51</v>
      </c>
      <c r="Q93" s="426"/>
      <c r="R93" s="4"/>
      <c r="S93" s="4"/>
      <c r="T93" s="4"/>
      <c r="U93" s="4"/>
      <c r="V93" s="4"/>
      <c r="W93" s="4"/>
      <c r="X93" s="4"/>
      <c r="Y93" s="4"/>
      <c r="Z93" s="4"/>
      <c r="AA93" s="4"/>
      <c r="AB93" s="4"/>
      <c r="AG93" s="4"/>
      <c r="AH93" s="4"/>
      <c r="AI93" s="383"/>
      <c r="AJ93" s="139"/>
      <c r="AK93" s="383"/>
      <c r="AL93" s="139"/>
      <c r="AM93" s="383"/>
      <c r="AN93" s="139"/>
      <c r="AO93" s="383"/>
      <c r="AP93" s="30"/>
      <c r="AQ93" s="383"/>
      <c r="AR93" s="30"/>
      <c r="AS93" s="30"/>
      <c r="AT93" s="30"/>
      <c r="AU93" s="30"/>
      <c r="AV93" s="183"/>
      <c r="AW93" s="183"/>
      <c r="AX93" s="30"/>
      <c r="AY93" s="183"/>
      <c r="AZ93" s="26"/>
      <c r="BA93" s="26"/>
      <c r="BB93" s="26"/>
      <c r="BC93" s="26"/>
      <c r="BD93" s="26"/>
      <c r="BE93" s="26"/>
      <c r="BF93" s="26"/>
      <c r="BG93" s="26"/>
      <c r="BH93" s="26"/>
      <c r="BI93" s="26"/>
      <c r="BJ93" s="26"/>
      <c r="BK93" s="26"/>
      <c r="BL93" s="26"/>
      <c r="BM93" s="26"/>
      <c r="BN93" s="26"/>
      <c r="BO93" s="26"/>
      <c r="BP93" s="26"/>
      <c r="BQ93" s="26"/>
      <c r="BR93" s="26"/>
      <c r="BS93" s="26"/>
      <c r="BT93" s="26"/>
      <c r="BU93" s="26"/>
      <c r="BV93" s="26"/>
    </row>
    <row r="94" spans="1:74" ht="15.75" customHeight="1" x14ac:dyDescent="0.25">
      <c r="A94" s="47">
        <f t="shared" si="8"/>
        <v>36</v>
      </c>
      <c r="B94" s="1" t="s">
        <v>325</v>
      </c>
      <c r="C94" s="48" t="str">
        <f ca="1">IFERROR(__xludf.DUMMYFUNCTION("GoogleFinance(B94,""name"")"),"Loading...")</f>
        <v>Loading...</v>
      </c>
      <c r="D94" s="49" t="str">
        <f ca="1">IFERROR(__xludf.DUMMYFUNCTION("GoogleFinance(B94,""marketcap"")/1000000"),"#N/A")</f>
        <v>#N/A</v>
      </c>
      <c r="E94" s="50" t="s">
        <v>119</v>
      </c>
      <c r="F94" s="50" t="s">
        <v>326</v>
      </c>
      <c r="G94" s="51">
        <v>45042</v>
      </c>
      <c r="H94" s="52">
        <v>18</v>
      </c>
      <c r="I94" s="53">
        <v>20.2</v>
      </c>
      <c r="J94" s="54">
        <f t="shared" si="18"/>
        <v>49.504950495049506</v>
      </c>
      <c r="K94" s="55">
        <v>1000</v>
      </c>
      <c r="L94" s="56">
        <f t="shared" si="14"/>
        <v>891.08910891089113</v>
      </c>
      <c r="M94" s="56">
        <f t="shared" si="3"/>
        <v>-108.91089108910887</v>
      </c>
      <c r="N94" s="57">
        <f t="shared" si="4"/>
        <v>-0.1089108910891089</v>
      </c>
      <c r="O94" s="58">
        <v>30</v>
      </c>
      <c r="P94" s="59" t="s">
        <v>51</v>
      </c>
      <c r="Q94" s="31"/>
      <c r="R94" s="31"/>
      <c r="S94" s="31"/>
      <c r="T94" s="31"/>
      <c r="U94" s="31"/>
      <c r="V94" s="31"/>
      <c r="W94" s="31"/>
      <c r="X94" s="4"/>
      <c r="Y94" s="4"/>
      <c r="Z94" s="4"/>
      <c r="AA94" s="4"/>
      <c r="AB94" s="4"/>
      <c r="AC94" s="31"/>
      <c r="AD94" s="31"/>
      <c r="AE94" s="31"/>
      <c r="AF94" s="31"/>
      <c r="AG94" s="4"/>
      <c r="AH94" s="4"/>
      <c r="AI94" s="383"/>
      <c r="AJ94" s="139"/>
      <c r="AK94" s="383"/>
      <c r="AL94" s="139"/>
      <c r="AM94" s="383"/>
      <c r="AN94" s="139"/>
      <c r="AO94" s="383"/>
      <c r="AP94" s="30"/>
      <c r="AQ94" s="383"/>
      <c r="AR94" s="30"/>
      <c r="AS94" s="30"/>
      <c r="AT94" s="30"/>
      <c r="AU94" s="30"/>
      <c r="AV94" s="183"/>
      <c r="AW94" s="183"/>
      <c r="AX94" s="30"/>
      <c r="AY94" s="183"/>
      <c r="AZ94" s="31"/>
      <c r="BA94" s="31"/>
      <c r="BB94" s="31"/>
      <c r="BC94" s="31"/>
      <c r="BD94" s="31"/>
      <c r="BE94" s="31"/>
      <c r="BF94" s="31"/>
      <c r="BG94" s="31"/>
      <c r="BH94" s="31"/>
      <c r="BI94" s="31"/>
      <c r="BJ94" s="31"/>
      <c r="BK94" s="31"/>
      <c r="BL94" s="31"/>
      <c r="BM94" s="31"/>
      <c r="BN94" s="31"/>
      <c r="BO94" s="31"/>
      <c r="BP94" s="31"/>
      <c r="BQ94" s="31"/>
      <c r="BR94" s="31"/>
      <c r="BS94" s="31"/>
      <c r="BT94" s="31"/>
      <c r="BU94" s="31"/>
      <c r="BV94" s="31"/>
    </row>
    <row r="95" spans="1:74" ht="15.75" customHeight="1" x14ac:dyDescent="0.25">
      <c r="A95" s="47">
        <f t="shared" si="8"/>
        <v>37</v>
      </c>
      <c r="B95" s="252" t="s">
        <v>327</v>
      </c>
      <c r="C95" s="253" t="str">
        <f ca="1">IFERROR(__xludf.DUMMYFUNCTION("GoogleFinance(B95,""name"")"),"Loading...")</f>
        <v>Loading...</v>
      </c>
      <c r="D95" s="254">
        <f ca="1">IFERROR(__xludf.DUMMYFUNCTION("GoogleFinance(B95,""marketcap"")/1000000"),221143.968)</f>
        <v>221143.96799999999</v>
      </c>
      <c r="E95" s="255" t="s">
        <v>13</v>
      </c>
      <c r="F95" s="255" t="s">
        <v>19</v>
      </c>
      <c r="G95" s="256">
        <v>45034</v>
      </c>
      <c r="H95" s="265">
        <v>30.55</v>
      </c>
      <c r="I95" s="259">
        <v>28.8</v>
      </c>
      <c r="J95" s="260">
        <f t="shared" ref="J95:J101" si="19">2000/I95</f>
        <v>69.444444444444443</v>
      </c>
      <c r="K95" s="261">
        <v>2000</v>
      </c>
      <c r="L95" s="262">
        <f t="shared" si="14"/>
        <v>2121.5277777777778</v>
      </c>
      <c r="M95" s="262">
        <f t="shared" si="3"/>
        <v>121.52777777777783</v>
      </c>
      <c r="N95" s="263">
        <f t="shared" si="4"/>
        <v>6.076388888888884E-2</v>
      </c>
      <c r="O95" s="264">
        <v>45</v>
      </c>
      <c r="P95" s="435" t="s">
        <v>328</v>
      </c>
      <c r="Q95" s="436"/>
      <c r="R95" s="436"/>
      <c r="S95" s="436"/>
      <c r="T95" s="436"/>
      <c r="U95" s="436"/>
      <c r="V95" s="436"/>
      <c r="W95" s="436"/>
      <c r="X95" s="437"/>
      <c r="Y95" s="437"/>
      <c r="Z95" s="437"/>
      <c r="AA95" s="437"/>
      <c r="AB95" s="437"/>
      <c r="AC95" s="436"/>
      <c r="AD95" s="436"/>
      <c r="AE95" s="436"/>
      <c r="AF95" s="436"/>
      <c r="AG95" s="437"/>
      <c r="AH95" s="437"/>
      <c r="AI95" s="438"/>
      <c r="AJ95" s="439"/>
      <c r="AK95" s="438"/>
      <c r="AL95" s="439"/>
      <c r="AM95" s="438"/>
      <c r="AN95" s="439"/>
      <c r="AO95" s="438"/>
      <c r="AP95" s="440"/>
      <c r="AQ95" s="438"/>
      <c r="AR95" s="440"/>
      <c r="AS95" s="440"/>
      <c r="AT95" s="440"/>
      <c r="AU95" s="440"/>
      <c r="AV95" s="441"/>
      <c r="AW95" s="441"/>
      <c r="AX95" s="440"/>
      <c r="AY95" s="441"/>
      <c r="AZ95" s="436"/>
      <c r="BA95" s="436"/>
      <c r="BB95" s="436"/>
      <c r="BC95" s="436"/>
      <c r="BD95" s="436"/>
      <c r="BE95" s="436"/>
      <c r="BF95" s="436"/>
      <c r="BG95" s="436"/>
      <c r="BH95" s="436"/>
      <c r="BI95" s="436"/>
      <c r="BJ95" s="436"/>
      <c r="BK95" s="436"/>
      <c r="BL95" s="436"/>
      <c r="BM95" s="436"/>
      <c r="BN95" s="436"/>
      <c r="BO95" s="436"/>
      <c r="BP95" s="436"/>
      <c r="BQ95" s="436"/>
      <c r="BR95" s="436"/>
      <c r="BS95" s="436"/>
      <c r="BT95" s="436"/>
      <c r="BU95" s="436"/>
      <c r="BV95" s="436"/>
    </row>
    <row r="96" spans="1:74" ht="15.75" customHeight="1" x14ac:dyDescent="0.25">
      <c r="A96" s="47">
        <f t="shared" si="8"/>
        <v>38</v>
      </c>
      <c r="B96" s="1" t="s">
        <v>307</v>
      </c>
      <c r="C96" s="48" t="str">
        <f ca="1">IFERROR(__xludf.DUMMYFUNCTION("GoogleFinance(B96,""name"")"),"Loading...")</f>
        <v>Loading...</v>
      </c>
      <c r="D96" s="49">
        <f ca="1">IFERROR(__xludf.DUMMYFUNCTION("GoogleFinance(B96,""marketcap"")/1000000"),1252.809174)</f>
        <v>1252.809174</v>
      </c>
      <c r="E96" s="23" t="s">
        <v>13</v>
      </c>
      <c r="F96" s="23" t="s">
        <v>308</v>
      </c>
      <c r="G96" s="51">
        <v>45078</v>
      </c>
      <c r="H96" s="52">
        <v>44.3</v>
      </c>
      <c r="I96" s="53">
        <v>40</v>
      </c>
      <c r="J96" s="54">
        <f t="shared" si="19"/>
        <v>50</v>
      </c>
      <c r="K96" s="55">
        <v>2000</v>
      </c>
      <c r="L96" s="56">
        <f t="shared" si="14"/>
        <v>2215</v>
      </c>
      <c r="M96" s="56">
        <f t="shared" si="3"/>
        <v>215</v>
      </c>
      <c r="N96" s="57">
        <f t="shared" si="4"/>
        <v>0.10749999999999993</v>
      </c>
      <c r="O96" s="58">
        <v>6</v>
      </c>
      <c r="P96" s="442" t="s">
        <v>309</v>
      </c>
      <c r="Q96" s="31"/>
      <c r="R96" s="31"/>
      <c r="S96" s="31"/>
      <c r="T96" s="31"/>
      <c r="U96" s="31"/>
      <c r="V96" s="31"/>
      <c r="W96" s="31"/>
      <c r="X96" s="4"/>
      <c r="Y96" s="4"/>
      <c r="Z96" s="4"/>
      <c r="AA96" s="4"/>
      <c r="AB96" s="4"/>
      <c r="AC96" s="31"/>
      <c r="AD96" s="31"/>
      <c r="AE96" s="31"/>
      <c r="AF96" s="31"/>
      <c r="AG96" s="4"/>
      <c r="AH96" s="4"/>
      <c r="AI96" s="426"/>
      <c r="AJ96" s="4"/>
      <c r="AK96" s="426"/>
      <c r="AL96" s="4"/>
      <c r="AM96" s="426"/>
      <c r="AN96" s="4"/>
      <c r="AO96" s="426"/>
      <c r="AP96" s="1"/>
      <c r="AQ96" s="426"/>
      <c r="AR96" s="1"/>
      <c r="AS96" s="1"/>
      <c r="AT96" s="1"/>
      <c r="AU96" s="1"/>
      <c r="AV96" s="22"/>
      <c r="AW96" s="22"/>
      <c r="AX96" s="1"/>
      <c r="AY96" s="22"/>
      <c r="AZ96" s="31"/>
      <c r="BA96" s="31"/>
      <c r="BB96" s="31"/>
      <c r="BC96" s="31"/>
      <c r="BD96" s="31"/>
      <c r="BE96" s="31"/>
      <c r="BF96" s="31"/>
      <c r="BG96" s="31"/>
      <c r="BH96" s="31"/>
      <c r="BI96" s="31"/>
      <c r="BJ96" s="31"/>
      <c r="BK96" s="31"/>
      <c r="BL96" s="31"/>
      <c r="BM96" s="31"/>
      <c r="BN96" s="31"/>
      <c r="BO96" s="31"/>
      <c r="BP96" s="31"/>
      <c r="BQ96" s="31"/>
      <c r="BR96" s="31"/>
      <c r="BS96" s="31"/>
      <c r="BT96" s="31"/>
      <c r="BU96" s="31"/>
      <c r="BV96" s="31"/>
    </row>
    <row r="97" spans="1:74" ht="15.75" customHeight="1" x14ac:dyDescent="0.25">
      <c r="A97" s="47">
        <f t="shared" si="8"/>
        <v>39</v>
      </c>
      <c r="B97" s="1" t="s">
        <v>329</v>
      </c>
      <c r="C97" s="48" t="str">
        <f ca="1">IFERROR(__xludf.DUMMYFUNCTION("GoogleFinance(B97,""name"")"),"Loading...")</f>
        <v>Loading...</v>
      </c>
      <c r="D97" s="49">
        <f ca="1">IFERROR(__xludf.DUMMYFUNCTION("GoogleFinance(B97,""marketcap"")/1000000"),160985.479611)</f>
        <v>160985.47961099999</v>
      </c>
      <c r="E97" s="23" t="s">
        <v>12</v>
      </c>
      <c r="F97" s="23" t="s">
        <v>330</v>
      </c>
      <c r="G97" s="51">
        <v>45078</v>
      </c>
      <c r="H97" s="52">
        <v>92.95</v>
      </c>
      <c r="I97" s="53">
        <v>88.64</v>
      </c>
      <c r="J97" s="54">
        <f t="shared" si="19"/>
        <v>22.56317689530686</v>
      </c>
      <c r="K97" s="55">
        <v>2000</v>
      </c>
      <c r="L97" s="56">
        <f t="shared" si="14"/>
        <v>2097.2472924187728</v>
      </c>
      <c r="M97" s="56">
        <f t="shared" si="3"/>
        <v>97.247292418772759</v>
      </c>
      <c r="N97" s="57">
        <f t="shared" si="4"/>
        <v>4.8623646209386306E-2</v>
      </c>
      <c r="O97" s="58">
        <v>13</v>
      </c>
      <c r="P97" s="27" t="s">
        <v>298</v>
      </c>
      <c r="Q97" s="31"/>
      <c r="R97" s="31"/>
      <c r="S97" s="31"/>
      <c r="T97" s="31"/>
      <c r="U97" s="31"/>
      <c r="V97" s="31"/>
      <c r="W97" s="31"/>
      <c r="X97" s="4"/>
      <c r="Y97" s="4"/>
      <c r="Z97" s="4"/>
      <c r="AA97" s="4"/>
      <c r="AB97" s="4"/>
      <c r="AC97" s="31"/>
      <c r="AD97" s="31"/>
      <c r="AE97" s="31"/>
      <c r="AF97" s="31"/>
      <c r="AG97" s="4"/>
      <c r="AH97" s="4"/>
      <c r="AI97" s="383"/>
      <c r="AJ97" s="139"/>
      <c r="AK97" s="383"/>
      <c r="AL97" s="139"/>
      <c r="AM97" s="383"/>
      <c r="AN97" s="139"/>
      <c r="AO97" s="383"/>
      <c r="AP97" s="30"/>
      <c r="AQ97" s="383"/>
      <c r="AR97" s="30"/>
      <c r="AS97" s="30"/>
      <c r="AT97" s="30"/>
      <c r="AU97" s="30"/>
      <c r="AV97" s="183"/>
      <c r="AW97" s="183"/>
      <c r="AX97" s="30"/>
      <c r="AY97" s="183"/>
      <c r="AZ97" s="31"/>
      <c r="BA97" s="31"/>
      <c r="BB97" s="31"/>
      <c r="BC97" s="31"/>
      <c r="BD97" s="31"/>
      <c r="BE97" s="31"/>
      <c r="BF97" s="31"/>
      <c r="BG97" s="31"/>
      <c r="BH97" s="31"/>
      <c r="BI97" s="31"/>
      <c r="BJ97" s="31"/>
      <c r="BK97" s="31"/>
      <c r="BL97" s="31"/>
      <c r="BM97" s="31"/>
      <c r="BN97" s="31"/>
      <c r="BO97" s="31"/>
      <c r="BP97" s="31"/>
      <c r="BQ97" s="31"/>
      <c r="BR97" s="31"/>
      <c r="BS97" s="31"/>
      <c r="BT97" s="31"/>
      <c r="BU97" s="31"/>
      <c r="BV97" s="31"/>
    </row>
    <row r="98" spans="1:74" ht="15.75" customHeight="1" x14ac:dyDescent="0.25">
      <c r="A98" s="47">
        <f t="shared" si="8"/>
        <v>40</v>
      </c>
      <c r="B98" s="1" t="s">
        <v>331</v>
      </c>
      <c r="C98" s="48" t="str">
        <f ca="1">IFERROR(__xludf.DUMMYFUNCTION("GoogleFinance(B98,""name"")"),"Loading...")</f>
        <v>Loading...</v>
      </c>
      <c r="D98" s="49">
        <f ca="1">IFERROR(__xludf.DUMMYFUNCTION("GoogleFinance(B98,""marketcap"")/1000000"),25835.127692)</f>
        <v>25835.127691999998</v>
      </c>
      <c r="E98" s="23" t="s">
        <v>11</v>
      </c>
      <c r="F98" s="23" t="s">
        <v>27</v>
      </c>
      <c r="G98" s="51">
        <v>45078</v>
      </c>
      <c r="H98" s="52">
        <v>227.6</v>
      </c>
      <c r="I98" s="53">
        <v>196.5</v>
      </c>
      <c r="J98" s="54">
        <f t="shared" si="19"/>
        <v>10.178117048346056</v>
      </c>
      <c r="K98" s="55">
        <v>2000</v>
      </c>
      <c r="L98" s="56">
        <f t="shared" si="14"/>
        <v>2316.5394402035622</v>
      </c>
      <c r="M98" s="56">
        <f t="shared" si="3"/>
        <v>316.53944020356221</v>
      </c>
      <c r="N98" s="57">
        <f t="shared" si="4"/>
        <v>0.15826972010178109</v>
      </c>
      <c r="O98" s="58">
        <v>13</v>
      </c>
      <c r="P98" s="27" t="s">
        <v>298</v>
      </c>
      <c r="Q98" s="31"/>
      <c r="R98" s="31"/>
      <c r="S98" s="31"/>
      <c r="T98" s="31"/>
      <c r="U98" s="31"/>
      <c r="V98" s="31"/>
      <c r="W98" s="31"/>
      <c r="X98" s="4"/>
      <c r="Y98" s="4"/>
      <c r="Z98" s="4"/>
      <c r="AA98" s="4"/>
      <c r="AB98" s="4"/>
      <c r="AC98" s="31"/>
      <c r="AD98" s="31"/>
      <c r="AE98" s="31"/>
      <c r="AF98" s="31"/>
      <c r="AG98" s="4"/>
      <c r="AH98" s="4"/>
      <c r="AI98" s="383"/>
      <c r="AJ98" s="139"/>
      <c r="AK98" s="383"/>
      <c r="AL98" s="139"/>
      <c r="AM98" s="383"/>
      <c r="AN98" s="139"/>
      <c r="AO98" s="383"/>
      <c r="AP98" s="30"/>
      <c r="AQ98" s="383"/>
      <c r="AR98" s="30"/>
      <c r="AS98" s="30"/>
      <c r="AT98" s="30"/>
      <c r="AU98" s="30"/>
      <c r="AV98" s="183"/>
      <c r="AW98" s="183"/>
      <c r="AX98" s="30"/>
      <c r="AY98" s="183"/>
      <c r="AZ98" s="31"/>
      <c r="BA98" s="31"/>
      <c r="BB98" s="31"/>
      <c r="BC98" s="31"/>
      <c r="BD98" s="31"/>
      <c r="BE98" s="31"/>
      <c r="BF98" s="31"/>
      <c r="BG98" s="31"/>
      <c r="BH98" s="31"/>
      <c r="BI98" s="31"/>
      <c r="BJ98" s="31"/>
      <c r="BK98" s="31"/>
      <c r="BL98" s="31"/>
      <c r="BM98" s="31"/>
      <c r="BN98" s="31"/>
      <c r="BO98" s="31"/>
      <c r="BP98" s="31"/>
      <c r="BQ98" s="31"/>
      <c r="BR98" s="31"/>
      <c r="BS98" s="31"/>
      <c r="BT98" s="31"/>
      <c r="BU98" s="31"/>
      <c r="BV98" s="31"/>
    </row>
    <row r="99" spans="1:74" ht="15.75" customHeight="1" x14ac:dyDescent="0.25">
      <c r="A99" s="47">
        <f t="shared" si="8"/>
        <v>41</v>
      </c>
      <c r="B99" s="1" t="s">
        <v>332</v>
      </c>
      <c r="C99" s="48" t="str">
        <f ca="1">IFERROR(__xludf.DUMMYFUNCTION("GoogleFinance(B99,""name"")"),"Loading...")</f>
        <v>Loading...</v>
      </c>
      <c r="D99" s="49">
        <f ca="1">IFERROR(__xludf.DUMMYFUNCTION("GoogleFinance(B99,""marketcap"")/1000000"),5283.197465)</f>
        <v>5283.1974650000002</v>
      </c>
      <c r="E99" s="23" t="s">
        <v>11</v>
      </c>
      <c r="F99" s="23" t="s">
        <v>174</v>
      </c>
      <c r="G99" s="51">
        <v>45079</v>
      </c>
      <c r="H99" s="52">
        <v>23.5</v>
      </c>
      <c r="I99" s="53">
        <v>22.13</v>
      </c>
      <c r="J99" s="54">
        <f t="shared" si="19"/>
        <v>90.375056484410308</v>
      </c>
      <c r="K99" s="55">
        <v>2000</v>
      </c>
      <c r="L99" s="56">
        <f t="shared" si="14"/>
        <v>2123.8138273836421</v>
      </c>
      <c r="M99" s="56">
        <f t="shared" si="3"/>
        <v>123.81382738364209</v>
      </c>
      <c r="N99" s="57">
        <f t="shared" si="4"/>
        <v>6.1906913691821108E-2</v>
      </c>
      <c r="O99" s="58">
        <v>12</v>
      </c>
      <c r="P99" s="27" t="s">
        <v>298</v>
      </c>
      <c r="Q99" s="31"/>
      <c r="R99" s="31"/>
      <c r="S99" s="31"/>
      <c r="T99" s="31"/>
      <c r="U99" s="31"/>
      <c r="V99" s="31"/>
      <c r="W99" s="31"/>
      <c r="X99" s="4"/>
      <c r="Y99" s="4"/>
      <c r="Z99" s="4"/>
      <c r="AA99" s="4"/>
      <c r="AB99" s="4"/>
      <c r="AC99" s="31"/>
      <c r="AD99" s="31"/>
      <c r="AE99" s="31"/>
      <c r="AF99" s="31"/>
      <c r="AG99" s="4"/>
      <c r="AH99" s="4"/>
      <c r="AI99" s="383"/>
      <c r="AJ99" s="139"/>
      <c r="AK99" s="383"/>
      <c r="AL99" s="139"/>
      <c r="AM99" s="383"/>
      <c r="AN99" s="139"/>
      <c r="AO99" s="383"/>
      <c r="AP99" s="30"/>
      <c r="AQ99" s="383"/>
      <c r="AR99" s="30"/>
      <c r="AS99" s="30"/>
      <c r="AT99" s="30"/>
      <c r="AU99" s="30"/>
      <c r="AV99" s="183"/>
      <c r="AW99" s="183"/>
      <c r="AX99" s="30"/>
      <c r="AY99" s="183"/>
      <c r="AZ99" s="31"/>
      <c r="BA99" s="31"/>
      <c r="BB99" s="31"/>
      <c r="BC99" s="31"/>
      <c r="BD99" s="31"/>
      <c r="BE99" s="31"/>
      <c r="BF99" s="31"/>
      <c r="BG99" s="31"/>
      <c r="BH99" s="31"/>
      <c r="BI99" s="31"/>
      <c r="BJ99" s="31"/>
      <c r="BK99" s="31"/>
      <c r="BL99" s="31"/>
      <c r="BM99" s="31"/>
      <c r="BN99" s="31"/>
      <c r="BO99" s="31"/>
      <c r="BP99" s="31"/>
      <c r="BQ99" s="31"/>
      <c r="BR99" s="31"/>
      <c r="BS99" s="31"/>
      <c r="BT99" s="31"/>
      <c r="BU99" s="31"/>
      <c r="BV99" s="31"/>
    </row>
    <row r="100" spans="1:74" ht="15.75" customHeight="1" x14ac:dyDescent="0.25">
      <c r="A100" s="47">
        <f t="shared" si="8"/>
        <v>42</v>
      </c>
      <c r="B100" s="1" t="s">
        <v>333</v>
      </c>
      <c r="C100" s="48" t="str">
        <f ca="1">IFERROR(__xludf.DUMMYFUNCTION("GoogleFinance(B100,""name"")"),"Loading...")</f>
        <v>Loading...</v>
      </c>
      <c r="D100" s="49">
        <f ca="1">IFERROR(__xludf.DUMMYFUNCTION("GoogleFinance(B100,""marketcap"")/1000000"),54995.182289)</f>
        <v>54995.182288999997</v>
      </c>
      <c r="E100" s="23" t="s">
        <v>11</v>
      </c>
      <c r="F100" s="23" t="s">
        <v>177</v>
      </c>
      <c r="G100" s="51">
        <v>45079</v>
      </c>
      <c r="H100" s="52">
        <v>40.1</v>
      </c>
      <c r="I100" s="53">
        <v>37.08</v>
      </c>
      <c r="J100" s="54">
        <f t="shared" si="19"/>
        <v>53.937432578209282</v>
      </c>
      <c r="K100" s="55">
        <v>2000</v>
      </c>
      <c r="L100" s="56">
        <f t="shared" si="14"/>
        <v>2162.8910463861921</v>
      </c>
      <c r="M100" s="56">
        <f t="shared" si="3"/>
        <v>162.8910463861921</v>
      </c>
      <c r="N100" s="57">
        <f t="shared" si="4"/>
        <v>8.144552319309617E-2</v>
      </c>
      <c r="O100" s="58">
        <v>12</v>
      </c>
      <c r="P100" s="27" t="s">
        <v>298</v>
      </c>
      <c r="Q100" s="31"/>
      <c r="R100" s="31"/>
      <c r="S100" s="31"/>
      <c r="T100" s="31"/>
      <c r="U100" s="31"/>
      <c r="V100" s="31"/>
      <c r="W100" s="31"/>
      <c r="X100" s="4"/>
      <c r="Y100" s="4"/>
      <c r="Z100" s="4"/>
      <c r="AA100" s="4"/>
      <c r="AB100" s="4"/>
      <c r="AC100" s="31"/>
      <c r="AD100" s="31"/>
      <c r="AE100" s="31"/>
      <c r="AF100" s="31"/>
      <c r="AG100" s="4"/>
      <c r="AH100" s="4"/>
      <c r="AI100" s="383"/>
      <c r="AJ100" s="139"/>
      <c r="AK100" s="383"/>
      <c r="AL100" s="139"/>
      <c r="AM100" s="383"/>
      <c r="AN100" s="139"/>
      <c r="AO100" s="383"/>
      <c r="AP100" s="30"/>
      <c r="AQ100" s="383"/>
      <c r="AR100" s="30"/>
      <c r="AS100" s="30"/>
      <c r="AT100" s="30"/>
      <c r="AU100" s="30"/>
      <c r="AV100" s="183"/>
      <c r="AW100" s="183"/>
      <c r="AX100" s="30"/>
      <c r="AY100" s="183"/>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row>
    <row r="101" spans="1:74" ht="15.75" customHeight="1" x14ac:dyDescent="0.25">
      <c r="A101" s="47">
        <f t="shared" si="8"/>
        <v>43</v>
      </c>
      <c r="B101" s="1" t="s">
        <v>334</v>
      </c>
      <c r="C101" s="48" t="str">
        <f ca="1">IFERROR(__xludf.DUMMYFUNCTION("GoogleFinance(B101,""name"")"),"Loading...")</f>
        <v>Loading...</v>
      </c>
      <c r="D101" s="49">
        <f ca="1">IFERROR(__xludf.DUMMYFUNCTION("GoogleFinance(B101,""marketcap"")/1000000"),299120.568225)</f>
        <v>299120.568225</v>
      </c>
      <c r="E101" s="23" t="s">
        <v>11</v>
      </c>
      <c r="F101" s="23" t="s">
        <v>335</v>
      </c>
      <c r="G101" s="51">
        <v>45079</v>
      </c>
      <c r="H101" s="52">
        <v>14.3</v>
      </c>
      <c r="I101" s="53">
        <v>13.66</v>
      </c>
      <c r="J101" s="54">
        <f t="shared" si="19"/>
        <v>146.41288433382138</v>
      </c>
      <c r="K101" s="55">
        <v>2000</v>
      </c>
      <c r="L101" s="56">
        <f t="shared" si="14"/>
        <v>2093.7042459736458</v>
      </c>
      <c r="M101" s="56">
        <f t="shared" si="3"/>
        <v>93.704245973645811</v>
      </c>
      <c r="N101" s="379">
        <f t="shared" si="4"/>
        <v>4.6852122986822842E-2</v>
      </c>
      <c r="O101" s="58">
        <v>12</v>
      </c>
      <c r="P101" s="27" t="s">
        <v>298</v>
      </c>
      <c r="Q101" s="31"/>
      <c r="R101" s="31"/>
      <c r="S101" s="31"/>
      <c r="T101" s="31"/>
      <c r="U101" s="31"/>
      <c r="V101" s="31"/>
      <c r="W101" s="31"/>
      <c r="X101" s="4"/>
      <c r="Y101" s="4"/>
      <c r="Z101" s="4"/>
      <c r="AA101" s="4"/>
      <c r="AB101" s="4"/>
      <c r="AC101" s="31"/>
      <c r="AD101" s="31"/>
      <c r="AE101" s="31"/>
      <c r="AF101" s="31"/>
      <c r="AG101" s="4"/>
      <c r="AH101" s="4"/>
      <c r="AI101" s="383"/>
      <c r="AJ101" s="139"/>
      <c r="AK101" s="383"/>
      <c r="AL101" s="139"/>
      <c r="AM101" s="383"/>
      <c r="AN101" s="139"/>
      <c r="AO101" s="383"/>
      <c r="AP101" s="30"/>
      <c r="AQ101" s="383"/>
      <c r="AR101" s="30"/>
      <c r="AS101" s="30"/>
      <c r="AT101" s="30"/>
      <c r="AU101" s="30"/>
      <c r="AV101" s="183"/>
      <c r="AW101" s="183"/>
      <c r="AX101" s="30"/>
      <c r="AY101" s="183"/>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row>
    <row r="102" spans="1:74" ht="15.75" hidden="1" customHeight="1" x14ac:dyDescent="0.25">
      <c r="A102" s="31"/>
      <c r="B102" s="31"/>
      <c r="C102" s="266"/>
      <c r="D102" s="31"/>
      <c r="E102" s="31"/>
      <c r="F102" s="31"/>
      <c r="G102" s="32"/>
      <c r="H102" s="443"/>
      <c r="I102" s="444"/>
      <c r="J102" s="444"/>
      <c r="K102" s="445"/>
      <c r="L102" s="445"/>
      <c r="M102" s="446"/>
      <c r="N102" s="447"/>
      <c r="O102" s="240"/>
      <c r="P102" s="442"/>
      <c r="Q102" s="31"/>
      <c r="R102" s="31"/>
      <c r="S102" s="31"/>
      <c r="T102" s="31"/>
      <c r="U102" s="31"/>
      <c r="V102" s="31"/>
      <c r="W102" s="31"/>
      <c r="X102" s="4"/>
      <c r="Y102" s="4"/>
      <c r="Z102" s="4"/>
      <c r="AA102" s="4"/>
      <c r="AB102" s="4"/>
      <c r="AC102" s="31"/>
      <c r="AD102" s="31"/>
      <c r="AE102" s="31"/>
      <c r="AF102" s="31"/>
      <c r="AG102" s="4"/>
      <c r="AH102" s="4"/>
      <c r="AI102" s="383"/>
      <c r="AJ102" s="139"/>
      <c r="AK102" s="383"/>
      <c r="AL102" s="139"/>
      <c r="AM102" s="383"/>
      <c r="AN102" s="139"/>
      <c r="AO102" s="383"/>
      <c r="AP102" s="30"/>
      <c r="AQ102" s="383"/>
      <c r="AR102" s="30"/>
      <c r="AS102" s="30"/>
      <c r="AT102" s="30"/>
      <c r="AU102" s="30"/>
      <c r="AV102" s="183"/>
      <c r="AW102" s="183"/>
      <c r="AX102" s="30"/>
      <c r="AY102" s="183"/>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row>
    <row r="103" spans="1:74" ht="15.75" hidden="1" customHeight="1" x14ac:dyDescent="0.25">
      <c r="A103" s="31"/>
      <c r="B103" s="31"/>
      <c r="C103" s="266"/>
      <c r="D103" s="31"/>
      <c r="E103" s="31"/>
      <c r="F103" s="31"/>
      <c r="G103" s="32"/>
      <c r="H103" s="443"/>
      <c r="I103" s="444"/>
      <c r="J103" s="444"/>
      <c r="K103" s="445"/>
      <c r="L103" s="445"/>
      <c r="M103" s="446"/>
      <c r="N103" s="448"/>
      <c r="O103" s="240"/>
      <c r="P103" s="442"/>
      <c r="Q103" s="31"/>
      <c r="R103" s="31"/>
      <c r="S103" s="31"/>
      <c r="T103" s="31"/>
      <c r="U103" s="31"/>
      <c r="V103" s="31"/>
      <c r="W103" s="31"/>
      <c r="X103" s="4"/>
      <c r="Y103" s="4"/>
      <c r="Z103" s="4"/>
      <c r="AA103" s="4"/>
      <c r="AB103" s="4"/>
      <c r="AC103" s="31"/>
      <c r="AD103" s="31"/>
      <c r="AE103" s="31"/>
      <c r="AF103" s="31"/>
      <c r="AG103" s="4"/>
      <c r="AH103" s="4"/>
      <c r="AI103" s="383"/>
      <c r="AJ103" s="139"/>
      <c r="AK103" s="383"/>
      <c r="AL103" s="139"/>
      <c r="AM103" s="383"/>
      <c r="AN103" s="139"/>
      <c r="AO103" s="383"/>
      <c r="AP103" s="30"/>
      <c r="AQ103" s="383"/>
      <c r="AR103" s="30"/>
      <c r="AS103" s="30"/>
      <c r="AT103" s="30"/>
      <c r="AU103" s="30"/>
      <c r="AV103" s="183"/>
      <c r="AW103" s="183"/>
      <c r="AX103" s="30"/>
      <c r="AY103" s="183"/>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row>
    <row r="104" spans="1:74" ht="15.75" customHeight="1" x14ac:dyDescent="0.25">
      <c r="A104" s="31"/>
      <c r="B104" s="31"/>
      <c r="C104" s="266"/>
      <c r="D104" s="31"/>
      <c r="E104" s="31"/>
      <c r="F104" s="31"/>
      <c r="G104" s="32"/>
      <c r="H104" s="375" t="s">
        <v>144</v>
      </c>
      <c r="I104" s="376"/>
      <c r="J104" s="376"/>
      <c r="K104" s="377">
        <f t="shared" ref="K104:M104" si="20">SUM(K57:K103)</f>
        <v>70972.34</v>
      </c>
      <c r="L104" s="377">
        <f t="shared" si="20"/>
        <v>71768.313826197365</v>
      </c>
      <c r="M104" s="378">
        <f t="shared" si="20"/>
        <v>795.97382619735663</v>
      </c>
      <c r="N104" s="448">
        <f>L104/K104-1</f>
        <v>1.1215268176269388E-2</v>
      </c>
      <c r="O104" s="380">
        <f ca="1">AVERAGE(O57:O102)</f>
        <v>25.11627906976744</v>
      </c>
      <c r="P104" s="442"/>
      <c r="Q104" s="31"/>
      <c r="R104" s="31"/>
      <c r="S104" s="31"/>
      <c r="T104" s="31"/>
      <c r="U104" s="31"/>
      <c r="V104" s="31"/>
      <c r="W104" s="31"/>
      <c r="X104" s="4"/>
      <c r="Y104" s="4"/>
      <c r="Z104" s="4"/>
      <c r="AA104" s="4"/>
      <c r="AB104" s="4"/>
      <c r="AC104" s="31"/>
      <c r="AD104" s="31"/>
      <c r="AE104" s="31"/>
      <c r="AF104" s="31"/>
      <c r="AG104" s="4"/>
      <c r="AH104" s="4"/>
      <c r="AI104" s="139"/>
      <c r="AJ104" s="139"/>
      <c r="AK104" s="139"/>
      <c r="AL104" s="139"/>
      <c r="AM104" s="139"/>
      <c r="AN104" s="139"/>
      <c r="AO104" s="139"/>
      <c r="AP104" s="30"/>
      <c r="AQ104" s="139"/>
      <c r="AR104" s="30"/>
      <c r="AS104" s="30"/>
      <c r="AT104" s="30"/>
      <c r="AU104" s="30"/>
      <c r="AV104" s="30"/>
      <c r="AW104" s="30"/>
      <c r="AX104" s="30"/>
      <c r="AY104" s="30"/>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row>
    <row r="105" spans="1:74" ht="15.75" customHeight="1" x14ac:dyDescent="0.25">
      <c r="A105" s="31"/>
      <c r="B105" s="31"/>
      <c r="C105" s="266"/>
      <c r="D105" s="31"/>
      <c r="E105" s="31"/>
      <c r="F105" s="31"/>
      <c r="G105" s="32"/>
      <c r="H105" s="32"/>
      <c r="I105" s="31"/>
      <c r="J105" s="31"/>
      <c r="K105" s="31"/>
      <c r="L105" s="32"/>
      <c r="M105" s="31"/>
      <c r="N105" s="31"/>
      <c r="O105" s="31"/>
      <c r="P105" s="31"/>
      <c r="Q105" s="31"/>
      <c r="R105" s="31"/>
      <c r="S105" s="31"/>
      <c r="T105" s="31"/>
      <c r="U105" s="31"/>
      <c r="V105" s="31"/>
      <c r="W105" s="31"/>
      <c r="X105" s="4"/>
      <c r="Y105" s="4"/>
      <c r="Z105" s="4"/>
      <c r="AA105" s="4"/>
      <c r="AB105" s="4"/>
      <c r="AC105" s="31"/>
      <c r="AD105" s="31"/>
      <c r="AE105" s="31"/>
      <c r="AF105" s="31"/>
      <c r="AG105" s="4"/>
      <c r="AH105" s="4"/>
      <c r="AI105" s="139"/>
      <c r="AJ105" s="139"/>
      <c r="AK105" s="139"/>
      <c r="AL105" s="139"/>
      <c r="AM105" s="139"/>
      <c r="AN105" s="139"/>
      <c r="AO105" s="139"/>
      <c r="AP105" s="30"/>
      <c r="AQ105" s="139"/>
      <c r="AR105" s="30"/>
      <c r="AS105" s="30"/>
      <c r="AT105" s="30"/>
      <c r="AU105" s="30"/>
      <c r="AV105" s="30"/>
      <c r="AW105" s="30"/>
      <c r="AX105" s="30"/>
      <c r="AY105" s="30"/>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row>
    <row r="106" spans="1:74" ht="15.75" customHeight="1" x14ac:dyDescent="0.25">
      <c r="A106" s="31"/>
      <c r="B106" s="31"/>
      <c r="C106" s="266"/>
      <c r="D106" s="31"/>
      <c r="E106" s="31"/>
      <c r="F106" s="31"/>
      <c r="G106" s="32"/>
      <c r="H106" s="32"/>
      <c r="I106" s="31"/>
      <c r="J106" s="31"/>
      <c r="K106" s="31"/>
      <c r="L106" s="32"/>
      <c r="M106" s="31"/>
      <c r="N106" s="31"/>
      <c r="O106" s="31"/>
      <c r="P106" s="31"/>
      <c r="Q106" s="31"/>
      <c r="R106" s="31"/>
      <c r="S106" s="31"/>
      <c r="T106" s="31"/>
      <c r="U106" s="31"/>
      <c r="V106" s="31"/>
      <c r="W106" s="31"/>
      <c r="X106" s="31"/>
      <c r="Y106" s="31"/>
      <c r="Z106" s="31"/>
      <c r="AA106" s="31"/>
      <c r="AB106" s="31"/>
      <c r="AC106" s="31"/>
      <c r="AD106" s="31"/>
      <c r="AE106" s="31"/>
      <c r="AF106" s="31"/>
      <c r="AG106" s="4"/>
      <c r="AH106" s="4"/>
      <c r="AI106" s="139"/>
      <c r="AJ106" s="139"/>
      <c r="AK106" s="139"/>
      <c r="AL106" s="139"/>
      <c r="AM106" s="139"/>
      <c r="AN106" s="139"/>
      <c r="AO106" s="139"/>
      <c r="AP106" s="30"/>
      <c r="AQ106" s="139"/>
      <c r="AR106" s="30"/>
      <c r="AS106" s="30"/>
      <c r="AT106" s="30"/>
      <c r="AU106" s="30"/>
      <c r="AV106" s="30"/>
      <c r="AW106" s="30"/>
      <c r="AX106" s="30"/>
      <c r="AY106" s="30"/>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row>
    <row r="107" spans="1:74" ht="15.75" customHeight="1" x14ac:dyDescent="0.25">
      <c r="A107" s="31"/>
      <c r="B107" s="31"/>
      <c r="C107" s="266"/>
      <c r="D107" s="31"/>
      <c r="E107" s="31"/>
      <c r="F107" s="31"/>
      <c r="G107" s="32"/>
      <c r="H107" s="32"/>
      <c r="I107" s="31"/>
      <c r="J107" s="31"/>
      <c r="K107" s="31"/>
      <c r="L107" s="32"/>
      <c r="M107" s="31"/>
      <c r="N107" s="31"/>
      <c r="O107" s="31"/>
      <c r="P107" s="31"/>
      <c r="Q107" s="31"/>
      <c r="R107" s="31"/>
      <c r="S107" s="31"/>
      <c r="T107" s="31"/>
      <c r="U107" s="31"/>
      <c r="V107" s="31"/>
      <c r="W107" s="31"/>
      <c r="X107" s="31"/>
      <c r="Y107" s="31"/>
      <c r="Z107" s="31"/>
      <c r="AA107" s="31"/>
      <c r="AB107" s="31"/>
      <c r="AC107" s="31"/>
      <c r="AD107" s="31"/>
      <c r="AE107" s="31"/>
      <c r="AF107" s="31"/>
      <c r="AG107" s="4"/>
      <c r="AH107" s="4"/>
      <c r="AI107" s="139"/>
      <c r="AJ107" s="139"/>
      <c r="AK107" s="139"/>
      <c r="AL107" s="139"/>
      <c r="AM107" s="139"/>
      <c r="AN107" s="139"/>
      <c r="AO107" s="139"/>
      <c r="AP107" s="30"/>
      <c r="AQ107" s="139"/>
      <c r="AR107" s="30"/>
      <c r="AS107" s="30"/>
      <c r="AT107" s="30"/>
      <c r="AU107" s="30"/>
      <c r="AV107" s="30"/>
      <c r="AW107" s="30"/>
      <c r="AX107" s="30"/>
      <c r="AY107" s="30"/>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row>
    <row r="108" spans="1:74" ht="15.75" customHeight="1" x14ac:dyDescent="0.25">
      <c r="A108" s="31"/>
      <c r="B108" s="31"/>
      <c r="C108" s="266"/>
      <c r="D108" s="31"/>
      <c r="E108" s="31"/>
      <c r="F108" s="31"/>
      <c r="G108" s="32"/>
      <c r="H108" s="32"/>
      <c r="I108" s="31"/>
      <c r="J108" s="31"/>
      <c r="K108" s="31"/>
      <c r="L108" s="32"/>
      <c r="M108" s="31"/>
      <c r="N108" s="31"/>
      <c r="O108" s="31"/>
      <c r="P108" s="31"/>
      <c r="Q108" s="31"/>
      <c r="R108" s="31"/>
      <c r="S108" s="31"/>
      <c r="T108" s="31"/>
      <c r="U108" s="31"/>
      <c r="V108" s="31"/>
      <c r="W108" s="31"/>
      <c r="X108" s="31"/>
      <c r="Y108" s="31"/>
      <c r="Z108" s="31"/>
      <c r="AA108" s="31"/>
      <c r="AB108" s="31"/>
      <c r="AC108" s="31"/>
      <c r="AD108" s="31"/>
      <c r="AE108" s="31"/>
      <c r="AF108" s="31"/>
      <c r="AG108" s="4"/>
      <c r="AH108" s="4"/>
      <c r="AI108" s="139"/>
      <c r="AJ108" s="139"/>
      <c r="AK108" s="139"/>
      <c r="AL108" s="139"/>
      <c r="AM108" s="139"/>
      <c r="AN108" s="139"/>
      <c r="AO108" s="139"/>
      <c r="AP108" s="30"/>
      <c r="AQ108" s="139"/>
      <c r="AR108" s="30"/>
      <c r="AS108" s="30"/>
      <c r="AT108" s="30"/>
      <c r="AU108" s="30"/>
      <c r="AV108" s="30"/>
      <c r="AW108" s="30"/>
      <c r="AX108" s="30"/>
      <c r="AY108" s="30"/>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row>
    <row r="109" spans="1:74" ht="15.75" customHeight="1" x14ac:dyDescent="0.25">
      <c r="A109" s="31"/>
      <c r="B109" s="31"/>
      <c r="C109" s="266"/>
      <c r="D109" s="31"/>
      <c r="E109" s="31"/>
      <c r="F109" s="31"/>
      <c r="G109" s="32"/>
      <c r="H109" s="32"/>
      <c r="I109" s="31"/>
      <c r="J109" s="31"/>
      <c r="K109" s="31"/>
      <c r="L109" s="32"/>
      <c r="M109" s="31"/>
      <c r="N109" s="31"/>
      <c r="O109" s="31"/>
      <c r="P109" s="31"/>
      <c r="Q109" s="31"/>
      <c r="R109" s="31"/>
      <c r="S109" s="31"/>
      <c r="T109" s="31"/>
      <c r="U109" s="31"/>
      <c r="V109" s="31"/>
      <c r="W109" s="31"/>
      <c r="X109" s="31"/>
      <c r="Y109" s="31"/>
      <c r="Z109" s="31"/>
      <c r="AA109" s="31"/>
      <c r="AB109" s="31"/>
      <c r="AC109" s="31"/>
      <c r="AD109" s="31"/>
      <c r="AE109" s="31"/>
      <c r="AF109" s="31"/>
      <c r="AG109" s="4"/>
      <c r="AH109" s="4"/>
      <c r="AI109" s="139"/>
      <c r="AJ109" s="139"/>
      <c r="AK109" s="139"/>
      <c r="AL109" s="139"/>
      <c r="AM109" s="139"/>
      <c r="AN109" s="139"/>
      <c r="AO109" s="139"/>
      <c r="AP109" s="30"/>
      <c r="AQ109" s="139"/>
      <c r="AR109" s="30"/>
      <c r="AS109" s="139"/>
      <c r="AT109" s="30"/>
      <c r="AU109" s="139"/>
      <c r="AV109" s="30"/>
      <c r="AW109" s="82"/>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row>
    <row r="110" spans="1:74" ht="15.75" customHeight="1" x14ac:dyDescent="0.25">
      <c r="A110" s="31"/>
      <c r="B110" s="31"/>
      <c r="C110" s="266"/>
      <c r="D110" s="31"/>
      <c r="E110" s="31"/>
      <c r="F110" s="31"/>
      <c r="G110" s="32"/>
      <c r="H110" s="32"/>
      <c r="I110" s="31"/>
      <c r="J110" s="31"/>
      <c r="K110" s="31"/>
      <c r="L110" s="32"/>
      <c r="M110" s="31"/>
      <c r="N110" s="31"/>
      <c r="O110" s="31"/>
      <c r="P110" s="31"/>
      <c r="Q110" s="31"/>
      <c r="R110" s="31"/>
      <c r="S110" s="31"/>
      <c r="T110" s="31"/>
      <c r="U110" s="31"/>
      <c r="V110" s="31"/>
      <c r="W110" s="31"/>
      <c r="X110" s="31"/>
      <c r="Y110" s="31"/>
      <c r="Z110" s="31"/>
      <c r="AA110" s="31"/>
      <c r="AB110" s="31"/>
      <c r="AC110" s="31"/>
      <c r="AD110" s="31"/>
      <c r="AE110" s="31"/>
      <c r="AF110" s="31"/>
      <c r="AG110" s="4"/>
      <c r="AH110" s="4"/>
      <c r="AI110" s="139"/>
      <c r="AJ110" s="139"/>
      <c r="AK110" s="139"/>
      <c r="AL110" s="139"/>
      <c r="AM110" s="139"/>
      <c r="AN110" s="139"/>
      <c r="AO110" s="139"/>
      <c r="AP110" s="30"/>
      <c r="AQ110" s="139"/>
      <c r="AR110" s="30"/>
      <c r="AS110" s="139"/>
      <c r="AT110" s="30"/>
      <c r="AU110" s="139"/>
      <c r="AV110" s="30"/>
      <c r="AW110" s="82"/>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row>
    <row r="111" spans="1:74" ht="15.75" customHeight="1" x14ac:dyDescent="0.25">
      <c r="A111" s="31"/>
      <c r="B111" s="31"/>
      <c r="C111" s="266"/>
      <c r="D111" s="31"/>
      <c r="E111" s="31"/>
      <c r="F111" s="31"/>
      <c r="G111" s="32"/>
      <c r="H111" s="32"/>
      <c r="I111" s="31"/>
      <c r="J111" s="31"/>
      <c r="K111" s="31"/>
      <c r="L111" s="32"/>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row>
    <row r="112" spans="1:74" ht="15.75" customHeight="1" x14ac:dyDescent="0.25">
      <c r="A112" s="31"/>
      <c r="B112" s="31"/>
      <c r="C112" s="266"/>
      <c r="D112" s="31"/>
      <c r="E112" s="31"/>
      <c r="F112" s="31"/>
      <c r="G112" s="32"/>
      <c r="H112" s="32"/>
      <c r="I112" s="31"/>
      <c r="J112" s="31"/>
      <c r="K112" s="31"/>
      <c r="L112" s="32"/>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row>
    <row r="113" spans="1:74" ht="15.75" customHeight="1" x14ac:dyDescent="0.25">
      <c r="A113" s="31"/>
      <c r="B113" s="31"/>
      <c r="C113" s="266"/>
      <c r="D113" s="31"/>
      <c r="E113" s="31"/>
      <c r="F113" s="31"/>
      <c r="G113" s="32"/>
      <c r="H113" s="32"/>
      <c r="I113" s="31"/>
      <c r="J113" s="31"/>
      <c r="K113" s="31"/>
      <c r="L113" s="32"/>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row>
    <row r="114" spans="1:74" ht="15.75" customHeight="1" x14ac:dyDescent="0.25">
      <c r="A114" s="31"/>
      <c r="B114" s="31"/>
      <c r="C114" s="266"/>
      <c r="D114" s="31"/>
      <c r="E114" s="31"/>
      <c r="F114" s="31"/>
      <c r="G114" s="32"/>
      <c r="H114" s="32"/>
      <c r="I114" s="31"/>
      <c r="J114" s="31"/>
      <c r="K114" s="31"/>
      <c r="L114" s="32"/>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row>
    <row r="115" spans="1:74" ht="15.75" customHeight="1" x14ac:dyDescent="0.25">
      <c r="A115" s="31"/>
      <c r="B115" s="31"/>
      <c r="C115" s="266"/>
      <c r="D115" s="31"/>
      <c r="E115" s="31"/>
      <c r="F115" s="31"/>
      <c r="G115" s="32"/>
      <c r="H115" s="32"/>
      <c r="I115" s="31"/>
      <c r="J115" s="31"/>
      <c r="K115" s="31"/>
      <c r="L115" s="32"/>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row>
    <row r="116" spans="1:74" ht="15.75" customHeight="1" x14ac:dyDescent="0.25">
      <c r="A116" s="31"/>
      <c r="B116" s="31"/>
      <c r="C116" s="266"/>
      <c r="D116" s="31"/>
      <c r="E116" s="31"/>
      <c r="F116" s="31"/>
      <c r="G116" s="32"/>
      <c r="H116" s="32"/>
      <c r="I116" s="31"/>
      <c r="J116" s="31"/>
      <c r="K116" s="31"/>
      <c r="L116" s="32"/>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row>
    <row r="117" spans="1:74" ht="15.75" customHeight="1" x14ac:dyDescent="0.25">
      <c r="A117" s="31"/>
      <c r="B117" s="31"/>
      <c r="C117" s="266"/>
      <c r="D117" s="31"/>
      <c r="E117" s="31"/>
      <c r="F117" s="31"/>
      <c r="G117" s="32"/>
      <c r="H117" s="32"/>
      <c r="I117" s="31"/>
      <c r="J117" s="31"/>
      <c r="K117" s="31"/>
      <c r="L117" s="32"/>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row>
    <row r="118" spans="1:74" ht="15.75" customHeight="1" x14ac:dyDescent="0.25">
      <c r="A118" s="31"/>
      <c r="B118" s="31"/>
      <c r="C118" s="266"/>
      <c r="D118" s="31"/>
      <c r="E118" s="31"/>
      <c r="F118" s="31"/>
      <c r="G118" s="32"/>
      <c r="H118" s="32"/>
      <c r="I118" s="31"/>
      <c r="J118" s="31"/>
      <c r="K118" s="31"/>
      <c r="L118" s="32"/>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row>
    <row r="119" spans="1:74" ht="15.75" customHeight="1" x14ac:dyDescent="0.25">
      <c r="A119" s="31"/>
      <c r="B119" s="31"/>
      <c r="C119" s="266"/>
      <c r="D119" s="31"/>
      <c r="E119" s="31"/>
      <c r="F119" s="31"/>
      <c r="G119" s="32"/>
      <c r="H119" s="32"/>
      <c r="I119" s="31"/>
      <c r="J119" s="31"/>
      <c r="K119" s="31"/>
      <c r="L119" s="32"/>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row>
    <row r="120" spans="1:74" ht="15.75" customHeight="1" x14ac:dyDescent="0.25">
      <c r="A120" s="31"/>
      <c r="B120" s="31"/>
      <c r="C120" s="266"/>
      <c r="D120" s="31"/>
      <c r="E120" s="31"/>
      <c r="F120" s="31"/>
      <c r="G120" s="32"/>
      <c r="H120" s="32"/>
      <c r="I120" s="31"/>
      <c r="J120" s="31"/>
      <c r="K120" s="31"/>
      <c r="L120" s="32"/>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row>
    <row r="121" spans="1:74" ht="15.75" customHeight="1" x14ac:dyDescent="0.25">
      <c r="A121" s="31"/>
      <c r="B121" s="31"/>
      <c r="C121" s="266"/>
      <c r="D121" s="31"/>
      <c r="E121" s="31"/>
      <c r="F121" s="31"/>
      <c r="G121" s="32"/>
      <c r="H121" s="32"/>
      <c r="I121" s="31"/>
      <c r="J121" s="31"/>
      <c r="K121" s="31"/>
      <c r="L121" s="32"/>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row>
    <row r="122" spans="1:74" ht="15.75" customHeight="1" x14ac:dyDescent="0.25">
      <c r="A122" s="31"/>
      <c r="B122" s="31"/>
      <c r="C122" s="266"/>
      <c r="D122" s="31"/>
      <c r="E122" s="31"/>
      <c r="F122" s="31"/>
      <c r="G122" s="32"/>
      <c r="H122" s="32"/>
      <c r="I122" s="31"/>
      <c r="J122" s="31"/>
      <c r="K122" s="31"/>
      <c r="L122" s="32"/>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row>
    <row r="123" spans="1:74" ht="15.75" customHeight="1" x14ac:dyDescent="0.25">
      <c r="A123" s="31"/>
      <c r="B123" s="31"/>
      <c r="C123" s="266"/>
      <c r="D123" s="31"/>
      <c r="E123" s="31"/>
      <c r="F123" s="31"/>
      <c r="G123" s="32"/>
      <c r="H123" s="32"/>
      <c r="I123" s="31"/>
      <c r="J123" s="31"/>
      <c r="K123" s="31"/>
      <c r="L123" s="32"/>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row>
    <row r="124" spans="1:74" ht="15.75" customHeight="1" x14ac:dyDescent="0.25">
      <c r="A124" s="31"/>
      <c r="B124" s="31"/>
      <c r="C124" s="266"/>
      <c r="D124" s="31"/>
      <c r="E124" s="31"/>
      <c r="F124" s="31"/>
      <c r="G124" s="32"/>
      <c r="H124" s="32"/>
      <c r="I124" s="31"/>
      <c r="J124" s="31"/>
      <c r="K124" s="31"/>
      <c r="L124" s="32"/>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row>
    <row r="125" spans="1:74" ht="15.75" customHeight="1" x14ac:dyDescent="0.25">
      <c r="A125" s="31"/>
      <c r="B125" s="31"/>
      <c r="C125" s="266"/>
      <c r="D125" s="31"/>
      <c r="E125" s="31"/>
      <c r="F125" s="31"/>
      <c r="G125" s="32"/>
      <c r="H125" s="32"/>
      <c r="I125" s="31"/>
      <c r="J125" s="31"/>
      <c r="K125" s="31"/>
      <c r="L125" s="32"/>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row>
    <row r="126" spans="1:74" ht="15.75" customHeight="1" x14ac:dyDescent="0.25">
      <c r="A126" s="31"/>
      <c r="B126" s="31"/>
      <c r="C126" s="266"/>
      <c r="D126" s="31"/>
      <c r="E126" s="31"/>
      <c r="F126" s="31"/>
      <c r="G126" s="32"/>
      <c r="H126" s="32"/>
      <c r="I126" s="31"/>
      <c r="J126" s="31"/>
      <c r="K126" s="31"/>
      <c r="L126" s="32"/>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row>
    <row r="127" spans="1:74" ht="15.75" customHeight="1" x14ac:dyDescent="0.25">
      <c r="A127" s="31"/>
      <c r="B127" s="31"/>
      <c r="C127" s="266"/>
      <c r="D127" s="31"/>
      <c r="E127" s="31"/>
      <c r="F127" s="31"/>
      <c r="G127" s="32"/>
      <c r="H127" s="32"/>
      <c r="I127" s="31"/>
      <c r="J127" s="31"/>
      <c r="K127" s="31"/>
      <c r="L127" s="32"/>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row>
    <row r="128" spans="1:74" ht="15.75" customHeight="1" x14ac:dyDescent="0.25">
      <c r="A128" s="31"/>
      <c r="B128" s="31"/>
      <c r="C128" s="266"/>
      <c r="D128" s="31"/>
      <c r="E128" s="31"/>
      <c r="F128" s="31"/>
      <c r="G128" s="32"/>
      <c r="H128" s="32"/>
      <c r="I128" s="31"/>
      <c r="J128" s="31"/>
      <c r="K128" s="31"/>
      <c r="L128" s="32"/>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row>
    <row r="129" spans="1:74" ht="15.75" customHeight="1" x14ac:dyDescent="0.25">
      <c r="A129" s="31"/>
      <c r="B129" s="31"/>
      <c r="C129" s="266"/>
      <c r="D129" s="31"/>
      <c r="E129" s="31"/>
      <c r="F129" s="31"/>
      <c r="G129" s="32"/>
      <c r="H129" s="32"/>
      <c r="I129" s="31"/>
      <c r="J129" s="31"/>
      <c r="K129" s="31"/>
      <c r="L129" s="32"/>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row>
    <row r="130" spans="1:74" ht="15.75" customHeight="1" x14ac:dyDescent="0.25">
      <c r="A130" s="31"/>
      <c r="B130" s="31"/>
      <c r="C130" s="266"/>
      <c r="D130" s="31"/>
      <c r="E130" s="31"/>
      <c r="F130" s="31"/>
      <c r="G130" s="32"/>
      <c r="H130" s="32"/>
      <c r="I130" s="31"/>
      <c r="J130" s="31"/>
      <c r="K130" s="31"/>
      <c r="L130" s="32"/>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row>
    <row r="131" spans="1:74" ht="15.75" customHeight="1" x14ac:dyDescent="0.25">
      <c r="A131" s="31"/>
      <c r="B131" s="31"/>
      <c r="C131" s="266"/>
      <c r="D131" s="31"/>
      <c r="E131" s="31"/>
      <c r="F131" s="31"/>
      <c r="G131" s="32"/>
      <c r="H131" s="32"/>
      <c r="I131" s="31"/>
      <c r="J131" s="31"/>
      <c r="K131" s="31"/>
      <c r="L131" s="32"/>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row>
    <row r="132" spans="1:74" ht="15.75" customHeight="1" x14ac:dyDescent="0.25">
      <c r="A132" s="31"/>
      <c r="B132" s="31"/>
      <c r="C132" s="266"/>
      <c r="D132" s="31"/>
      <c r="E132" s="31"/>
      <c r="F132" s="31"/>
      <c r="G132" s="32"/>
      <c r="H132" s="32"/>
      <c r="I132" s="31"/>
      <c r="J132" s="31"/>
      <c r="K132" s="31"/>
      <c r="L132" s="32"/>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row>
    <row r="133" spans="1:74" ht="15.75" customHeight="1" x14ac:dyDescent="0.25">
      <c r="A133" s="31"/>
      <c r="B133" s="31"/>
      <c r="C133" s="266"/>
      <c r="D133" s="31"/>
      <c r="E133" s="31"/>
      <c r="F133" s="31"/>
      <c r="G133" s="32"/>
      <c r="H133" s="32"/>
      <c r="I133" s="31"/>
      <c r="J133" s="31"/>
      <c r="K133" s="31"/>
      <c r="L133" s="32"/>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row>
    <row r="134" spans="1:74" ht="15.75" customHeight="1" x14ac:dyDescent="0.25">
      <c r="A134" s="31"/>
      <c r="B134" s="31"/>
      <c r="C134" s="266"/>
      <c r="D134" s="31"/>
      <c r="E134" s="31"/>
      <c r="F134" s="31"/>
      <c r="G134" s="32"/>
      <c r="H134" s="32"/>
      <c r="I134" s="31"/>
      <c r="J134" s="31"/>
      <c r="K134" s="31"/>
      <c r="L134" s="32"/>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row>
    <row r="135" spans="1:74" ht="15.75" customHeight="1" x14ac:dyDescent="0.25">
      <c r="A135" s="31"/>
      <c r="B135" s="31"/>
      <c r="C135" s="266"/>
      <c r="D135" s="31"/>
      <c r="E135" s="31"/>
      <c r="F135" s="31"/>
      <c r="G135" s="32"/>
      <c r="H135" s="32"/>
      <c r="I135" s="31"/>
      <c r="J135" s="31"/>
      <c r="K135" s="31"/>
      <c r="L135" s="32"/>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row>
    <row r="136" spans="1:74" ht="15.75" customHeight="1" x14ac:dyDescent="0.25">
      <c r="A136" s="31"/>
      <c r="B136" s="31"/>
      <c r="C136" s="266"/>
      <c r="D136" s="31"/>
      <c r="E136" s="31"/>
      <c r="F136" s="31"/>
      <c r="G136" s="32"/>
      <c r="H136" s="32"/>
      <c r="I136" s="31"/>
      <c r="J136" s="31"/>
      <c r="K136" s="31"/>
      <c r="L136" s="32"/>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row>
    <row r="137" spans="1:74" ht="15.75" customHeight="1" x14ac:dyDescent="0.25">
      <c r="A137" s="31"/>
      <c r="B137" s="31"/>
      <c r="C137" s="266"/>
      <c r="D137" s="31"/>
      <c r="E137" s="31"/>
      <c r="F137" s="31"/>
      <c r="G137" s="32"/>
      <c r="H137" s="32"/>
      <c r="I137" s="31"/>
      <c r="J137" s="31"/>
      <c r="K137" s="31"/>
      <c r="L137" s="32"/>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row>
    <row r="138" spans="1:74" ht="15.75" customHeight="1" x14ac:dyDescent="0.25">
      <c r="A138" s="31"/>
      <c r="B138" s="31"/>
      <c r="C138" s="266"/>
      <c r="D138" s="31"/>
      <c r="E138" s="31"/>
      <c r="F138" s="31"/>
      <c r="G138" s="32"/>
      <c r="H138" s="32"/>
      <c r="I138" s="31"/>
      <c r="J138" s="31"/>
      <c r="K138" s="31"/>
      <c r="L138" s="32"/>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row>
    <row r="139" spans="1:74" ht="15.75" customHeight="1" x14ac:dyDescent="0.25">
      <c r="A139" s="31"/>
      <c r="B139" s="31"/>
      <c r="C139" s="266"/>
      <c r="D139" s="31"/>
      <c r="E139" s="31"/>
      <c r="F139" s="31"/>
      <c r="G139" s="32"/>
      <c r="H139" s="32"/>
      <c r="I139" s="31"/>
      <c r="J139" s="31"/>
      <c r="K139" s="31"/>
      <c r="L139" s="32"/>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row>
    <row r="140" spans="1:74" ht="15.75" customHeight="1" x14ac:dyDescent="0.25">
      <c r="A140" s="31"/>
      <c r="B140" s="31"/>
      <c r="C140" s="266"/>
      <c r="D140" s="31"/>
      <c r="E140" s="31"/>
      <c r="F140" s="31"/>
      <c r="G140" s="32"/>
      <c r="H140" s="32"/>
      <c r="I140" s="31"/>
      <c r="J140" s="31"/>
      <c r="K140" s="31"/>
      <c r="L140" s="32"/>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row>
    <row r="141" spans="1:74" ht="15.75" customHeight="1" x14ac:dyDescent="0.25">
      <c r="A141" s="31"/>
      <c r="B141" s="31"/>
      <c r="C141" s="266"/>
      <c r="D141" s="31"/>
      <c r="E141" s="31"/>
      <c r="F141" s="31"/>
      <c r="G141" s="32"/>
      <c r="H141" s="32"/>
      <c r="I141" s="31"/>
      <c r="J141" s="31"/>
      <c r="K141" s="31"/>
      <c r="L141" s="32"/>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row>
    <row r="142" spans="1:74" ht="15.75" customHeight="1" x14ac:dyDescent="0.25">
      <c r="A142" s="31"/>
      <c r="B142" s="31"/>
      <c r="C142" s="266"/>
      <c r="D142" s="31"/>
      <c r="E142" s="31"/>
      <c r="F142" s="31"/>
      <c r="G142" s="32"/>
      <c r="H142" s="32"/>
      <c r="I142" s="31"/>
      <c r="J142" s="31"/>
      <c r="K142" s="31"/>
      <c r="L142" s="32"/>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row>
    <row r="143" spans="1:74" ht="15.75" customHeight="1" x14ac:dyDescent="0.25">
      <c r="A143" s="31"/>
      <c r="B143" s="31"/>
      <c r="C143" s="266"/>
      <c r="D143" s="31"/>
      <c r="E143" s="31"/>
      <c r="F143" s="31"/>
      <c r="G143" s="32"/>
      <c r="H143" s="32"/>
      <c r="I143" s="31"/>
      <c r="J143" s="31"/>
      <c r="K143" s="31"/>
      <c r="L143" s="32"/>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row>
    <row r="144" spans="1:74" ht="15.75" customHeight="1" x14ac:dyDescent="0.25">
      <c r="A144" s="31"/>
      <c r="B144" s="31"/>
      <c r="C144" s="266"/>
      <c r="D144" s="31"/>
      <c r="E144" s="31"/>
      <c r="F144" s="31"/>
      <c r="G144" s="32"/>
      <c r="H144" s="32"/>
      <c r="I144" s="31"/>
      <c r="J144" s="31"/>
      <c r="K144" s="31"/>
      <c r="L144" s="32"/>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row>
    <row r="145" spans="1:74" ht="15.75" customHeight="1" x14ac:dyDescent="0.25">
      <c r="A145" s="31"/>
      <c r="B145" s="31"/>
      <c r="C145" s="266"/>
      <c r="D145" s="31"/>
      <c r="E145" s="31"/>
      <c r="F145" s="31"/>
      <c r="G145" s="32"/>
      <c r="H145" s="32"/>
      <c r="I145" s="31"/>
      <c r="J145" s="31"/>
      <c r="K145" s="31"/>
      <c r="L145" s="32"/>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row>
    <row r="146" spans="1:74" ht="15.75" customHeight="1" x14ac:dyDescent="0.25">
      <c r="A146" s="31"/>
      <c r="B146" s="31"/>
      <c r="C146" s="266"/>
      <c r="D146" s="31"/>
      <c r="E146" s="31"/>
      <c r="F146" s="31"/>
      <c r="G146" s="32"/>
      <c r="H146" s="32"/>
      <c r="I146" s="31"/>
      <c r="J146" s="31"/>
      <c r="K146" s="31"/>
      <c r="L146" s="32"/>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row>
    <row r="147" spans="1:74" ht="15.75" customHeight="1" x14ac:dyDescent="0.25">
      <c r="A147" s="31"/>
      <c r="B147" s="31"/>
      <c r="C147" s="266"/>
      <c r="D147" s="31"/>
      <c r="E147" s="31"/>
      <c r="F147" s="31"/>
      <c r="G147" s="32"/>
      <c r="H147" s="32"/>
      <c r="I147" s="31"/>
      <c r="J147" s="31"/>
      <c r="K147" s="31"/>
      <c r="L147" s="32"/>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row>
    <row r="148" spans="1:74" ht="15.75" customHeight="1" x14ac:dyDescent="0.25">
      <c r="A148" s="31"/>
      <c r="B148" s="31"/>
      <c r="C148" s="266"/>
      <c r="D148" s="31"/>
      <c r="E148" s="31"/>
      <c r="F148" s="31"/>
      <c r="G148" s="32"/>
      <c r="H148" s="32"/>
      <c r="I148" s="31"/>
      <c r="J148" s="31"/>
      <c r="K148" s="31"/>
      <c r="L148" s="32"/>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row>
    <row r="149" spans="1:74" ht="15.75" customHeight="1" x14ac:dyDescent="0.25">
      <c r="A149" s="31"/>
      <c r="B149" s="31"/>
      <c r="C149" s="266"/>
      <c r="D149" s="31"/>
      <c r="E149" s="31"/>
      <c r="F149" s="31"/>
      <c r="G149" s="32"/>
      <c r="H149" s="32"/>
      <c r="I149" s="31"/>
      <c r="J149" s="31"/>
      <c r="K149" s="31"/>
      <c r="L149" s="32"/>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row>
    <row r="150" spans="1:74" ht="15.75" customHeight="1" x14ac:dyDescent="0.25">
      <c r="A150" s="31"/>
      <c r="B150" s="31"/>
      <c r="C150" s="266"/>
      <c r="D150" s="31"/>
      <c r="E150" s="31"/>
      <c r="F150" s="31"/>
      <c r="G150" s="32"/>
      <c r="H150" s="32"/>
      <c r="I150" s="31"/>
      <c r="J150" s="31"/>
      <c r="K150" s="31"/>
      <c r="L150" s="32"/>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row>
    <row r="151" spans="1:74" ht="15.75" customHeight="1" x14ac:dyDescent="0.25">
      <c r="A151" s="31"/>
      <c r="B151" s="31"/>
      <c r="C151" s="266"/>
      <c r="D151" s="31"/>
      <c r="E151" s="31"/>
      <c r="F151" s="31"/>
      <c r="G151" s="32"/>
      <c r="H151" s="32"/>
      <c r="I151" s="31"/>
      <c r="J151" s="31"/>
      <c r="K151" s="31"/>
      <c r="L151" s="32"/>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row>
    <row r="152" spans="1:74" ht="15.75" customHeight="1" x14ac:dyDescent="0.25">
      <c r="A152" s="31"/>
      <c r="B152" s="31"/>
      <c r="C152" s="266"/>
      <c r="D152" s="31"/>
      <c r="E152" s="31"/>
      <c r="F152" s="31"/>
      <c r="G152" s="32"/>
      <c r="H152" s="32"/>
      <c r="I152" s="31"/>
      <c r="J152" s="31"/>
      <c r="K152" s="31"/>
      <c r="L152" s="32"/>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row>
    <row r="153" spans="1:74" ht="15.75" customHeight="1" x14ac:dyDescent="0.25">
      <c r="A153" s="31"/>
      <c r="B153" s="31"/>
      <c r="C153" s="266"/>
      <c r="D153" s="31"/>
      <c r="E153" s="31"/>
      <c r="F153" s="31"/>
      <c r="G153" s="32"/>
      <c r="H153" s="32"/>
      <c r="I153" s="31"/>
      <c r="J153" s="31"/>
      <c r="K153" s="31"/>
      <c r="L153" s="32"/>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row>
    <row r="154" spans="1:74" ht="15.75" customHeight="1" x14ac:dyDescent="0.25">
      <c r="A154" s="31"/>
      <c r="B154" s="31"/>
      <c r="C154" s="266"/>
      <c r="D154" s="31"/>
      <c r="E154" s="31"/>
      <c r="F154" s="31"/>
      <c r="G154" s="32"/>
      <c r="H154" s="32"/>
      <c r="I154" s="31"/>
      <c r="J154" s="31"/>
      <c r="K154" s="31"/>
      <c r="L154" s="32"/>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row>
    <row r="155" spans="1:74" ht="15.75" customHeight="1" x14ac:dyDescent="0.25">
      <c r="A155" s="31"/>
      <c r="B155" s="31"/>
      <c r="C155" s="266"/>
      <c r="D155" s="31"/>
      <c r="E155" s="31"/>
      <c r="F155" s="31"/>
      <c r="G155" s="32"/>
      <c r="H155" s="32"/>
      <c r="I155" s="31"/>
      <c r="J155" s="31"/>
      <c r="K155" s="31"/>
      <c r="L155" s="32"/>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row>
    <row r="156" spans="1:74" ht="15.75" customHeight="1" x14ac:dyDescent="0.25">
      <c r="A156" s="31"/>
      <c r="B156" s="31"/>
      <c r="C156" s="266"/>
      <c r="D156" s="31"/>
      <c r="E156" s="31"/>
      <c r="F156" s="31"/>
      <c r="G156" s="32"/>
      <c r="H156" s="32"/>
      <c r="I156" s="31"/>
      <c r="J156" s="31"/>
      <c r="K156" s="31"/>
      <c r="L156" s="32"/>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row>
    <row r="157" spans="1:74" ht="15.75" customHeight="1" x14ac:dyDescent="0.25">
      <c r="A157" s="31"/>
      <c r="B157" s="31"/>
      <c r="C157" s="266"/>
      <c r="D157" s="31"/>
      <c r="E157" s="31"/>
      <c r="F157" s="31"/>
      <c r="G157" s="32"/>
      <c r="H157" s="32"/>
      <c r="I157" s="31"/>
      <c r="J157" s="31"/>
      <c r="K157" s="31"/>
      <c r="L157" s="32"/>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row>
    <row r="158" spans="1:74" ht="15.75" customHeight="1" x14ac:dyDescent="0.25">
      <c r="A158" s="31"/>
      <c r="B158" s="31"/>
      <c r="C158" s="266"/>
      <c r="D158" s="31"/>
      <c r="E158" s="31"/>
      <c r="F158" s="31"/>
      <c r="G158" s="32"/>
      <c r="H158" s="32"/>
      <c r="I158" s="31"/>
      <c r="J158" s="31"/>
      <c r="K158" s="31"/>
      <c r="L158" s="32"/>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row>
    <row r="159" spans="1:74" ht="15.75" customHeight="1" x14ac:dyDescent="0.25">
      <c r="A159" s="31"/>
      <c r="B159" s="31"/>
      <c r="C159" s="266"/>
      <c r="D159" s="31"/>
      <c r="E159" s="31"/>
      <c r="F159" s="31"/>
      <c r="G159" s="32"/>
      <c r="H159" s="32"/>
      <c r="I159" s="31"/>
      <c r="J159" s="31"/>
      <c r="K159" s="31"/>
      <c r="L159" s="32"/>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row>
    <row r="160" spans="1:74" ht="15.75" customHeight="1" x14ac:dyDescent="0.25">
      <c r="A160" s="31"/>
      <c r="B160" s="31"/>
      <c r="C160" s="266"/>
      <c r="D160" s="31"/>
      <c r="E160" s="31"/>
      <c r="F160" s="31"/>
      <c r="G160" s="32"/>
      <c r="H160" s="32"/>
      <c r="I160" s="31"/>
      <c r="J160" s="31"/>
      <c r="K160" s="31"/>
      <c r="L160" s="32"/>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row>
    <row r="161" spans="1:74" ht="15.75" customHeight="1" x14ac:dyDescent="0.25">
      <c r="A161" s="31"/>
      <c r="B161" s="31"/>
      <c r="C161" s="266"/>
      <c r="D161" s="31"/>
      <c r="E161" s="31"/>
      <c r="F161" s="31"/>
      <c r="G161" s="32"/>
      <c r="H161" s="32"/>
      <c r="I161" s="31"/>
      <c r="J161" s="31"/>
      <c r="K161" s="31"/>
      <c r="L161" s="32"/>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row>
    <row r="162" spans="1:74" ht="15.75" customHeight="1" x14ac:dyDescent="0.25">
      <c r="A162" s="31"/>
      <c r="B162" s="31"/>
      <c r="C162" s="266"/>
      <c r="D162" s="31"/>
      <c r="E162" s="31"/>
      <c r="F162" s="31"/>
      <c r="G162" s="32"/>
      <c r="H162" s="32"/>
      <c r="I162" s="31"/>
      <c r="J162" s="31"/>
      <c r="K162" s="31"/>
      <c r="L162" s="32"/>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row>
    <row r="163" spans="1:74" ht="15.75" customHeight="1" x14ac:dyDescent="0.25">
      <c r="A163" s="31"/>
      <c r="B163" s="31"/>
      <c r="C163" s="266"/>
      <c r="D163" s="31"/>
      <c r="E163" s="31"/>
      <c r="F163" s="31"/>
      <c r="G163" s="32"/>
      <c r="H163" s="32"/>
      <c r="I163" s="31"/>
      <c r="J163" s="31"/>
      <c r="K163" s="31"/>
      <c r="L163" s="32"/>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row>
    <row r="164" spans="1:74" ht="15.75" customHeight="1" x14ac:dyDescent="0.25">
      <c r="A164" s="31"/>
      <c r="B164" s="31"/>
      <c r="C164" s="266"/>
      <c r="D164" s="31"/>
      <c r="E164" s="31"/>
      <c r="F164" s="31"/>
      <c r="G164" s="32"/>
      <c r="H164" s="32"/>
      <c r="I164" s="31"/>
      <c r="J164" s="31"/>
      <c r="K164" s="31"/>
      <c r="L164" s="32"/>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row>
    <row r="165" spans="1:74" ht="15.75" customHeight="1" x14ac:dyDescent="0.25">
      <c r="A165" s="31"/>
      <c r="B165" s="31"/>
      <c r="C165" s="266"/>
      <c r="D165" s="31"/>
      <c r="E165" s="31"/>
      <c r="F165" s="31"/>
      <c r="G165" s="32"/>
      <c r="H165" s="32"/>
      <c r="I165" s="31"/>
      <c r="J165" s="31"/>
      <c r="K165" s="31"/>
      <c r="L165" s="32"/>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row>
    <row r="166" spans="1:74" ht="15.75" customHeight="1" x14ac:dyDescent="0.25">
      <c r="A166" s="31"/>
      <c r="B166" s="31"/>
      <c r="C166" s="266"/>
      <c r="D166" s="31"/>
      <c r="E166" s="31"/>
      <c r="F166" s="31"/>
      <c r="G166" s="32"/>
      <c r="H166" s="32"/>
      <c r="I166" s="31"/>
      <c r="J166" s="31"/>
      <c r="K166" s="31"/>
      <c r="L166" s="32"/>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row>
    <row r="167" spans="1:74" ht="15.75" customHeight="1" x14ac:dyDescent="0.25">
      <c r="A167" s="31"/>
      <c r="B167" s="31"/>
      <c r="C167" s="266"/>
      <c r="D167" s="31"/>
      <c r="E167" s="31"/>
      <c r="F167" s="31"/>
      <c r="G167" s="32"/>
      <c r="H167" s="32"/>
      <c r="I167" s="31"/>
      <c r="J167" s="31"/>
      <c r="K167" s="31"/>
      <c r="L167" s="32"/>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c r="BU167" s="31"/>
      <c r="BV167" s="31"/>
    </row>
    <row r="168" spans="1:74" ht="15.75" customHeight="1" x14ac:dyDescent="0.25">
      <c r="A168" s="31"/>
      <c r="B168" s="31"/>
      <c r="C168" s="266"/>
      <c r="D168" s="31"/>
      <c r="E168" s="31"/>
      <c r="F168" s="31"/>
      <c r="G168" s="32"/>
      <c r="H168" s="32"/>
      <c r="I168" s="31"/>
      <c r="J168" s="31"/>
      <c r="K168" s="31"/>
      <c r="L168" s="32"/>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row>
    <row r="169" spans="1:74" ht="15.75" customHeight="1" x14ac:dyDescent="0.25">
      <c r="A169" s="31"/>
      <c r="B169" s="31"/>
      <c r="C169" s="266"/>
      <c r="D169" s="31"/>
      <c r="E169" s="31"/>
      <c r="F169" s="31"/>
      <c r="G169" s="32"/>
      <c r="H169" s="32"/>
      <c r="I169" s="31"/>
      <c r="J169" s="31"/>
      <c r="K169" s="31"/>
      <c r="L169" s="32"/>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c r="BU169" s="31"/>
      <c r="BV169" s="31"/>
    </row>
    <row r="170" spans="1:74" ht="15.75" customHeight="1" x14ac:dyDescent="0.25">
      <c r="A170" s="31"/>
      <c r="B170" s="31"/>
      <c r="C170" s="266"/>
      <c r="D170" s="31"/>
      <c r="E170" s="31"/>
      <c r="F170" s="31"/>
      <c r="G170" s="32"/>
      <c r="H170" s="32"/>
      <c r="I170" s="31"/>
      <c r="J170" s="31"/>
      <c r="K170" s="31"/>
      <c r="L170" s="32"/>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row>
    <row r="171" spans="1:74" ht="15.75" customHeight="1" x14ac:dyDescent="0.25">
      <c r="A171" s="31"/>
      <c r="B171" s="31"/>
      <c r="C171" s="266"/>
      <c r="D171" s="31"/>
      <c r="E171" s="31"/>
      <c r="F171" s="31"/>
      <c r="G171" s="32"/>
      <c r="H171" s="32"/>
      <c r="I171" s="31"/>
      <c r="J171" s="31"/>
      <c r="K171" s="31"/>
      <c r="L171" s="32"/>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c r="BU171" s="31"/>
      <c r="BV171" s="31"/>
    </row>
    <row r="172" spans="1:74" ht="15.75" customHeight="1" x14ac:dyDescent="0.25">
      <c r="A172" s="31"/>
      <c r="B172" s="31"/>
      <c r="C172" s="266"/>
      <c r="D172" s="31"/>
      <c r="E172" s="31"/>
      <c r="F172" s="31"/>
      <c r="G172" s="32"/>
      <c r="H172" s="32"/>
      <c r="I172" s="31"/>
      <c r="J172" s="31"/>
      <c r="K172" s="31"/>
      <c r="L172" s="32"/>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row>
    <row r="173" spans="1:74" ht="15.75" customHeight="1" x14ac:dyDescent="0.25">
      <c r="A173" s="31"/>
      <c r="B173" s="31"/>
      <c r="C173" s="266"/>
      <c r="D173" s="31"/>
      <c r="E173" s="31"/>
      <c r="F173" s="31"/>
      <c r="G173" s="32"/>
      <c r="H173" s="32"/>
      <c r="I173" s="31"/>
      <c r="J173" s="31"/>
      <c r="K173" s="31"/>
      <c r="L173" s="32"/>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row>
    <row r="174" spans="1:74" ht="15.75" customHeight="1" x14ac:dyDescent="0.25">
      <c r="A174" s="31"/>
      <c r="B174" s="31"/>
      <c r="C174" s="266"/>
      <c r="D174" s="31"/>
      <c r="E174" s="31"/>
      <c r="F174" s="31"/>
      <c r="G174" s="32"/>
      <c r="H174" s="32"/>
      <c r="I174" s="31"/>
      <c r="J174" s="31"/>
      <c r="K174" s="31"/>
      <c r="L174" s="32"/>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row>
    <row r="175" spans="1:74" ht="15.75" customHeight="1" x14ac:dyDescent="0.25">
      <c r="A175" s="31"/>
      <c r="B175" s="31"/>
      <c r="C175" s="266"/>
      <c r="D175" s="31"/>
      <c r="E175" s="31"/>
      <c r="F175" s="31"/>
      <c r="G175" s="32"/>
      <c r="H175" s="32"/>
      <c r="I175" s="31"/>
      <c r="J175" s="31"/>
      <c r="K175" s="31"/>
      <c r="L175" s="32"/>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row>
    <row r="176" spans="1:74" ht="15.75" customHeight="1" x14ac:dyDescent="0.25">
      <c r="A176" s="31"/>
      <c r="B176" s="31"/>
      <c r="C176" s="266"/>
      <c r="D176" s="31"/>
      <c r="E176" s="31"/>
      <c r="F176" s="31"/>
      <c r="G176" s="32"/>
      <c r="H176" s="32"/>
      <c r="I176" s="31"/>
      <c r="J176" s="31"/>
      <c r="K176" s="31"/>
      <c r="L176" s="32"/>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row>
    <row r="177" spans="1:74" ht="15.75" customHeight="1" x14ac:dyDescent="0.25">
      <c r="A177" s="31"/>
      <c r="B177" s="31"/>
      <c r="C177" s="266"/>
      <c r="D177" s="31"/>
      <c r="E177" s="31"/>
      <c r="F177" s="31"/>
      <c r="G177" s="32"/>
      <c r="H177" s="32"/>
      <c r="I177" s="31"/>
      <c r="J177" s="31"/>
      <c r="K177" s="31"/>
      <c r="L177" s="32"/>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row>
    <row r="178" spans="1:74" ht="15.75" customHeight="1" x14ac:dyDescent="0.25">
      <c r="A178" s="31"/>
      <c r="B178" s="31"/>
      <c r="C178" s="266"/>
      <c r="D178" s="31"/>
      <c r="E178" s="31"/>
      <c r="F178" s="31"/>
      <c r="G178" s="32"/>
      <c r="H178" s="32"/>
      <c r="I178" s="31"/>
      <c r="J178" s="31"/>
      <c r="K178" s="31"/>
      <c r="L178" s="32"/>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row>
    <row r="179" spans="1:74" ht="15.75" customHeight="1" x14ac:dyDescent="0.25">
      <c r="A179" s="31"/>
      <c r="B179" s="31"/>
      <c r="C179" s="266"/>
      <c r="D179" s="31"/>
      <c r="E179" s="31"/>
      <c r="F179" s="31"/>
      <c r="G179" s="32"/>
      <c r="H179" s="32"/>
      <c r="I179" s="31"/>
      <c r="J179" s="31"/>
      <c r="K179" s="31"/>
      <c r="L179" s="32"/>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row>
    <row r="180" spans="1:74" ht="15.75" customHeight="1" x14ac:dyDescent="0.25">
      <c r="A180" s="31"/>
      <c r="B180" s="31"/>
      <c r="C180" s="266"/>
      <c r="D180" s="31"/>
      <c r="E180" s="31"/>
      <c r="F180" s="31"/>
      <c r="G180" s="32"/>
      <c r="H180" s="32"/>
      <c r="I180" s="31"/>
      <c r="J180" s="31"/>
      <c r="K180" s="31"/>
      <c r="L180" s="32"/>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row>
    <row r="181" spans="1:74" ht="15.75" customHeight="1" x14ac:dyDescent="0.25">
      <c r="A181" s="31"/>
      <c r="B181" s="31"/>
      <c r="C181" s="266"/>
      <c r="D181" s="31"/>
      <c r="E181" s="31"/>
      <c r="F181" s="31"/>
      <c r="G181" s="32"/>
      <c r="H181" s="32"/>
      <c r="I181" s="31"/>
      <c r="J181" s="31"/>
      <c r="K181" s="31"/>
      <c r="L181" s="32"/>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row>
    <row r="182" spans="1:74" ht="15.75" customHeight="1" x14ac:dyDescent="0.25">
      <c r="A182" s="31"/>
      <c r="B182" s="31"/>
      <c r="C182" s="266"/>
      <c r="D182" s="31"/>
      <c r="E182" s="31"/>
      <c r="F182" s="31"/>
      <c r="G182" s="32"/>
      <c r="H182" s="32"/>
      <c r="I182" s="31"/>
      <c r="J182" s="31"/>
      <c r="K182" s="31"/>
      <c r="L182" s="32"/>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row>
    <row r="183" spans="1:74" ht="15.75" customHeight="1" x14ac:dyDescent="0.25">
      <c r="A183" s="31"/>
      <c r="B183" s="31"/>
      <c r="C183" s="266"/>
      <c r="D183" s="31"/>
      <c r="E183" s="31"/>
      <c r="F183" s="31"/>
      <c r="G183" s="32"/>
      <c r="H183" s="32"/>
      <c r="I183" s="31"/>
      <c r="J183" s="31"/>
      <c r="K183" s="31"/>
      <c r="L183" s="32"/>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row>
    <row r="184" spans="1:74" ht="15.75" customHeight="1" x14ac:dyDescent="0.25">
      <c r="A184" s="31"/>
      <c r="B184" s="31"/>
      <c r="C184" s="266"/>
      <c r="D184" s="31"/>
      <c r="E184" s="31"/>
      <c r="F184" s="31"/>
      <c r="G184" s="32"/>
      <c r="H184" s="32"/>
      <c r="I184" s="31"/>
      <c r="J184" s="31"/>
      <c r="K184" s="31"/>
      <c r="L184" s="32"/>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row>
    <row r="185" spans="1:74" ht="15.75" customHeight="1" x14ac:dyDescent="0.25">
      <c r="A185" s="31"/>
      <c r="B185" s="31"/>
      <c r="C185" s="266"/>
      <c r="D185" s="31"/>
      <c r="E185" s="31"/>
      <c r="F185" s="31"/>
      <c r="G185" s="32"/>
      <c r="H185" s="32"/>
      <c r="I185" s="31"/>
      <c r="J185" s="31"/>
      <c r="K185" s="31"/>
      <c r="L185" s="32"/>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row>
    <row r="186" spans="1:74" ht="15.75" customHeight="1" x14ac:dyDescent="0.25">
      <c r="A186" s="31"/>
      <c r="B186" s="31"/>
      <c r="C186" s="266"/>
      <c r="D186" s="31"/>
      <c r="E186" s="31"/>
      <c r="F186" s="31"/>
      <c r="G186" s="32"/>
      <c r="H186" s="32"/>
      <c r="I186" s="31"/>
      <c r="J186" s="31"/>
      <c r="K186" s="31"/>
      <c r="L186" s="32"/>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row>
    <row r="187" spans="1:74" ht="15.75" customHeight="1" x14ac:dyDescent="0.25">
      <c r="A187" s="31"/>
      <c r="B187" s="31"/>
      <c r="C187" s="266"/>
      <c r="D187" s="31"/>
      <c r="E187" s="31"/>
      <c r="F187" s="31"/>
      <c r="G187" s="32"/>
      <c r="H187" s="32"/>
      <c r="I187" s="31"/>
      <c r="J187" s="31"/>
      <c r="K187" s="31"/>
      <c r="L187" s="32"/>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row>
    <row r="188" spans="1:74" ht="15.75" customHeight="1" x14ac:dyDescent="0.25">
      <c r="A188" s="31"/>
      <c r="B188" s="31"/>
      <c r="C188" s="266"/>
      <c r="D188" s="31"/>
      <c r="E188" s="31"/>
      <c r="F188" s="31"/>
      <c r="G188" s="32"/>
      <c r="H188" s="32"/>
      <c r="I188" s="31"/>
      <c r="J188" s="31"/>
      <c r="K188" s="31"/>
      <c r="L188" s="32"/>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row>
    <row r="189" spans="1:74" ht="15.75" customHeight="1" x14ac:dyDescent="0.25">
      <c r="A189" s="31"/>
      <c r="B189" s="31"/>
      <c r="C189" s="266"/>
      <c r="D189" s="31"/>
      <c r="E189" s="31"/>
      <c r="F189" s="31"/>
      <c r="G189" s="32"/>
      <c r="H189" s="32"/>
      <c r="I189" s="31"/>
      <c r="J189" s="31"/>
      <c r="K189" s="31"/>
      <c r="L189" s="32"/>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row>
    <row r="190" spans="1:74" ht="15.75" customHeight="1" x14ac:dyDescent="0.25">
      <c r="A190" s="31"/>
      <c r="B190" s="31"/>
      <c r="C190" s="266"/>
      <c r="D190" s="31"/>
      <c r="E190" s="31"/>
      <c r="F190" s="31"/>
      <c r="G190" s="32"/>
      <c r="H190" s="32"/>
      <c r="I190" s="31"/>
      <c r="J190" s="31"/>
      <c r="K190" s="31"/>
      <c r="L190" s="32"/>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c r="BR190" s="31"/>
      <c r="BS190" s="31"/>
      <c r="BT190" s="31"/>
      <c r="BU190" s="31"/>
      <c r="BV190" s="31"/>
    </row>
    <row r="191" spans="1:74" ht="15.75" customHeight="1" x14ac:dyDescent="0.25">
      <c r="A191" s="31"/>
      <c r="B191" s="31"/>
      <c r="C191" s="266"/>
      <c r="D191" s="31"/>
      <c r="E191" s="31"/>
      <c r="F191" s="31"/>
      <c r="G191" s="32"/>
      <c r="H191" s="32"/>
      <c r="I191" s="31"/>
      <c r="J191" s="31"/>
      <c r="K191" s="31"/>
      <c r="L191" s="32"/>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row>
    <row r="192" spans="1:74" ht="15.75" customHeight="1" x14ac:dyDescent="0.25">
      <c r="A192" s="31"/>
      <c r="B192" s="31"/>
      <c r="C192" s="266"/>
      <c r="D192" s="31"/>
      <c r="E192" s="31"/>
      <c r="F192" s="31"/>
      <c r="G192" s="32"/>
      <c r="H192" s="32"/>
      <c r="I192" s="31"/>
      <c r="J192" s="31"/>
      <c r="K192" s="31"/>
      <c r="L192" s="32"/>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1"/>
      <c r="BQ192" s="31"/>
      <c r="BR192" s="31"/>
      <c r="BS192" s="31"/>
      <c r="BT192" s="31"/>
      <c r="BU192" s="31"/>
      <c r="BV192" s="31"/>
    </row>
    <row r="193" spans="1:74" ht="15.75" customHeight="1" x14ac:dyDescent="0.25">
      <c r="A193" s="31"/>
      <c r="B193" s="31"/>
      <c r="C193" s="266"/>
      <c r="D193" s="31"/>
      <c r="E193" s="31"/>
      <c r="F193" s="31"/>
      <c r="G193" s="32"/>
      <c r="H193" s="32"/>
      <c r="I193" s="31"/>
      <c r="J193" s="31"/>
      <c r="K193" s="31"/>
      <c r="L193" s="32"/>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c r="BR193" s="31"/>
      <c r="BS193" s="31"/>
      <c r="BT193" s="31"/>
      <c r="BU193" s="31"/>
      <c r="BV193" s="31"/>
    </row>
    <row r="194" spans="1:74" ht="15.75" customHeight="1" x14ac:dyDescent="0.25">
      <c r="A194" s="31"/>
      <c r="B194" s="31"/>
      <c r="C194" s="266"/>
      <c r="D194" s="31"/>
      <c r="E194" s="31"/>
      <c r="F194" s="31"/>
      <c r="G194" s="32"/>
      <c r="H194" s="32"/>
      <c r="I194" s="31"/>
      <c r="J194" s="31"/>
      <c r="K194" s="31"/>
      <c r="L194" s="32"/>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31"/>
      <c r="BR194" s="31"/>
      <c r="BS194" s="31"/>
      <c r="BT194" s="31"/>
      <c r="BU194" s="31"/>
      <c r="BV194" s="31"/>
    </row>
    <row r="195" spans="1:74" ht="15.75" customHeight="1" x14ac:dyDescent="0.25">
      <c r="A195" s="31"/>
      <c r="B195" s="31"/>
      <c r="C195" s="266"/>
      <c r="D195" s="31"/>
      <c r="E195" s="31"/>
      <c r="F195" s="31"/>
      <c r="G195" s="32"/>
      <c r="H195" s="32"/>
      <c r="I195" s="31"/>
      <c r="J195" s="31"/>
      <c r="K195" s="31"/>
      <c r="L195" s="32"/>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c r="BU195" s="31"/>
      <c r="BV195" s="31"/>
    </row>
    <row r="196" spans="1:74" ht="15.75" customHeight="1" x14ac:dyDescent="0.25">
      <c r="A196" s="31"/>
      <c r="B196" s="31"/>
      <c r="C196" s="266"/>
      <c r="D196" s="31"/>
      <c r="E196" s="31"/>
      <c r="F196" s="31"/>
      <c r="G196" s="32"/>
      <c r="H196" s="32"/>
      <c r="I196" s="31"/>
      <c r="J196" s="31"/>
      <c r="K196" s="31"/>
      <c r="L196" s="32"/>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row>
    <row r="197" spans="1:74" ht="15.75" customHeight="1" x14ac:dyDescent="0.25">
      <c r="A197" s="31"/>
      <c r="B197" s="31"/>
      <c r="C197" s="266"/>
      <c r="D197" s="31"/>
      <c r="E197" s="31"/>
      <c r="F197" s="31"/>
      <c r="G197" s="32"/>
      <c r="H197" s="32"/>
      <c r="I197" s="31"/>
      <c r="J197" s="31"/>
      <c r="K197" s="31"/>
      <c r="L197" s="32"/>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c r="BR197" s="31"/>
      <c r="BS197" s="31"/>
      <c r="BT197" s="31"/>
      <c r="BU197" s="31"/>
      <c r="BV197" s="31"/>
    </row>
    <row r="198" spans="1:74" ht="15.75" customHeight="1" x14ac:dyDescent="0.25">
      <c r="A198" s="31"/>
      <c r="B198" s="31"/>
      <c r="C198" s="266"/>
      <c r="D198" s="31"/>
      <c r="E198" s="31"/>
      <c r="F198" s="31"/>
      <c r="G198" s="32"/>
      <c r="H198" s="32"/>
      <c r="I198" s="31"/>
      <c r="J198" s="31"/>
      <c r="K198" s="31"/>
      <c r="L198" s="32"/>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1"/>
      <c r="BQ198" s="31"/>
      <c r="BR198" s="31"/>
      <c r="BS198" s="31"/>
      <c r="BT198" s="31"/>
      <c r="BU198" s="31"/>
      <c r="BV198" s="31"/>
    </row>
    <row r="199" spans="1:74" ht="15.75" customHeight="1" x14ac:dyDescent="0.25">
      <c r="A199" s="31"/>
      <c r="B199" s="31"/>
      <c r="C199" s="266"/>
      <c r="D199" s="31"/>
      <c r="E199" s="31"/>
      <c r="F199" s="31"/>
      <c r="G199" s="32"/>
      <c r="H199" s="32"/>
      <c r="I199" s="31"/>
      <c r="J199" s="31"/>
      <c r="K199" s="31"/>
      <c r="L199" s="32"/>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1"/>
      <c r="BQ199" s="31"/>
      <c r="BR199" s="31"/>
      <c r="BS199" s="31"/>
      <c r="BT199" s="31"/>
      <c r="BU199" s="31"/>
      <c r="BV199" s="31"/>
    </row>
    <row r="200" spans="1:74" ht="15.75" customHeight="1" x14ac:dyDescent="0.25">
      <c r="A200" s="31"/>
      <c r="B200" s="31"/>
      <c r="C200" s="266"/>
      <c r="D200" s="31"/>
      <c r="E200" s="31"/>
      <c r="F200" s="31"/>
      <c r="G200" s="32"/>
      <c r="H200" s="32"/>
      <c r="I200" s="31"/>
      <c r="J200" s="31"/>
      <c r="K200" s="31"/>
      <c r="L200" s="32"/>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1"/>
      <c r="BQ200" s="31"/>
      <c r="BR200" s="31"/>
      <c r="BS200" s="31"/>
      <c r="BT200" s="31"/>
      <c r="BU200" s="31"/>
      <c r="BV200" s="31"/>
    </row>
    <row r="201" spans="1:74" ht="15.75" customHeight="1" x14ac:dyDescent="0.25">
      <c r="A201" s="31"/>
      <c r="B201" s="31"/>
      <c r="C201" s="266"/>
      <c r="D201" s="31"/>
      <c r="E201" s="31"/>
      <c r="F201" s="31"/>
      <c r="G201" s="32"/>
      <c r="H201" s="32"/>
      <c r="I201" s="31"/>
      <c r="J201" s="31"/>
      <c r="K201" s="31"/>
      <c r="L201" s="32"/>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1"/>
      <c r="BQ201" s="31"/>
      <c r="BR201" s="31"/>
      <c r="BS201" s="31"/>
      <c r="BT201" s="31"/>
      <c r="BU201" s="31"/>
      <c r="BV201" s="31"/>
    </row>
    <row r="202" spans="1:74" ht="15.75" customHeight="1" x14ac:dyDescent="0.25">
      <c r="A202" s="31"/>
      <c r="B202" s="31"/>
      <c r="C202" s="266"/>
      <c r="D202" s="31"/>
      <c r="E202" s="31"/>
      <c r="F202" s="31"/>
      <c r="G202" s="32"/>
      <c r="H202" s="32"/>
      <c r="I202" s="31"/>
      <c r="J202" s="31"/>
      <c r="K202" s="31"/>
      <c r="L202" s="32"/>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c r="BR202" s="31"/>
      <c r="BS202" s="31"/>
      <c r="BT202" s="31"/>
      <c r="BU202" s="31"/>
      <c r="BV202" s="31"/>
    </row>
    <row r="203" spans="1:74" ht="15.75" customHeight="1" x14ac:dyDescent="0.25">
      <c r="A203" s="31"/>
      <c r="B203" s="31"/>
      <c r="C203" s="266"/>
      <c r="D203" s="31"/>
      <c r="E203" s="31"/>
      <c r="F203" s="31"/>
      <c r="G203" s="32"/>
      <c r="H203" s="32"/>
      <c r="I203" s="31"/>
      <c r="J203" s="31"/>
      <c r="K203" s="31"/>
      <c r="L203" s="32"/>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c r="BU203" s="31"/>
      <c r="BV203" s="31"/>
    </row>
    <row r="204" spans="1:74" ht="15.75" customHeight="1" x14ac:dyDescent="0.25">
      <c r="A204" s="31"/>
      <c r="B204" s="31"/>
      <c r="C204" s="266"/>
      <c r="D204" s="31"/>
      <c r="E204" s="31"/>
      <c r="F204" s="31"/>
      <c r="G204" s="32"/>
      <c r="H204" s="32"/>
      <c r="I204" s="31"/>
      <c r="J204" s="31"/>
      <c r="K204" s="31"/>
      <c r="L204" s="32"/>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c r="BU204" s="31"/>
      <c r="BV204" s="31"/>
    </row>
    <row r="205" spans="1:74" ht="15.75" customHeight="1" x14ac:dyDescent="0.25">
      <c r="A205" s="31"/>
      <c r="B205" s="31"/>
      <c r="C205" s="266"/>
      <c r="D205" s="31"/>
      <c r="E205" s="31"/>
      <c r="F205" s="31"/>
      <c r="G205" s="32"/>
      <c r="H205" s="32"/>
      <c r="I205" s="31"/>
      <c r="J205" s="31"/>
      <c r="K205" s="31"/>
      <c r="L205" s="32"/>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c r="BR205" s="31"/>
      <c r="BS205" s="31"/>
      <c r="BT205" s="31"/>
      <c r="BU205" s="31"/>
      <c r="BV205" s="31"/>
    </row>
    <row r="206" spans="1:74" ht="15.75" customHeight="1" x14ac:dyDescent="0.25">
      <c r="A206" s="31"/>
      <c r="B206" s="31"/>
      <c r="C206" s="266"/>
      <c r="D206" s="31"/>
      <c r="E206" s="31"/>
      <c r="F206" s="31"/>
      <c r="G206" s="32"/>
      <c r="H206" s="32"/>
      <c r="I206" s="31"/>
      <c r="J206" s="31"/>
      <c r="K206" s="31"/>
      <c r="L206" s="32"/>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row>
    <row r="207" spans="1:74" ht="15.75" customHeight="1" x14ac:dyDescent="0.25">
      <c r="A207" s="31"/>
      <c r="B207" s="31"/>
      <c r="C207" s="266"/>
      <c r="D207" s="31"/>
      <c r="E207" s="31"/>
      <c r="F207" s="31"/>
      <c r="G207" s="32"/>
      <c r="H207" s="32"/>
      <c r="I207" s="31"/>
      <c r="J207" s="31"/>
      <c r="K207" s="31"/>
      <c r="L207" s="32"/>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1"/>
      <c r="BQ207" s="31"/>
      <c r="BR207" s="31"/>
      <c r="BS207" s="31"/>
      <c r="BT207" s="31"/>
      <c r="BU207" s="31"/>
      <c r="BV207" s="31"/>
    </row>
    <row r="208" spans="1:74" ht="15.75" customHeight="1" x14ac:dyDescent="0.25">
      <c r="A208" s="31"/>
      <c r="B208" s="31"/>
      <c r="C208" s="266"/>
      <c r="D208" s="31"/>
      <c r="E208" s="31"/>
      <c r="F208" s="31"/>
      <c r="G208" s="32"/>
      <c r="H208" s="32"/>
      <c r="I208" s="31"/>
      <c r="J208" s="31"/>
      <c r="K208" s="31"/>
      <c r="L208" s="32"/>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1"/>
      <c r="BQ208" s="31"/>
      <c r="BR208" s="31"/>
      <c r="BS208" s="31"/>
      <c r="BT208" s="31"/>
      <c r="BU208" s="31"/>
      <c r="BV208" s="31"/>
    </row>
    <row r="209" spans="1:74" ht="15.75" customHeight="1" x14ac:dyDescent="0.25">
      <c r="A209" s="31"/>
      <c r="B209" s="31"/>
      <c r="C209" s="266"/>
      <c r="D209" s="31"/>
      <c r="E209" s="31"/>
      <c r="F209" s="31"/>
      <c r="G209" s="32"/>
      <c r="H209" s="32"/>
      <c r="I209" s="31"/>
      <c r="J209" s="31"/>
      <c r="K209" s="31"/>
      <c r="L209" s="32"/>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c r="BR209" s="31"/>
      <c r="BS209" s="31"/>
      <c r="BT209" s="31"/>
      <c r="BU209" s="31"/>
      <c r="BV209" s="31"/>
    </row>
    <row r="210" spans="1:74" ht="15.75" customHeight="1" x14ac:dyDescent="0.25">
      <c r="A210" s="31"/>
      <c r="B210" s="31"/>
      <c r="C210" s="266"/>
      <c r="D210" s="31"/>
      <c r="E210" s="31"/>
      <c r="F210" s="31"/>
      <c r="G210" s="32"/>
      <c r="H210" s="32"/>
      <c r="I210" s="31"/>
      <c r="J210" s="31"/>
      <c r="K210" s="31"/>
      <c r="L210" s="32"/>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1"/>
      <c r="BQ210" s="31"/>
      <c r="BR210" s="31"/>
      <c r="BS210" s="31"/>
      <c r="BT210" s="31"/>
      <c r="BU210" s="31"/>
      <c r="BV210" s="31"/>
    </row>
    <row r="211" spans="1:74" ht="15.75" customHeight="1" x14ac:dyDescent="0.25">
      <c r="A211" s="31"/>
      <c r="B211" s="31"/>
      <c r="C211" s="266"/>
      <c r="D211" s="31"/>
      <c r="E211" s="31"/>
      <c r="F211" s="31"/>
      <c r="G211" s="32"/>
      <c r="H211" s="32"/>
      <c r="I211" s="31"/>
      <c r="J211" s="31"/>
      <c r="K211" s="31"/>
      <c r="L211" s="32"/>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1"/>
      <c r="BQ211" s="31"/>
      <c r="BR211" s="31"/>
      <c r="BS211" s="31"/>
      <c r="BT211" s="31"/>
      <c r="BU211" s="31"/>
      <c r="BV211" s="31"/>
    </row>
    <row r="212" spans="1:74" ht="15.75" customHeight="1" x14ac:dyDescent="0.25">
      <c r="A212" s="31"/>
      <c r="B212" s="31"/>
      <c r="C212" s="266"/>
      <c r="D212" s="31"/>
      <c r="E212" s="31"/>
      <c r="F212" s="31"/>
      <c r="G212" s="32"/>
      <c r="H212" s="32"/>
      <c r="I212" s="31"/>
      <c r="J212" s="31"/>
      <c r="K212" s="31"/>
      <c r="L212" s="32"/>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1"/>
      <c r="BQ212" s="31"/>
      <c r="BR212" s="31"/>
      <c r="BS212" s="31"/>
      <c r="BT212" s="31"/>
      <c r="BU212" s="31"/>
      <c r="BV212" s="31"/>
    </row>
    <row r="213" spans="1:74" ht="15.75" customHeight="1" x14ac:dyDescent="0.25">
      <c r="A213" s="31"/>
      <c r="B213" s="31"/>
      <c r="C213" s="266"/>
      <c r="D213" s="31"/>
      <c r="E213" s="31"/>
      <c r="F213" s="31"/>
      <c r="G213" s="32"/>
      <c r="H213" s="32"/>
      <c r="I213" s="31"/>
      <c r="J213" s="31"/>
      <c r="K213" s="31"/>
      <c r="L213" s="32"/>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c r="AY213" s="31"/>
      <c r="AZ213" s="31"/>
      <c r="BA213" s="31"/>
      <c r="BB213" s="31"/>
      <c r="BC213" s="31"/>
      <c r="BD213" s="31"/>
      <c r="BE213" s="31"/>
      <c r="BF213" s="31"/>
      <c r="BG213" s="31"/>
      <c r="BH213" s="31"/>
      <c r="BI213" s="31"/>
      <c r="BJ213" s="31"/>
      <c r="BK213" s="31"/>
      <c r="BL213" s="31"/>
      <c r="BM213" s="31"/>
      <c r="BN213" s="31"/>
      <c r="BO213" s="31"/>
      <c r="BP213" s="31"/>
      <c r="BQ213" s="31"/>
      <c r="BR213" s="31"/>
      <c r="BS213" s="31"/>
      <c r="BT213" s="31"/>
      <c r="BU213" s="31"/>
      <c r="BV213" s="31"/>
    </row>
    <row r="214" spans="1:74" ht="15.75" customHeight="1" x14ac:dyDescent="0.25">
      <c r="A214" s="31"/>
      <c r="B214" s="31"/>
      <c r="C214" s="266"/>
      <c r="D214" s="31"/>
      <c r="E214" s="31"/>
      <c r="F214" s="31"/>
      <c r="G214" s="32"/>
      <c r="H214" s="32"/>
      <c r="I214" s="31"/>
      <c r="J214" s="31"/>
      <c r="K214" s="31"/>
      <c r="L214" s="32"/>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1"/>
      <c r="BQ214" s="31"/>
      <c r="BR214" s="31"/>
      <c r="BS214" s="31"/>
      <c r="BT214" s="31"/>
      <c r="BU214" s="31"/>
      <c r="BV214" s="31"/>
    </row>
    <row r="215" spans="1:74" ht="15.75" customHeight="1" x14ac:dyDescent="0.25">
      <c r="A215" s="31"/>
      <c r="B215" s="31"/>
      <c r="C215" s="266"/>
      <c r="D215" s="31"/>
      <c r="E215" s="31"/>
      <c r="F215" s="31"/>
      <c r="G215" s="32"/>
      <c r="H215" s="32"/>
      <c r="I215" s="31"/>
      <c r="J215" s="31"/>
      <c r="K215" s="31"/>
      <c r="L215" s="32"/>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row>
    <row r="216" spans="1:74" ht="15.75" customHeight="1" x14ac:dyDescent="0.25">
      <c r="A216" s="31"/>
      <c r="B216" s="31"/>
      <c r="C216" s="266"/>
      <c r="D216" s="31"/>
      <c r="E216" s="31"/>
      <c r="F216" s="31"/>
      <c r="G216" s="32"/>
      <c r="H216" s="32"/>
      <c r="I216" s="31"/>
      <c r="J216" s="31"/>
      <c r="K216" s="31"/>
      <c r="L216" s="32"/>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row>
    <row r="217" spans="1:74" ht="15.75" customHeight="1" x14ac:dyDescent="0.25">
      <c r="A217" s="31"/>
      <c r="B217" s="31"/>
      <c r="C217" s="266"/>
      <c r="D217" s="31"/>
      <c r="E217" s="31"/>
      <c r="F217" s="31"/>
      <c r="G217" s="32"/>
      <c r="H217" s="32"/>
      <c r="I217" s="31"/>
      <c r="J217" s="31"/>
      <c r="K217" s="31"/>
      <c r="L217" s="32"/>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c r="BR217" s="31"/>
      <c r="BS217" s="31"/>
      <c r="BT217" s="31"/>
      <c r="BU217" s="31"/>
      <c r="BV217" s="31"/>
    </row>
    <row r="218" spans="1:74" ht="15.75" customHeight="1" x14ac:dyDescent="0.25">
      <c r="A218" s="31"/>
      <c r="B218" s="31"/>
      <c r="C218" s="266"/>
      <c r="D218" s="31"/>
      <c r="E218" s="31"/>
      <c r="F218" s="31"/>
      <c r="G218" s="32"/>
      <c r="H218" s="32"/>
      <c r="I218" s="31"/>
      <c r="J218" s="31"/>
      <c r="K218" s="31"/>
      <c r="L218" s="32"/>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c r="BR218" s="31"/>
      <c r="BS218" s="31"/>
      <c r="BT218" s="31"/>
      <c r="BU218" s="31"/>
      <c r="BV218" s="31"/>
    </row>
    <row r="219" spans="1:74" ht="15.75" customHeight="1" x14ac:dyDescent="0.25">
      <c r="A219" s="31"/>
      <c r="B219" s="31"/>
      <c r="C219" s="266"/>
      <c r="D219" s="31"/>
      <c r="E219" s="31"/>
      <c r="F219" s="31"/>
      <c r="G219" s="32"/>
      <c r="H219" s="32"/>
      <c r="I219" s="31"/>
      <c r="J219" s="31"/>
      <c r="K219" s="31"/>
      <c r="L219" s="32"/>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row>
    <row r="220" spans="1:74" ht="15.75" customHeight="1" x14ac:dyDescent="0.25">
      <c r="A220" s="31"/>
      <c r="B220" s="31"/>
      <c r="C220" s="266"/>
      <c r="D220" s="31"/>
      <c r="E220" s="31"/>
      <c r="F220" s="31"/>
      <c r="G220" s="32"/>
      <c r="H220" s="32"/>
      <c r="I220" s="31"/>
      <c r="J220" s="31"/>
      <c r="K220" s="31"/>
      <c r="L220" s="32"/>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1"/>
      <c r="BQ220" s="31"/>
      <c r="BR220" s="31"/>
      <c r="BS220" s="31"/>
      <c r="BT220" s="31"/>
      <c r="BU220" s="31"/>
      <c r="BV220" s="31"/>
    </row>
    <row r="221" spans="1:74" ht="15.75" customHeight="1" x14ac:dyDescent="0.25">
      <c r="A221" s="31"/>
      <c r="B221" s="31"/>
      <c r="C221" s="266"/>
      <c r="D221" s="31"/>
      <c r="E221" s="31"/>
      <c r="F221" s="31"/>
      <c r="G221" s="32"/>
      <c r="H221" s="32"/>
      <c r="I221" s="31"/>
      <c r="J221" s="31"/>
      <c r="K221" s="31"/>
      <c r="L221" s="32"/>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c r="BR221" s="31"/>
      <c r="BS221" s="31"/>
      <c r="BT221" s="31"/>
      <c r="BU221" s="31"/>
      <c r="BV221" s="31"/>
    </row>
    <row r="222" spans="1:74" ht="15.75" customHeight="1" x14ac:dyDescent="0.25">
      <c r="A222" s="31"/>
      <c r="B222" s="31"/>
      <c r="C222" s="266"/>
      <c r="D222" s="31"/>
      <c r="E222" s="31"/>
      <c r="F222" s="31"/>
      <c r="G222" s="32"/>
      <c r="H222" s="32"/>
      <c r="I222" s="31"/>
      <c r="J222" s="31"/>
      <c r="K222" s="31"/>
      <c r="L222" s="32"/>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c r="BR222" s="31"/>
      <c r="BS222" s="31"/>
      <c r="BT222" s="31"/>
      <c r="BU222" s="31"/>
      <c r="BV222" s="31"/>
    </row>
    <row r="223" spans="1:74" ht="15.75" customHeight="1" x14ac:dyDescent="0.25">
      <c r="C223" s="267"/>
    </row>
    <row r="224" spans="1:74" ht="15.75" customHeight="1" x14ac:dyDescent="0.25">
      <c r="C224" s="267"/>
    </row>
    <row r="225" spans="3:3" ht="15.75" customHeight="1" x14ac:dyDescent="0.25">
      <c r="C225" s="267"/>
    </row>
    <row r="226" spans="3:3" ht="15.75" customHeight="1" x14ac:dyDescent="0.25">
      <c r="C226" s="267"/>
    </row>
    <row r="227" spans="3:3" ht="15.75" customHeight="1" x14ac:dyDescent="0.25">
      <c r="C227" s="267"/>
    </row>
    <row r="228" spans="3:3" ht="15.75" customHeight="1" x14ac:dyDescent="0.25">
      <c r="C228" s="267"/>
    </row>
    <row r="229" spans="3:3" ht="15.75" customHeight="1" x14ac:dyDescent="0.25">
      <c r="C229" s="267"/>
    </row>
    <row r="230" spans="3:3" ht="15.75" customHeight="1" x14ac:dyDescent="0.25">
      <c r="C230" s="267"/>
    </row>
    <row r="231" spans="3:3" ht="15.75" customHeight="1" x14ac:dyDescent="0.25">
      <c r="C231" s="267"/>
    </row>
    <row r="232" spans="3:3" ht="15.75" customHeight="1" x14ac:dyDescent="0.25">
      <c r="C232" s="267"/>
    </row>
    <row r="233" spans="3:3" ht="15.75" customHeight="1" x14ac:dyDescent="0.25">
      <c r="C233" s="267"/>
    </row>
    <row r="234" spans="3:3" ht="15.75" customHeight="1" x14ac:dyDescent="0.25">
      <c r="C234" s="267"/>
    </row>
    <row r="235" spans="3:3" ht="15.75" customHeight="1" x14ac:dyDescent="0.25">
      <c r="C235" s="267"/>
    </row>
    <row r="236" spans="3:3" ht="15.75" customHeight="1" x14ac:dyDescent="0.25">
      <c r="C236" s="267"/>
    </row>
    <row r="237" spans="3:3" ht="15.75" customHeight="1" x14ac:dyDescent="0.25">
      <c r="C237" s="267"/>
    </row>
    <row r="238" spans="3:3" ht="15.75" customHeight="1" x14ac:dyDescent="0.25">
      <c r="C238" s="267"/>
    </row>
    <row r="239" spans="3:3" ht="15.75" customHeight="1" x14ac:dyDescent="0.25">
      <c r="C239" s="267"/>
    </row>
    <row r="240" spans="3:3" ht="15.75" customHeight="1" x14ac:dyDescent="0.25">
      <c r="C240" s="267"/>
    </row>
    <row r="241" spans="3:3" ht="15.75" customHeight="1" x14ac:dyDescent="0.25">
      <c r="C241" s="267"/>
    </row>
    <row r="242" spans="3:3" ht="15.75" customHeight="1" x14ac:dyDescent="0.25">
      <c r="C242" s="267"/>
    </row>
    <row r="243" spans="3:3" ht="15.75" customHeight="1" x14ac:dyDescent="0.25">
      <c r="C243" s="267"/>
    </row>
    <row r="244" spans="3:3" ht="15.75" customHeight="1" x14ac:dyDescent="0.25">
      <c r="C244" s="267"/>
    </row>
    <row r="245" spans="3:3" ht="15.75" customHeight="1" x14ac:dyDescent="0.25">
      <c r="C245" s="267"/>
    </row>
    <row r="246" spans="3:3" ht="15.75" customHeight="1" x14ac:dyDescent="0.25">
      <c r="C246" s="267"/>
    </row>
    <row r="247" spans="3:3" ht="15.75" customHeight="1" x14ac:dyDescent="0.25">
      <c r="C247" s="267"/>
    </row>
    <row r="248" spans="3:3" ht="15.75" customHeight="1" x14ac:dyDescent="0.25">
      <c r="C248" s="267"/>
    </row>
    <row r="249" spans="3:3" ht="15.75" customHeight="1" x14ac:dyDescent="0.25">
      <c r="C249" s="267"/>
    </row>
    <row r="250" spans="3:3" ht="15.75" customHeight="1" x14ac:dyDescent="0.25">
      <c r="C250" s="267"/>
    </row>
    <row r="251" spans="3:3" ht="15.75" customHeight="1" x14ac:dyDescent="0.25">
      <c r="C251" s="267"/>
    </row>
    <row r="252" spans="3:3" ht="15.75" customHeight="1" x14ac:dyDescent="0.25">
      <c r="C252" s="267"/>
    </row>
    <row r="253" spans="3:3" ht="15.75" customHeight="1" x14ac:dyDescent="0.25">
      <c r="C253" s="267"/>
    </row>
    <row r="254" spans="3:3" ht="15.75" customHeight="1" x14ac:dyDescent="0.25">
      <c r="C254" s="267"/>
    </row>
    <row r="255" spans="3:3" ht="15.75" customHeight="1" x14ac:dyDescent="0.25">
      <c r="C255" s="267"/>
    </row>
    <row r="256" spans="3:3" ht="15.75" customHeight="1" x14ac:dyDescent="0.25">
      <c r="C256" s="267"/>
    </row>
    <row r="257" spans="3:3" ht="15.75" customHeight="1" x14ac:dyDescent="0.25">
      <c r="C257" s="267"/>
    </row>
    <row r="258" spans="3:3" ht="15.75" customHeight="1" x14ac:dyDescent="0.25">
      <c r="C258" s="267"/>
    </row>
    <row r="259" spans="3:3" ht="15.75" customHeight="1" x14ac:dyDescent="0.25">
      <c r="C259" s="267"/>
    </row>
    <row r="260" spans="3:3" ht="15.75" customHeight="1" x14ac:dyDescent="0.25">
      <c r="C260" s="267"/>
    </row>
    <row r="261" spans="3:3" ht="15.75" customHeight="1" x14ac:dyDescent="0.25">
      <c r="C261" s="267"/>
    </row>
    <row r="262" spans="3:3" ht="15.75" customHeight="1" x14ac:dyDescent="0.25">
      <c r="C262" s="267"/>
    </row>
    <row r="263" spans="3:3" ht="15.75" customHeight="1" x14ac:dyDescent="0.25">
      <c r="C263" s="267"/>
    </row>
    <row r="264" spans="3:3" ht="15.75" customHeight="1" x14ac:dyDescent="0.25">
      <c r="C264" s="267"/>
    </row>
    <row r="265" spans="3:3" ht="15.75" customHeight="1" x14ac:dyDescent="0.25">
      <c r="C265" s="267"/>
    </row>
    <row r="266" spans="3:3" ht="15.75" customHeight="1" x14ac:dyDescent="0.25">
      <c r="C266" s="267"/>
    </row>
    <row r="267" spans="3:3" ht="15.75" customHeight="1" x14ac:dyDescent="0.25">
      <c r="C267" s="267"/>
    </row>
    <row r="268" spans="3:3" ht="15.75" customHeight="1" x14ac:dyDescent="0.25">
      <c r="C268" s="267"/>
    </row>
    <row r="269" spans="3:3" ht="15.75" customHeight="1" x14ac:dyDescent="0.25">
      <c r="C269" s="267"/>
    </row>
    <row r="270" spans="3:3" ht="15.75" customHeight="1" x14ac:dyDescent="0.25">
      <c r="C270" s="267"/>
    </row>
    <row r="271" spans="3:3" ht="15.75" customHeight="1" x14ac:dyDescent="0.25">
      <c r="C271" s="267"/>
    </row>
    <row r="272" spans="3:3" ht="15.75" customHeight="1" x14ac:dyDescent="0.25">
      <c r="C272" s="267"/>
    </row>
    <row r="273" spans="3:3" ht="15.75" customHeight="1" x14ac:dyDescent="0.25">
      <c r="C273" s="267"/>
    </row>
    <row r="274" spans="3:3" ht="15.75" customHeight="1" x14ac:dyDescent="0.25">
      <c r="C274" s="267"/>
    </row>
    <row r="275" spans="3:3" ht="15.75" customHeight="1" x14ac:dyDescent="0.25">
      <c r="C275" s="267"/>
    </row>
    <row r="276" spans="3:3" ht="15.75" customHeight="1" x14ac:dyDescent="0.25">
      <c r="C276" s="267"/>
    </row>
    <row r="277" spans="3:3" ht="15.75" customHeight="1" x14ac:dyDescent="0.25">
      <c r="C277" s="267"/>
    </row>
    <row r="278" spans="3:3" ht="15.75" customHeight="1" x14ac:dyDescent="0.25">
      <c r="C278" s="267"/>
    </row>
    <row r="279" spans="3:3" ht="15.75" customHeight="1" x14ac:dyDescent="0.25">
      <c r="C279" s="267"/>
    </row>
    <row r="280" spans="3:3" ht="15.75" customHeight="1" x14ac:dyDescent="0.25">
      <c r="C280" s="267"/>
    </row>
    <row r="281" spans="3:3" ht="15.75" customHeight="1" x14ac:dyDescent="0.25">
      <c r="C281" s="267"/>
    </row>
    <row r="282" spans="3:3" ht="15.75" customHeight="1" x14ac:dyDescent="0.25">
      <c r="C282" s="267"/>
    </row>
    <row r="283" spans="3:3" ht="15.75" customHeight="1" x14ac:dyDescent="0.25">
      <c r="C283" s="267"/>
    </row>
    <row r="284" spans="3:3" ht="15.75" customHeight="1" x14ac:dyDescent="0.25">
      <c r="C284" s="267"/>
    </row>
    <row r="285" spans="3:3" ht="15.75" customHeight="1" x14ac:dyDescent="0.25">
      <c r="C285" s="267"/>
    </row>
    <row r="286" spans="3:3" ht="15.75" customHeight="1" x14ac:dyDescent="0.25">
      <c r="C286" s="267"/>
    </row>
    <row r="287" spans="3:3" ht="15.75" customHeight="1" x14ac:dyDescent="0.25">
      <c r="C287" s="267"/>
    </row>
    <row r="288" spans="3:3" ht="15.75" customHeight="1" x14ac:dyDescent="0.25">
      <c r="C288" s="267"/>
    </row>
    <row r="289" spans="3:3" ht="15.75" customHeight="1" x14ac:dyDescent="0.25">
      <c r="C289" s="267"/>
    </row>
    <row r="290" spans="3:3" ht="15.75" customHeight="1" x14ac:dyDescent="0.25">
      <c r="C290" s="267"/>
    </row>
    <row r="291" spans="3:3" ht="15.75" customHeight="1" x14ac:dyDescent="0.25">
      <c r="C291" s="267"/>
    </row>
    <row r="292" spans="3:3" ht="15.75" customHeight="1" x14ac:dyDescent="0.25">
      <c r="C292" s="267"/>
    </row>
    <row r="293" spans="3:3" ht="15.75" customHeight="1" x14ac:dyDescent="0.25">
      <c r="C293" s="267"/>
    </row>
    <row r="294" spans="3:3" ht="15.75" customHeight="1" x14ac:dyDescent="0.25">
      <c r="C294" s="267"/>
    </row>
    <row r="295" spans="3:3" ht="15.75" customHeight="1" x14ac:dyDescent="0.25">
      <c r="C295" s="267"/>
    </row>
    <row r="296" spans="3:3" ht="15.75" customHeight="1" x14ac:dyDescent="0.25">
      <c r="C296" s="267"/>
    </row>
    <row r="297" spans="3:3" ht="15.75" customHeight="1" x14ac:dyDescent="0.25">
      <c r="C297" s="267"/>
    </row>
    <row r="298" spans="3:3" ht="15.75" customHeight="1" x14ac:dyDescent="0.25">
      <c r="C298" s="267"/>
    </row>
    <row r="299" spans="3:3" ht="15.75" customHeight="1" x14ac:dyDescent="0.25">
      <c r="C299" s="267"/>
    </row>
    <row r="300" spans="3:3" ht="15.75" customHeight="1" x14ac:dyDescent="0.25">
      <c r="C300" s="267"/>
    </row>
    <row r="301" spans="3:3" ht="15.75" customHeight="1" x14ac:dyDescent="0.25">
      <c r="C301" s="267"/>
    </row>
    <row r="302" spans="3:3" ht="15.75" customHeight="1" x14ac:dyDescent="0.25">
      <c r="C302" s="267"/>
    </row>
    <row r="303" spans="3:3" ht="15.75" customHeight="1" x14ac:dyDescent="0.25">
      <c r="C303" s="267"/>
    </row>
    <row r="304" spans="3:3" ht="15.75" customHeight="1" x14ac:dyDescent="0.25">
      <c r="C304" s="267"/>
    </row>
    <row r="305" spans="3:3" ht="15.75" customHeight="1" x14ac:dyDescent="0.25">
      <c r="C305" s="267"/>
    </row>
    <row r="306" spans="3:3" ht="15.75" customHeight="1" x14ac:dyDescent="0.25">
      <c r="C306" s="267"/>
    </row>
    <row r="307" spans="3:3" ht="15.75" customHeight="1" x14ac:dyDescent="0.25">
      <c r="C307" s="267"/>
    </row>
    <row r="308" spans="3:3" ht="15.75" customHeight="1" x14ac:dyDescent="0.25">
      <c r="C308" s="267"/>
    </row>
    <row r="309" spans="3:3" ht="15.75" customHeight="1" x14ac:dyDescent="0.25">
      <c r="C309" s="267"/>
    </row>
    <row r="310" spans="3:3" ht="15.75" customHeight="1" x14ac:dyDescent="0.25">
      <c r="C310" s="267"/>
    </row>
    <row r="311" spans="3:3" ht="15.75" customHeight="1" x14ac:dyDescent="0.25">
      <c r="C311" s="267"/>
    </row>
    <row r="312" spans="3:3" ht="15.75" customHeight="1" x14ac:dyDescent="0.25">
      <c r="C312" s="267"/>
    </row>
    <row r="313" spans="3:3" ht="15.75" customHeight="1" x14ac:dyDescent="0.25">
      <c r="C313" s="267"/>
    </row>
    <row r="314" spans="3:3" ht="15.75" customHeight="1" x14ac:dyDescent="0.25">
      <c r="C314" s="267"/>
    </row>
    <row r="315" spans="3:3" ht="15.75" customHeight="1" x14ac:dyDescent="0.25">
      <c r="C315" s="267"/>
    </row>
    <row r="316" spans="3:3" ht="15.75" customHeight="1" x14ac:dyDescent="0.25">
      <c r="C316" s="267"/>
    </row>
    <row r="317" spans="3:3" ht="15.75" customHeight="1" x14ac:dyDescent="0.25">
      <c r="C317" s="267"/>
    </row>
    <row r="318" spans="3:3" ht="15.75" customHeight="1" x14ac:dyDescent="0.25">
      <c r="C318" s="267"/>
    </row>
    <row r="319" spans="3:3" ht="15.75" customHeight="1" x14ac:dyDescent="0.25">
      <c r="C319" s="267"/>
    </row>
    <row r="320" spans="3:3" ht="15.75" customHeight="1" x14ac:dyDescent="0.25">
      <c r="C320" s="267"/>
    </row>
    <row r="321" spans="3:3" ht="15.75" customHeight="1" x14ac:dyDescent="0.25">
      <c r="C321" s="267"/>
    </row>
    <row r="322" spans="3:3" ht="15.75" customHeight="1" x14ac:dyDescent="0.25">
      <c r="C322" s="267"/>
    </row>
    <row r="323" spans="3:3" ht="15.75" customHeight="1" x14ac:dyDescent="0.25">
      <c r="C323" s="267"/>
    </row>
    <row r="324" spans="3:3" ht="15.75" customHeight="1" x14ac:dyDescent="0.25">
      <c r="C324" s="267"/>
    </row>
    <row r="325" spans="3:3" ht="15.75" customHeight="1" x14ac:dyDescent="0.25">
      <c r="C325" s="267"/>
    </row>
    <row r="326" spans="3:3" ht="15.75" customHeight="1" x14ac:dyDescent="0.25">
      <c r="C326" s="267"/>
    </row>
    <row r="327" spans="3:3" ht="15.75" customHeight="1" x14ac:dyDescent="0.25">
      <c r="C327" s="267"/>
    </row>
    <row r="328" spans="3:3" ht="15.75" customHeight="1" x14ac:dyDescent="0.25">
      <c r="C328" s="267"/>
    </row>
    <row r="329" spans="3:3" ht="15.75" customHeight="1" x14ac:dyDescent="0.25">
      <c r="C329" s="267"/>
    </row>
    <row r="330" spans="3:3" ht="15.75" customHeight="1" x14ac:dyDescent="0.25">
      <c r="C330" s="267"/>
    </row>
    <row r="331" spans="3:3" ht="15.75" customHeight="1" x14ac:dyDescent="0.25">
      <c r="C331" s="267"/>
    </row>
    <row r="332" spans="3:3" ht="15.75" customHeight="1" x14ac:dyDescent="0.25">
      <c r="C332" s="267"/>
    </row>
    <row r="333" spans="3:3" ht="15.75" customHeight="1" x14ac:dyDescent="0.25">
      <c r="C333" s="267"/>
    </row>
    <row r="334" spans="3:3" ht="15.75" customHeight="1" x14ac:dyDescent="0.25">
      <c r="C334" s="267"/>
    </row>
    <row r="335" spans="3:3" ht="15.75" customHeight="1" x14ac:dyDescent="0.25">
      <c r="C335" s="267"/>
    </row>
    <row r="336" spans="3:3" ht="15.75" customHeight="1" x14ac:dyDescent="0.25">
      <c r="C336" s="267"/>
    </row>
    <row r="337" spans="3:3" ht="15.75" customHeight="1" x14ac:dyDescent="0.25">
      <c r="C337" s="267"/>
    </row>
    <row r="338" spans="3:3" ht="15.75" customHeight="1" x14ac:dyDescent="0.25">
      <c r="C338" s="267"/>
    </row>
    <row r="339" spans="3:3" ht="15.75" customHeight="1" x14ac:dyDescent="0.25">
      <c r="C339" s="267"/>
    </row>
    <row r="340" spans="3:3" ht="15.75" customHeight="1" x14ac:dyDescent="0.25">
      <c r="C340" s="267"/>
    </row>
    <row r="341" spans="3:3" ht="15.75" customHeight="1" x14ac:dyDescent="0.25">
      <c r="C341" s="267"/>
    </row>
    <row r="342" spans="3:3" ht="15.75" customHeight="1" x14ac:dyDescent="0.25">
      <c r="C342" s="267"/>
    </row>
    <row r="343" spans="3:3" ht="15.75" customHeight="1" x14ac:dyDescent="0.25">
      <c r="C343" s="267"/>
    </row>
    <row r="344" spans="3:3" ht="15.75" customHeight="1" x14ac:dyDescent="0.25">
      <c r="C344" s="267"/>
    </row>
    <row r="345" spans="3:3" ht="15.75" customHeight="1" x14ac:dyDescent="0.25">
      <c r="C345" s="267"/>
    </row>
    <row r="346" spans="3:3" ht="15.75" customHeight="1" x14ac:dyDescent="0.25">
      <c r="C346" s="267"/>
    </row>
    <row r="347" spans="3:3" ht="15.75" customHeight="1" x14ac:dyDescent="0.25">
      <c r="C347" s="267"/>
    </row>
    <row r="348" spans="3:3" ht="15.75" customHeight="1" x14ac:dyDescent="0.25">
      <c r="C348" s="267"/>
    </row>
    <row r="349" spans="3:3" ht="15.75" customHeight="1" x14ac:dyDescent="0.25">
      <c r="C349" s="267"/>
    </row>
    <row r="350" spans="3:3" ht="15.75" customHeight="1" x14ac:dyDescent="0.25">
      <c r="C350" s="267"/>
    </row>
    <row r="351" spans="3:3" ht="15.75" customHeight="1" x14ac:dyDescent="0.25">
      <c r="C351" s="267"/>
    </row>
    <row r="352" spans="3:3" ht="15.75" customHeight="1" x14ac:dyDescent="0.25">
      <c r="C352" s="267"/>
    </row>
    <row r="353" spans="3:3" ht="15.75" customHeight="1" x14ac:dyDescent="0.25">
      <c r="C353" s="267"/>
    </row>
    <row r="354" spans="3:3" ht="15.75" customHeight="1" x14ac:dyDescent="0.25">
      <c r="C354" s="267"/>
    </row>
    <row r="355" spans="3:3" ht="15.75" customHeight="1" x14ac:dyDescent="0.25">
      <c r="C355" s="267"/>
    </row>
    <row r="356" spans="3:3" ht="15.75" customHeight="1" x14ac:dyDescent="0.25">
      <c r="C356" s="267"/>
    </row>
    <row r="357" spans="3:3" ht="15.75" customHeight="1" x14ac:dyDescent="0.25">
      <c r="C357" s="267"/>
    </row>
    <row r="358" spans="3:3" ht="15.75" customHeight="1" x14ac:dyDescent="0.25">
      <c r="C358" s="267"/>
    </row>
    <row r="359" spans="3:3" ht="15.75" customHeight="1" x14ac:dyDescent="0.25">
      <c r="C359" s="267"/>
    </row>
    <row r="360" spans="3:3" ht="15.75" customHeight="1" x14ac:dyDescent="0.25">
      <c r="C360" s="267"/>
    </row>
    <row r="361" spans="3:3" ht="15.75" customHeight="1" x14ac:dyDescent="0.25">
      <c r="C361" s="267"/>
    </row>
    <row r="362" spans="3:3" ht="15.75" customHeight="1" x14ac:dyDescent="0.25">
      <c r="C362" s="267"/>
    </row>
    <row r="363" spans="3:3" ht="15.75" customHeight="1" x14ac:dyDescent="0.25">
      <c r="C363" s="267"/>
    </row>
    <row r="364" spans="3:3" ht="15.75" customHeight="1" x14ac:dyDescent="0.25">
      <c r="C364" s="267"/>
    </row>
    <row r="365" spans="3:3" ht="15.75" customHeight="1" x14ac:dyDescent="0.25">
      <c r="C365" s="267"/>
    </row>
    <row r="366" spans="3:3" ht="15.75" customHeight="1" x14ac:dyDescent="0.25">
      <c r="C366" s="267"/>
    </row>
    <row r="367" spans="3:3" ht="15.75" customHeight="1" x14ac:dyDescent="0.25">
      <c r="C367" s="267"/>
    </row>
    <row r="368" spans="3:3" ht="15.75" customHeight="1" x14ac:dyDescent="0.25">
      <c r="C368" s="267"/>
    </row>
    <row r="369" spans="3:3" ht="15.75" customHeight="1" x14ac:dyDescent="0.25">
      <c r="C369" s="267"/>
    </row>
    <row r="370" spans="3:3" ht="15.75" customHeight="1" x14ac:dyDescent="0.25">
      <c r="C370" s="267"/>
    </row>
    <row r="371" spans="3:3" ht="15.75" customHeight="1" x14ac:dyDescent="0.25">
      <c r="C371" s="267"/>
    </row>
    <row r="372" spans="3:3" ht="15.75" customHeight="1" x14ac:dyDescent="0.25">
      <c r="C372" s="267"/>
    </row>
    <row r="373" spans="3:3" ht="15.75" customHeight="1" x14ac:dyDescent="0.25">
      <c r="C373" s="267"/>
    </row>
    <row r="374" spans="3:3" ht="15.75" customHeight="1" x14ac:dyDescent="0.25">
      <c r="C374" s="267"/>
    </row>
    <row r="375" spans="3:3" ht="15.75" customHeight="1" x14ac:dyDescent="0.25">
      <c r="C375" s="267"/>
    </row>
    <row r="376" spans="3:3" ht="15.75" customHeight="1" x14ac:dyDescent="0.25">
      <c r="C376" s="267"/>
    </row>
    <row r="377" spans="3:3" ht="15.75" customHeight="1" x14ac:dyDescent="0.25">
      <c r="C377" s="267"/>
    </row>
    <row r="378" spans="3:3" ht="15.75" customHeight="1" x14ac:dyDescent="0.25">
      <c r="C378" s="267"/>
    </row>
    <row r="379" spans="3:3" ht="15.75" customHeight="1" x14ac:dyDescent="0.25">
      <c r="C379" s="267"/>
    </row>
    <row r="380" spans="3:3" ht="15.75" customHeight="1" x14ac:dyDescent="0.25">
      <c r="C380" s="267"/>
    </row>
    <row r="381" spans="3:3" ht="15.75" customHeight="1" x14ac:dyDescent="0.25">
      <c r="C381" s="267"/>
    </row>
    <row r="382" spans="3:3" ht="15.75" customHeight="1" x14ac:dyDescent="0.25">
      <c r="C382" s="267"/>
    </row>
    <row r="383" spans="3:3" ht="15.75" customHeight="1" x14ac:dyDescent="0.25">
      <c r="C383" s="267"/>
    </row>
    <row r="384" spans="3:3" ht="15.75" customHeight="1" x14ac:dyDescent="0.25">
      <c r="C384" s="267"/>
    </row>
    <row r="385" spans="3:3" ht="15.75" customHeight="1" x14ac:dyDescent="0.25">
      <c r="C385" s="267"/>
    </row>
    <row r="386" spans="3:3" ht="15.75" customHeight="1" x14ac:dyDescent="0.25">
      <c r="C386" s="267"/>
    </row>
    <row r="387" spans="3:3" ht="15.75" customHeight="1" x14ac:dyDescent="0.25">
      <c r="C387" s="267"/>
    </row>
    <row r="388" spans="3:3" ht="15.75" customHeight="1" x14ac:dyDescent="0.25">
      <c r="C388" s="267"/>
    </row>
    <row r="389" spans="3:3" ht="15.75" customHeight="1" x14ac:dyDescent="0.25">
      <c r="C389" s="267"/>
    </row>
    <row r="390" spans="3:3" ht="15.75" customHeight="1" x14ac:dyDescent="0.25">
      <c r="C390" s="267"/>
    </row>
    <row r="391" spans="3:3" ht="15.75" customHeight="1" x14ac:dyDescent="0.25">
      <c r="C391" s="267"/>
    </row>
    <row r="392" spans="3:3" ht="15.75" customHeight="1" x14ac:dyDescent="0.25">
      <c r="C392" s="267"/>
    </row>
    <row r="393" spans="3:3" ht="15.75" customHeight="1" x14ac:dyDescent="0.25">
      <c r="C393" s="267"/>
    </row>
    <row r="394" spans="3:3" ht="15.75" customHeight="1" x14ac:dyDescent="0.25">
      <c r="C394" s="267"/>
    </row>
    <row r="395" spans="3:3" ht="15.75" customHeight="1" x14ac:dyDescent="0.25">
      <c r="C395" s="267"/>
    </row>
    <row r="396" spans="3:3" ht="15.75" customHeight="1" x14ac:dyDescent="0.25">
      <c r="C396" s="267"/>
    </row>
    <row r="397" spans="3:3" ht="15.75" customHeight="1" x14ac:dyDescent="0.25">
      <c r="C397" s="267"/>
    </row>
    <row r="398" spans="3:3" ht="15.75" customHeight="1" x14ac:dyDescent="0.25">
      <c r="C398" s="267"/>
    </row>
    <row r="399" spans="3:3" ht="15.75" customHeight="1" x14ac:dyDescent="0.25">
      <c r="C399" s="267"/>
    </row>
    <row r="400" spans="3:3" ht="15.75" customHeight="1" x14ac:dyDescent="0.25">
      <c r="C400" s="267"/>
    </row>
    <row r="401" spans="3:3" ht="15.75" customHeight="1" x14ac:dyDescent="0.25">
      <c r="C401" s="267"/>
    </row>
    <row r="402" spans="3:3" ht="15.75" customHeight="1" x14ac:dyDescent="0.25">
      <c r="C402" s="267"/>
    </row>
    <row r="403" spans="3:3" ht="15.75" customHeight="1" x14ac:dyDescent="0.25">
      <c r="C403" s="267"/>
    </row>
    <row r="404" spans="3:3" ht="15.75" customHeight="1" x14ac:dyDescent="0.25">
      <c r="C404" s="267"/>
    </row>
    <row r="405" spans="3:3" ht="15.75" customHeight="1" x14ac:dyDescent="0.25">
      <c r="C405" s="267"/>
    </row>
    <row r="406" spans="3:3" ht="15.75" customHeight="1" x14ac:dyDescent="0.25">
      <c r="C406" s="267"/>
    </row>
    <row r="407" spans="3:3" ht="15.75" customHeight="1" x14ac:dyDescent="0.25">
      <c r="C407" s="267"/>
    </row>
    <row r="408" spans="3:3" ht="15.75" customHeight="1" x14ac:dyDescent="0.25">
      <c r="C408" s="267"/>
    </row>
    <row r="409" spans="3:3" ht="15.75" customHeight="1" x14ac:dyDescent="0.25">
      <c r="C409" s="267"/>
    </row>
    <row r="410" spans="3:3" ht="15.75" customHeight="1" x14ac:dyDescent="0.25">
      <c r="C410" s="267"/>
    </row>
    <row r="411" spans="3:3" ht="15.75" customHeight="1" x14ac:dyDescent="0.25">
      <c r="C411" s="267"/>
    </row>
    <row r="412" spans="3:3" ht="15.75" customHeight="1" x14ac:dyDescent="0.25">
      <c r="C412" s="267"/>
    </row>
    <row r="413" spans="3:3" ht="15.75" customHeight="1" x14ac:dyDescent="0.25">
      <c r="C413" s="267"/>
    </row>
    <row r="414" spans="3:3" ht="15.75" customHeight="1" x14ac:dyDescent="0.25">
      <c r="C414" s="267"/>
    </row>
    <row r="415" spans="3:3" ht="15.75" customHeight="1" x14ac:dyDescent="0.25">
      <c r="C415" s="267"/>
    </row>
    <row r="416" spans="3:3" ht="15.75" customHeight="1" x14ac:dyDescent="0.25">
      <c r="C416" s="267"/>
    </row>
    <row r="417" spans="3:3" ht="15.75" customHeight="1" x14ac:dyDescent="0.25">
      <c r="C417" s="267"/>
    </row>
    <row r="418" spans="3:3" ht="15.75" customHeight="1" x14ac:dyDescent="0.25">
      <c r="C418" s="267"/>
    </row>
    <row r="419" spans="3:3" ht="15.75" customHeight="1" x14ac:dyDescent="0.25">
      <c r="C419" s="267"/>
    </row>
    <row r="420" spans="3:3" ht="15.75" customHeight="1" x14ac:dyDescent="0.25">
      <c r="C420" s="267"/>
    </row>
    <row r="421" spans="3:3" ht="15.75" customHeight="1" x14ac:dyDescent="0.25">
      <c r="C421" s="267"/>
    </row>
    <row r="422" spans="3:3" ht="15.75" customHeight="1" x14ac:dyDescent="0.25">
      <c r="C422" s="267"/>
    </row>
    <row r="423" spans="3:3" ht="15.75" customHeight="1" x14ac:dyDescent="0.25">
      <c r="C423" s="267"/>
    </row>
    <row r="424" spans="3:3" ht="15.75" customHeight="1" x14ac:dyDescent="0.25">
      <c r="C424" s="267"/>
    </row>
    <row r="425" spans="3:3" ht="15.75" customHeight="1" x14ac:dyDescent="0.25">
      <c r="C425" s="267"/>
    </row>
    <row r="426" spans="3:3" ht="15.75" customHeight="1" x14ac:dyDescent="0.25">
      <c r="C426" s="267"/>
    </row>
    <row r="427" spans="3:3" ht="15.75" customHeight="1" x14ac:dyDescent="0.25">
      <c r="C427" s="267"/>
    </row>
    <row r="428" spans="3:3" ht="15.75" customHeight="1" x14ac:dyDescent="0.25">
      <c r="C428" s="267"/>
    </row>
    <row r="429" spans="3:3" ht="15.75" customHeight="1" x14ac:dyDescent="0.25">
      <c r="C429" s="267"/>
    </row>
    <row r="430" spans="3:3" ht="15.75" customHeight="1" x14ac:dyDescent="0.25">
      <c r="C430" s="267"/>
    </row>
    <row r="431" spans="3:3" ht="15.75" customHeight="1" x14ac:dyDescent="0.25">
      <c r="C431" s="267"/>
    </row>
    <row r="432" spans="3:3" ht="15.75" customHeight="1" x14ac:dyDescent="0.25">
      <c r="C432" s="267"/>
    </row>
    <row r="433" spans="3:3" ht="15.75" customHeight="1" x14ac:dyDescent="0.25">
      <c r="C433" s="267"/>
    </row>
    <row r="434" spans="3:3" ht="15.75" customHeight="1" x14ac:dyDescent="0.25">
      <c r="C434" s="267"/>
    </row>
    <row r="435" spans="3:3" ht="15.75" customHeight="1" x14ac:dyDescent="0.25">
      <c r="C435" s="267"/>
    </row>
    <row r="436" spans="3:3" ht="15.75" customHeight="1" x14ac:dyDescent="0.25">
      <c r="C436" s="267"/>
    </row>
    <row r="437" spans="3:3" ht="15.75" customHeight="1" x14ac:dyDescent="0.25">
      <c r="C437" s="267"/>
    </row>
    <row r="438" spans="3:3" ht="15.75" customHeight="1" x14ac:dyDescent="0.25">
      <c r="C438" s="267"/>
    </row>
    <row r="439" spans="3:3" ht="15.75" customHeight="1" x14ac:dyDescent="0.25">
      <c r="C439" s="267"/>
    </row>
    <row r="440" spans="3:3" ht="15.75" customHeight="1" x14ac:dyDescent="0.25">
      <c r="C440" s="267"/>
    </row>
    <row r="441" spans="3:3" ht="15.75" customHeight="1" x14ac:dyDescent="0.25">
      <c r="C441" s="267"/>
    </row>
    <row r="442" spans="3:3" ht="15.75" customHeight="1" x14ac:dyDescent="0.25">
      <c r="C442" s="267"/>
    </row>
    <row r="443" spans="3:3" ht="15.75" customHeight="1" x14ac:dyDescent="0.25">
      <c r="C443" s="267"/>
    </row>
    <row r="444" spans="3:3" ht="15.75" customHeight="1" x14ac:dyDescent="0.25">
      <c r="C444" s="267"/>
    </row>
    <row r="445" spans="3:3" ht="15.75" customHeight="1" x14ac:dyDescent="0.25">
      <c r="C445" s="267"/>
    </row>
    <row r="446" spans="3:3" ht="15.75" customHeight="1" x14ac:dyDescent="0.25">
      <c r="C446" s="267"/>
    </row>
    <row r="447" spans="3:3" ht="15.75" customHeight="1" x14ac:dyDescent="0.25">
      <c r="C447" s="267"/>
    </row>
    <row r="448" spans="3:3" ht="15.75" customHeight="1" x14ac:dyDescent="0.25">
      <c r="C448" s="267"/>
    </row>
    <row r="449" spans="3:3" ht="15.75" customHeight="1" x14ac:dyDescent="0.25">
      <c r="C449" s="267"/>
    </row>
    <row r="450" spans="3:3" ht="15.75" customHeight="1" x14ac:dyDescent="0.25">
      <c r="C450" s="267"/>
    </row>
    <row r="451" spans="3:3" ht="15.75" customHeight="1" x14ac:dyDescent="0.25">
      <c r="C451" s="267"/>
    </row>
    <row r="452" spans="3:3" ht="15.75" customHeight="1" x14ac:dyDescent="0.25">
      <c r="C452" s="267"/>
    </row>
    <row r="453" spans="3:3" ht="15.75" customHeight="1" x14ac:dyDescent="0.25">
      <c r="C453" s="267"/>
    </row>
    <row r="454" spans="3:3" ht="15.75" customHeight="1" x14ac:dyDescent="0.25">
      <c r="C454" s="267"/>
    </row>
    <row r="455" spans="3:3" ht="15.75" customHeight="1" x14ac:dyDescent="0.25">
      <c r="C455" s="267"/>
    </row>
    <row r="456" spans="3:3" ht="15.75" customHeight="1" x14ac:dyDescent="0.25">
      <c r="C456" s="267"/>
    </row>
    <row r="457" spans="3:3" ht="15.75" customHeight="1" x14ac:dyDescent="0.25">
      <c r="C457" s="267"/>
    </row>
    <row r="458" spans="3:3" ht="15.75" customHeight="1" x14ac:dyDescent="0.25">
      <c r="C458" s="267"/>
    </row>
    <row r="459" spans="3:3" ht="15.75" customHeight="1" x14ac:dyDescent="0.25">
      <c r="C459" s="267"/>
    </row>
    <row r="460" spans="3:3" ht="15.75" customHeight="1" x14ac:dyDescent="0.25">
      <c r="C460" s="267"/>
    </row>
    <row r="461" spans="3:3" ht="15.75" customHeight="1" x14ac:dyDescent="0.25">
      <c r="C461" s="267"/>
    </row>
    <row r="462" spans="3:3" ht="15.75" customHeight="1" x14ac:dyDescent="0.25">
      <c r="C462" s="267"/>
    </row>
    <row r="463" spans="3:3" ht="15.75" customHeight="1" x14ac:dyDescent="0.25">
      <c r="C463" s="267"/>
    </row>
    <row r="464" spans="3:3" ht="15.75" customHeight="1" x14ac:dyDescent="0.25">
      <c r="C464" s="267"/>
    </row>
    <row r="465" spans="3:3" ht="15.75" customHeight="1" x14ac:dyDescent="0.25">
      <c r="C465" s="267"/>
    </row>
    <row r="466" spans="3:3" ht="15.75" customHeight="1" x14ac:dyDescent="0.25">
      <c r="C466" s="267"/>
    </row>
    <row r="467" spans="3:3" ht="15.75" customHeight="1" x14ac:dyDescent="0.25">
      <c r="C467" s="267"/>
    </row>
    <row r="468" spans="3:3" ht="15.75" customHeight="1" x14ac:dyDescent="0.25">
      <c r="C468" s="267"/>
    </row>
    <row r="469" spans="3:3" ht="15.75" customHeight="1" x14ac:dyDescent="0.25">
      <c r="C469" s="267"/>
    </row>
    <row r="470" spans="3:3" ht="15.75" customHeight="1" x14ac:dyDescent="0.25">
      <c r="C470" s="267"/>
    </row>
    <row r="471" spans="3:3" ht="15.75" customHeight="1" x14ac:dyDescent="0.25">
      <c r="C471" s="267"/>
    </row>
    <row r="472" spans="3:3" ht="15.75" customHeight="1" x14ac:dyDescent="0.25">
      <c r="C472" s="267"/>
    </row>
    <row r="473" spans="3:3" ht="15.75" customHeight="1" x14ac:dyDescent="0.25">
      <c r="C473" s="267"/>
    </row>
    <row r="474" spans="3:3" ht="15.75" customHeight="1" x14ac:dyDescent="0.25">
      <c r="C474" s="267"/>
    </row>
    <row r="475" spans="3:3" ht="15.75" customHeight="1" x14ac:dyDescent="0.25">
      <c r="C475" s="267"/>
    </row>
    <row r="476" spans="3:3" ht="15.75" customHeight="1" x14ac:dyDescent="0.25">
      <c r="C476" s="267"/>
    </row>
    <row r="477" spans="3:3" ht="15.75" customHeight="1" x14ac:dyDescent="0.25">
      <c r="C477" s="267"/>
    </row>
    <row r="478" spans="3:3" ht="15.75" customHeight="1" x14ac:dyDescent="0.25">
      <c r="C478" s="267"/>
    </row>
    <row r="479" spans="3:3" ht="15.75" customHeight="1" x14ac:dyDescent="0.25">
      <c r="C479" s="267"/>
    </row>
    <row r="480" spans="3:3" ht="15.75" customHeight="1" x14ac:dyDescent="0.25">
      <c r="C480" s="267"/>
    </row>
    <row r="481" spans="3:3" ht="15.75" customHeight="1" x14ac:dyDescent="0.25">
      <c r="C481" s="267"/>
    </row>
    <row r="482" spans="3:3" ht="15.75" customHeight="1" x14ac:dyDescent="0.25">
      <c r="C482" s="267"/>
    </row>
    <row r="483" spans="3:3" ht="15.75" customHeight="1" x14ac:dyDescent="0.25">
      <c r="C483" s="267"/>
    </row>
    <row r="484" spans="3:3" ht="15.75" customHeight="1" x14ac:dyDescent="0.25">
      <c r="C484" s="267"/>
    </row>
    <row r="485" spans="3:3" ht="15.75" customHeight="1" x14ac:dyDescent="0.25">
      <c r="C485" s="267"/>
    </row>
    <row r="486" spans="3:3" ht="15.75" customHeight="1" x14ac:dyDescent="0.25">
      <c r="C486" s="267"/>
    </row>
    <row r="487" spans="3:3" ht="15.75" customHeight="1" x14ac:dyDescent="0.25">
      <c r="C487" s="267"/>
    </row>
    <row r="488" spans="3:3" ht="15.75" customHeight="1" x14ac:dyDescent="0.25">
      <c r="C488" s="267"/>
    </row>
    <row r="489" spans="3:3" ht="15.75" customHeight="1" x14ac:dyDescent="0.25">
      <c r="C489" s="267"/>
    </row>
    <row r="490" spans="3:3" ht="15.75" customHeight="1" x14ac:dyDescent="0.25">
      <c r="C490" s="267"/>
    </row>
    <row r="491" spans="3:3" ht="15.75" customHeight="1" x14ac:dyDescent="0.25">
      <c r="C491" s="267"/>
    </row>
    <row r="492" spans="3:3" ht="15.75" customHeight="1" x14ac:dyDescent="0.25">
      <c r="C492" s="267"/>
    </row>
    <row r="493" spans="3:3" ht="15.75" customHeight="1" x14ac:dyDescent="0.25">
      <c r="C493" s="267"/>
    </row>
    <row r="494" spans="3:3" ht="15.75" customHeight="1" x14ac:dyDescent="0.25">
      <c r="C494" s="267"/>
    </row>
    <row r="495" spans="3:3" ht="15.75" customHeight="1" x14ac:dyDescent="0.25">
      <c r="C495" s="267"/>
    </row>
    <row r="496" spans="3:3" ht="15.75" customHeight="1" x14ac:dyDescent="0.25">
      <c r="C496" s="267"/>
    </row>
    <row r="497" spans="3:3" ht="15.75" customHeight="1" x14ac:dyDescent="0.25">
      <c r="C497" s="267"/>
    </row>
    <row r="498" spans="3:3" ht="15.75" customHeight="1" x14ac:dyDescent="0.25">
      <c r="C498" s="267"/>
    </row>
    <row r="499" spans="3:3" ht="15.75" customHeight="1" x14ac:dyDescent="0.25">
      <c r="C499" s="267"/>
    </row>
    <row r="500" spans="3:3" ht="15.75" customHeight="1" x14ac:dyDescent="0.25">
      <c r="C500" s="267"/>
    </row>
    <row r="501" spans="3:3" ht="15.75" customHeight="1" x14ac:dyDescent="0.25">
      <c r="C501" s="267"/>
    </row>
    <row r="502" spans="3:3" ht="15.75" customHeight="1" x14ac:dyDescent="0.25">
      <c r="C502" s="267"/>
    </row>
    <row r="503" spans="3:3" ht="15.75" customHeight="1" x14ac:dyDescent="0.25">
      <c r="C503" s="267"/>
    </row>
    <row r="504" spans="3:3" ht="15.75" customHeight="1" x14ac:dyDescent="0.25">
      <c r="C504" s="267"/>
    </row>
    <row r="505" spans="3:3" ht="15.75" customHeight="1" x14ac:dyDescent="0.25">
      <c r="C505" s="267"/>
    </row>
    <row r="506" spans="3:3" ht="15.75" customHeight="1" x14ac:dyDescent="0.25">
      <c r="C506" s="267"/>
    </row>
    <row r="507" spans="3:3" ht="15.75" customHeight="1" x14ac:dyDescent="0.25">
      <c r="C507" s="267"/>
    </row>
    <row r="508" spans="3:3" ht="15.75" customHeight="1" x14ac:dyDescent="0.25">
      <c r="C508" s="267"/>
    </row>
    <row r="509" spans="3:3" ht="15.75" customHeight="1" x14ac:dyDescent="0.25">
      <c r="C509" s="267"/>
    </row>
    <row r="510" spans="3:3" ht="15.75" customHeight="1" x14ac:dyDescent="0.25">
      <c r="C510" s="267"/>
    </row>
    <row r="511" spans="3:3" ht="15.75" customHeight="1" x14ac:dyDescent="0.25">
      <c r="C511" s="267"/>
    </row>
    <row r="512" spans="3:3" ht="15.75" customHeight="1" x14ac:dyDescent="0.25">
      <c r="C512" s="267"/>
    </row>
    <row r="513" spans="3:3" ht="15.75" customHeight="1" x14ac:dyDescent="0.25">
      <c r="C513" s="267"/>
    </row>
    <row r="514" spans="3:3" ht="15.75" customHeight="1" x14ac:dyDescent="0.25">
      <c r="C514" s="267"/>
    </row>
    <row r="515" spans="3:3" ht="15.75" customHeight="1" x14ac:dyDescent="0.25">
      <c r="C515" s="267"/>
    </row>
    <row r="516" spans="3:3" ht="15.75" customHeight="1" x14ac:dyDescent="0.25">
      <c r="C516" s="267"/>
    </row>
    <row r="517" spans="3:3" ht="15.75" customHeight="1" x14ac:dyDescent="0.25">
      <c r="C517" s="267"/>
    </row>
    <row r="518" spans="3:3" ht="15.75" customHeight="1" x14ac:dyDescent="0.25">
      <c r="C518" s="267"/>
    </row>
    <row r="519" spans="3:3" ht="15.75" customHeight="1" x14ac:dyDescent="0.25">
      <c r="C519" s="267"/>
    </row>
    <row r="520" spans="3:3" ht="15.75" customHeight="1" x14ac:dyDescent="0.25">
      <c r="C520" s="267"/>
    </row>
    <row r="521" spans="3:3" ht="15.75" customHeight="1" x14ac:dyDescent="0.25">
      <c r="C521" s="267"/>
    </row>
    <row r="522" spans="3:3" ht="15.75" customHeight="1" x14ac:dyDescent="0.25">
      <c r="C522" s="267"/>
    </row>
    <row r="523" spans="3:3" ht="15.75" customHeight="1" x14ac:dyDescent="0.25">
      <c r="C523" s="267"/>
    </row>
    <row r="524" spans="3:3" ht="15.75" customHeight="1" x14ac:dyDescent="0.25">
      <c r="C524" s="267"/>
    </row>
    <row r="525" spans="3:3" ht="15.75" customHeight="1" x14ac:dyDescent="0.25">
      <c r="C525" s="267"/>
    </row>
    <row r="526" spans="3:3" ht="15.75" customHeight="1" x14ac:dyDescent="0.25">
      <c r="C526" s="267"/>
    </row>
    <row r="527" spans="3:3" ht="15.75" customHeight="1" x14ac:dyDescent="0.25">
      <c r="C527" s="267"/>
    </row>
    <row r="528" spans="3:3" ht="15.75" customHeight="1" x14ac:dyDescent="0.25">
      <c r="C528" s="267"/>
    </row>
    <row r="529" spans="3:3" ht="15.75" customHeight="1" x14ac:dyDescent="0.25">
      <c r="C529" s="267"/>
    </row>
    <row r="530" spans="3:3" ht="15.75" customHeight="1" x14ac:dyDescent="0.25">
      <c r="C530" s="267"/>
    </row>
    <row r="531" spans="3:3" ht="15.75" customHeight="1" x14ac:dyDescent="0.25">
      <c r="C531" s="267"/>
    </row>
    <row r="532" spans="3:3" ht="15.75" customHeight="1" x14ac:dyDescent="0.25">
      <c r="C532" s="267"/>
    </row>
    <row r="533" spans="3:3" ht="15.75" customHeight="1" x14ac:dyDescent="0.25">
      <c r="C533" s="267"/>
    </row>
    <row r="534" spans="3:3" ht="15.75" customHeight="1" x14ac:dyDescent="0.25">
      <c r="C534" s="267"/>
    </row>
    <row r="535" spans="3:3" ht="15.75" customHeight="1" x14ac:dyDescent="0.25">
      <c r="C535" s="267"/>
    </row>
    <row r="536" spans="3:3" ht="15.75" customHeight="1" x14ac:dyDescent="0.25">
      <c r="C536" s="267"/>
    </row>
    <row r="537" spans="3:3" ht="15.75" customHeight="1" x14ac:dyDescent="0.25">
      <c r="C537" s="267"/>
    </row>
    <row r="538" spans="3:3" ht="15.75" customHeight="1" x14ac:dyDescent="0.25">
      <c r="C538" s="267"/>
    </row>
    <row r="539" spans="3:3" ht="15.75" customHeight="1" x14ac:dyDescent="0.25">
      <c r="C539" s="267"/>
    </row>
    <row r="540" spans="3:3" ht="15.75" customHeight="1" x14ac:dyDescent="0.25">
      <c r="C540" s="267"/>
    </row>
    <row r="541" spans="3:3" ht="15.75" customHeight="1" x14ac:dyDescent="0.25">
      <c r="C541" s="267"/>
    </row>
    <row r="542" spans="3:3" ht="15.75" customHeight="1" x14ac:dyDescent="0.25">
      <c r="C542" s="267"/>
    </row>
    <row r="543" spans="3:3" ht="15.75" customHeight="1" x14ac:dyDescent="0.25">
      <c r="C543" s="267"/>
    </row>
    <row r="544" spans="3:3" ht="15.75" customHeight="1" x14ac:dyDescent="0.25">
      <c r="C544" s="267"/>
    </row>
    <row r="545" spans="3:3" ht="15.75" customHeight="1" x14ac:dyDescent="0.25">
      <c r="C545" s="267"/>
    </row>
    <row r="546" spans="3:3" ht="15.75" customHeight="1" x14ac:dyDescent="0.25">
      <c r="C546" s="267"/>
    </row>
    <row r="547" spans="3:3" ht="15.75" customHeight="1" x14ac:dyDescent="0.25">
      <c r="C547" s="267"/>
    </row>
    <row r="548" spans="3:3" ht="15.75" customHeight="1" x14ac:dyDescent="0.25">
      <c r="C548" s="267"/>
    </row>
    <row r="549" spans="3:3" ht="15.75" customHeight="1" x14ac:dyDescent="0.25">
      <c r="C549" s="267"/>
    </row>
    <row r="550" spans="3:3" ht="15.75" customHeight="1" x14ac:dyDescent="0.25">
      <c r="C550" s="267"/>
    </row>
    <row r="551" spans="3:3" ht="15.75" customHeight="1" x14ac:dyDescent="0.25">
      <c r="C551" s="267"/>
    </row>
    <row r="552" spans="3:3" ht="15.75" customHeight="1" x14ac:dyDescent="0.25">
      <c r="C552" s="267"/>
    </row>
    <row r="553" spans="3:3" ht="15.75" customHeight="1" x14ac:dyDescent="0.25">
      <c r="C553" s="267"/>
    </row>
    <row r="554" spans="3:3" ht="15.75" customHeight="1" x14ac:dyDescent="0.25">
      <c r="C554" s="267"/>
    </row>
    <row r="555" spans="3:3" ht="15.75" customHeight="1" x14ac:dyDescent="0.25">
      <c r="C555" s="267"/>
    </row>
    <row r="556" spans="3:3" ht="15.75" customHeight="1" x14ac:dyDescent="0.25">
      <c r="C556" s="267"/>
    </row>
    <row r="557" spans="3:3" ht="15.75" customHeight="1" x14ac:dyDescent="0.25">
      <c r="C557" s="267"/>
    </row>
    <row r="558" spans="3:3" ht="15.75" customHeight="1" x14ac:dyDescent="0.25">
      <c r="C558" s="267"/>
    </row>
    <row r="559" spans="3:3" ht="15.75" customHeight="1" x14ac:dyDescent="0.25">
      <c r="C559" s="267"/>
    </row>
    <row r="560" spans="3:3" ht="15.75" customHeight="1" x14ac:dyDescent="0.25">
      <c r="C560" s="267"/>
    </row>
    <row r="561" spans="3:3" ht="15.75" customHeight="1" x14ac:dyDescent="0.25">
      <c r="C561" s="267"/>
    </row>
    <row r="562" spans="3:3" ht="15.75" customHeight="1" x14ac:dyDescent="0.25">
      <c r="C562" s="267"/>
    </row>
    <row r="563" spans="3:3" ht="15.75" customHeight="1" x14ac:dyDescent="0.25">
      <c r="C563" s="267"/>
    </row>
    <row r="564" spans="3:3" ht="15.75" customHeight="1" x14ac:dyDescent="0.25">
      <c r="C564" s="267"/>
    </row>
    <row r="565" spans="3:3" ht="15.75" customHeight="1" x14ac:dyDescent="0.25">
      <c r="C565" s="267"/>
    </row>
    <row r="566" spans="3:3" ht="15.75" customHeight="1" x14ac:dyDescent="0.25">
      <c r="C566" s="267"/>
    </row>
    <row r="567" spans="3:3" ht="15.75" customHeight="1" x14ac:dyDescent="0.25">
      <c r="C567" s="267"/>
    </row>
    <row r="568" spans="3:3" ht="15.75" customHeight="1" x14ac:dyDescent="0.25">
      <c r="C568" s="267"/>
    </row>
    <row r="569" spans="3:3" ht="15.75" customHeight="1" x14ac:dyDescent="0.25">
      <c r="C569" s="267"/>
    </row>
    <row r="570" spans="3:3" ht="15.75" customHeight="1" x14ac:dyDescent="0.25">
      <c r="C570" s="267"/>
    </row>
    <row r="571" spans="3:3" ht="15.75" customHeight="1" x14ac:dyDescent="0.25">
      <c r="C571" s="267"/>
    </row>
    <row r="572" spans="3:3" ht="15.75" customHeight="1" x14ac:dyDescent="0.25">
      <c r="C572" s="267"/>
    </row>
    <row r="573" spans="3:3" ht="15.75" customHeight="1" x14ac:dyDescent="0.25">
      <c r="C573" s="267"/>
    </row>
    <row r="574" spans="3:3" ht="15.75" customHeight="1" x14ac:dyDescent="0.25">
      <c r="C574" s="267"/>
    </row>
    <row r="575" spans="3:3" ht="15.75" customHeight="1" x14ac:dyDescent="0.25">
      <c r="C575" s="267"/>
    </row>
    <row r="576" spans="3:3" ht="15.75" customHeight="1" x14ac:dyDescent="0.25">
      <c r="C576" s="267"/>
    </row>
    <row r="577" spans="3:3" ht="15.75" customHeight="1" x14ac:dyDescent="0.25">
      <c r="C577" s="267"/>
    </row>
    <row r="578" spans="3:3" ht="15.75" customHeight="1" x14ac:dyDescent="0.25">
      <c r="C578" s="267"/>
    </row>
    <row r="579" spans="3:3" ht="15.75" customHeight="1" x14ac:dyDescent="0.25">
      <c r="C579" s="267"/>
    </row>
    <row r="580" spans="3:3" ht="15.75" customHeight="1" x14ac:dyDescent="0.25">
      <c r="C580" s="267"/>
    </row>
    <row r="581" spans="3:3" ht="15.75" customHeight="1" x14ac:dyDescent="0.25">
      <c r="C581" s="267"/>
    </row>
    <row r="582" spans="3:3" ht="15.75" customHeight="1" x14ac:dyDescent="0.25">
      <c r="C582" s="267"/>
    </row>
    <row r="583" spans="3:3" ht="15.75" customHeight="1" x14ac:dyDescent="0.25">
      <c r="C583" s="267"/>
    </row>
    <row r="584" spans="3:3" ht="15.75" customHeight="1" x14ac:dyDescent="0.25">
      <c r="C584" s="267"/>
    </row>
    <row r="585" spans="3:3" ht="15.75" customHeight="1" x14ac:dyDescent="0.25">
      <c r="C585" s="267"/>
    </row>
    <row r="586" spans="3:3" ht="15.75" customHeight="1" x14ac:dyDescent="0.25">
      <c r="C586" s="267"/>
    </row>
    <row r="587" spans="3:3" ht="15.75" customHeight="1" x14ac:dyDescent="0.25">
      <c r="C587" s="267"/>
    </row>
    <row r="588" spans="3:3" ht="15.75" customHeight="1" x14ac:dyDescent="0.25">
      <c r="C588" s="267"/>
    </row>
    <row r="589" spans="3:3" ht="15.75" customHeight="1" x14ac:dyDescent="0.25">
      <c r="C589" s="267"/>
    </row>
    <row r="590" spans="3:3" ht="15.75" customHeight="1" x14ac:dyDescent="0.25">
      <c r="C590" s="267"/>
    </row>
    <row r="591" spans="3:3" ht="15.75" customHeight="1" x14ac:dyDescent="0.25">
      <c r="C591" s="267"/>
    </row>
    <row r="592" spans="3:3" ht="15.75" customHeight="1" x14ac:dyDescent="0.25">
      <c r="C592" s="267"/>
    </row>
    <row r="593" spans="3:3" ht="15.75" customHeight="1" x14ac:dyDescent="0.25">
      <c r="C593" s="267"/>
    </row>
    <row r="594" spans="3:3" ht="15.75" customHeight="1" x14ac:dyDescent="0.25">
      <c r="C594" s="267"/>
    </row>
    <row r="595" spans="3:3" ht="15.75" customHeight="1" x14ac:dyDescent="0.25">
      <c r="C595" s="267"/>
    </row>
    <row r="596" spans="3:3" ht="15.75" customHeight="1" x14ac:dyDescent="0.25">
      <c r="C596" s="267"/>
    </row>
    <row r="597" spans="3:3" ht="15.75" customHeight="1" x14ac:dyDescent="0.25">
      <c r="C597" s="267"/>
    </row>
    <row r="598" spans="3:3" ht="15.75" customHeight="1" x14ac:dyDescent="0.25">
      <c r="C598" s="267"/>
    </row>
    <row r="599" spans="3:3" ht="15.75" customHeight="1" x14ac:dyDescent="0.25">
      <c r="C599" s="267"/>
    </row>
    <row r="600" spans="3:3" ht="15.75" customHeight="1" x14ac:dyDescent="0.25">
      <c r="C600" s="267"/>
    </row>
    <row r="601" spans="3:3" ht="15.75" customHeight="1" x14ac:dyDescent="0.25">
      <c r="C601" s="267"/>
    </row>
    <row r="602" spans="3:3" ht="15.75" customHeight="1" x14ac:dyDescent="0.25">
      <c r="C602" s="267"/>
    </row>
    <row r="603" spans="3:3" ht="15.75" customHeight="1" x14ac:dyDescent="0.25">
      <c r="C603" s="267"/>
    </row>
    <row r="604" spans="3:3" ht="15.75" customHeight="1" x14ac:dyDescent="0.25">
      <c r="C604" s="267"/>
    </row>
    <row r="605" spans="3:3" ht="15.75" customHeight="1" x14ac:dyDescent="0.25">
      <c r="C605" s="267"/>
    </row>
    <row r="606" spans="3:3" ht="15.75" customHeight="1" x14ac:dyDescent="0.25">
      <c r="C606" s="267"/>
    </row>
    <row r="607" spans="3:3" ht="15.75" customHeight="1" x14ac:dyDescent="0.25">
      <c r="C607" s="267"/>
    </row>
    <row r="608" spans="3:3" ht="15.75" customHeight="1" x14ac:dyDescent="0.25">
      <c r="C608" s="267"/>
    </row>
    <row r="609" spans="3:3" ht="15.75" customHeight="1" x14ac:dyDescent="0.25">
      <c r="C609" s="267"/>
    </row>
    <row r="610" spans="3:3" ht="15.75" customHeight="1" x14ac:dyDescent="0.25">
      <c r="C610" s="267"/>
    </row>
    <row r="611" spans="3:3" ht="15.75" customHeight="1" x14ac:dyDescent="0.25">
      <c r="C611" s="267"/>
    </row>
    <row r="612" spans="3:3" ht="15.75" customHeight="1" x14ac:dyDescent="0.25">
      <c r="C612" s="267"/>
    </row>
    <row r="613" spans="3:3" ht="15.75" customHeight="1" x14ac:dyDescent="0.25">
      <c r="C613" s="267"/>
    </row>
    <row r="614" spans="3:3" ht="15.75" customHeight="1" x14ac:dyDescent="0.25">
      <c r="C614" s="267"/>
    </row>
    <row r="615" spans="3:3" ht="15.75" customHeight="1" x14ac:dyDescent="0.25">
      <c r="C615" s="267"/>
    </row>
    <row r="616" spans="3:3" ht="15.75" customHeight="1" x14ac:dyDescent="0.25">
      <c r="C616" s="267"/>
    </row>
    <row r="617" spans="3:3" ht="15.75" customHeight="1" x14ac:dyDescent="0.25">
      <c r="C617" s="267"/>
    </row>
    <row r="618" spans="3:3" ht="15.75" customHeight="1" x14ac:dyDescent="0.25">
      <c r="C618" s="267"/>
    </row>
    <row r="619" spans="3:3" ht="15.75" customHeight="1" x14ac:dyDescent="0.25">
      <c r="C619" s="267"/>
    </row>
    <row r="620" spans="3:3" ht="15.75" customHeight="1" x14ac:dyDescent="0.25">
      <c r="C620" s="267"/>
    </row>
    <row r="621" spans="3:3" ht="15.75" customHeight="1" x14ac:dyDescent="0.25">
      <c r="C621" s="267"/>
    </row>
    <row r="622" spans="3:3" ht="15.75" customHeight="1" x14ac:dyDescent="0.25">
      <c r="C622" s="267"/>
    </row>
    <row r="623" spans="3:3" ht="15.75" customHeight="1" x14ac:dyDescent="0.25">
      <c r="C623" s="267"/>
    </row>
    <row r="624" spans="3:3" ht="15.75" customHeight="1" x14ac:dyDescent="0.25">
      <c r="C624" s="267"/>
    </row>
    <row r="625" spans="3:3" ht="15.75" customHeight="1" x14ac:dyDescent="0.25">
      <c r="C625" s="267"/>
    </row>
    <row r="626" spans="3:3" ht="15.75" customHeight="1" x14ac:dyDescent="0.25">
      <c r="C626" s="267"/>
    </row>
    <row r="627" spans="3:3" ht="15.75" customHeight="1" x14ac:dyDescent="0.25">
      <c r="C627" s="267"/>
    </row>
    <row r="628" spans="3:3" ht="15.75" customHeight="1" x14ac:dyDescent="0.25">
      <c r="C628" s="267"/>
    </row>
    <row r="629" spans="3:3" ht="15.75" customHeight="1" x14ac:dyDescent="0.25">
      <c r="C629" s="267"/>
    </row>
    <row r="630" spans="3:3" ht="15.75" customHeight="1" x14ac:dyDescent="0.25">
      <c r="C630" s="267"/>
    </row>
    <row r="631" spans="3:3" ht="15.75" customHeight="1" x14ac:dyDescent="0.25">
      <c r="C631" s="267"/>
    </row>
    <row r="632" spans="3:3" ht="15.75" customHeight="1" x14ac:dyDescent="0.25">
      <c r="C632" s="267"/>
    </row>
    <row r="633" spans="3:3" ht="15.75" customHeight="1" x14ac:dyDescent="0.25">
      <c r="C633" s="267"/>
    </row>
    <row r="634" spans="3:3" ht="15.75" customHeight="1" x14ac:dyDescent="0.25">
      <c r="C634" s="267"/>
    </row>
    <row r="635" spans="3:3" ht="15.75" customHeight="1" x14ac:dyDescent="0.25">
      <c r="C635" s="267"/>
    </row>
    <row r="636" spans="3:3" ht="15.75" customHeight="1" x14ac:dyDescent="0.25">
      <c r="C636" s="267"/>
    </row>
    <row r="637" spans="3:3" ht="15.75" customHeight="1" x14ac:dyDescent="0.25">
      <c r="C637" s="267"/>
    </row>
    <row r="638" spans="3:3" ht="15.75" customHeight="1" x14ac:dyDescent="0.25">
      <c r="C638" s="267"/>
    </row>
    <row r="639" spans="3:3" ht="15.75" customHeight="1" x14ac:dyDescent="0.25">
      <c r="C639" s="267"/>
    </row>
    <row r="640" spans="3:3" ht="15.75" customHeight="1" x14ac:dyDescent="0.25">
      <c r="C640" s="267"/>
    </row>
    <row r="641" spans="3:3" ht="15.75" customHeight="1" x14ac:dyDescent="0.25">
      <c r="C641" s="267"/>
    </row>
    <row r="642" spans="3:3" ht="15.75" customHeight="1" x14ac:dyDescent="0.25">
      <c r="C642" s="267"/>
    </row>
    <row r="643" spans="3:3" ht="15.75" customHeight="1" x14ac:dyDescent="0.25">
      <c r="C643" s="267"/>
    </row>
    <row r="644" spans="3:3" ht="15.75" customHeight="1" x14ac:dyDescent="0.25">
      <c r="C644" s="267"/>
    </row>
    <row r="645" spans="3:3" ht="15.75" customHeight="1" x14ac:dyDescent="0.25">
      <c r="C645" s="267"/>
    </row>
    <row r="646" spans="3:3" ht="15.75" customHeight="1" x14ac:dyDescent="0.25">
      <c r="C646" s="267"/>
    </row>
    <row r="647" spans="3:3" ht="15.75" customHeight="1" x14ac:dyDescent="0.25">
      <c r="C647" s="267"/>
    </row>
    <row r="648" spans="3:3" ht="15.75" customHeight="1" x14ac:dyDescent="0.25">
      <c r="C648" s="267"/>
    </row>
    <row r="649" spans="3:3" ht="15.75" customHeight="1" x14ac:dyDescent="0.25">
      <c r="C649" s="267"/>
    </row>
    <row r="650" spans="3:3" ht="15.75" customHeight="1" x14ac:dyDescent="0.25">
      <c r="C650" s="267"/>
    </row>
    <row r="651" spans="3:3" ht="15.75" customHeight="1" x14ac:dyDescent="0.25">
      <c r="C651" s="267"/>
    </row>
    <row r="652" spans="3:3" ht="15.75" customHeight="1" x14ac:dyDescent="0.25">
      <c r="C652" s="267"/>
    </row>
    <row r="653" spans="3:3" ht="15.75" customHeight="1" x14ac:dyDescent="0.25">
      <c r="C653" s="267"/>
    </row>
    <row r="654" spans="3:3" ht="15.75" customHeight="1" x14ac:dyDescent="0.25">
      <c r="C654" s="267"/>
    </row>
    <row r="655" spans="3:3" ht="15.75" customHeight="1" x14ac:dyDescent="0.25">
      <c r="C655" s="267"/>
    </row>
    <row r="656" spans="3:3" ht="15.75" customHeight="1" x14ac:dyDescent="0.25">
      <c r="C656" s="267"/>
    </row>
    <row r="657" spans="3:3" ht="15.75" customHeight="1" x14ac:dyDescent="0.25">
      <c r="C657" s="267"/>
    </row>
    <row r="658" spans="3:3" ht="15.75" customHeight="1" x14ac:dyDescent="0.25">
      <c r="C658" s="267"/>
    </row>
    <row r="659" spans="3:3" ht="15.75" customHeight="1" x14ac:dyDescent="0.25">
      <c r="C659" s="267"/>
    </row>
    <row r="660" spans="3:3" ht="15.75" customHeight="1" x14ac:dyDescent="0.25">
      <c r="C660" s="267"/>
    </row>
    <row r="661" spans="3:3" ht="15.75" customHeight="1" x14ac:dyDescent="0.25">
      <c r="C661" s="267"/>
    </row>
    <row r="662" spans="3:3" ht="15.75" customHeight="1" x14ac:dyDescent="0.25">
      <c r="C662" s="267"/>
    </row>
    <row r="663" spans="3:3" ht="15.75" customHeight="1" x14ac:dyDescent="0.25">
      <c r="C663" s="267"/>
    </row>
    <row r="664" spans="3:3" ht="15.75" customHeight="1" x14ac:dyDescent="0.25">
      <c r="C664" s="267"/>
    </row>
    <row r="665" spans="3:3" ht="15.75" customHeight="1" x14ac:dyDescent="0.25">
      <c r="C665" s="267"/>
    </row>
    <row r="666" spans="3:3" ht="15.75" customHeight="1" x14ac:dyDescent="0.25">
      <c r="C666" s="267"/>
    </row>
    <row r="667" spans="3:3" ht="15.75" customHeight="1" x14ac:dyDescent="0.25">
      <c r="C667" s="267"/>
    </row>
    <row r="668" spans="3:3" ht="15.75" customHeight="1" x14ac:dyDescent="0.25">
      <c r="C668" s="267"/>
    </row>
    <row r="669" spans="3:3" ht="15.75" customHeight="1" x14ac:dyDescent="0.25">
      <c r="C669" s="267"/>
    </row>
    <row r="670" spans="3:3" ht="15.75" customHeight="1" x14ac:dyDescent="0.25">
      <c r="C670" s="267"/>
    </row>
    <row r="671" spans="3:3" ht="15.75" customHeight="1" x14ac:dyDescent="0.25">
      <c r="C671" s="267"/>
    </row>
    <row r="672" spans="3:3" ht="15.75" customHeight="1" x14ac:dyDescent="0.25">
      <c r="C672" s="267"/>
    </row>
    <row r="673" spans="3:3" ht="15.75" customHeight="1" x14ac:dyDescent="0.25">
      <c r="C673" s="267"/>
    </row>
    <row r="674" spans="3:3" ht="15.75" customHeight="1" x14ac:dyDescent="0.25">
      <c r="C674" s="267"/>
    </row>
    <row r="675" spans="3:3" ht="15.75" customHeight="1" x14ac:dyDescent="0.25">
      <c r="C675" s="267"/>
    </row>
    <row r="676" spans="3:3" ht="15.75" customHeight="1" x14ac:dyDescent="0.25">
      <c r="C676" s="267"/>
    </row>
    <row r="677" spans="3:3" ht="15.75" customHeight="1" x14ac:dyDescent="0.25">
      <c r="C677" s="267"/>
    </row>
    <row r="678" spans="3:3" ht="15.75" customHeight="1" x14ac:dyDescent="0.25">
      <c r="C678" s="267"/>
    </row>
    <row r="679" spans="3:3" ht="15.75" customHeight="1" x14ac:dyDescent="0.25">
      <c r="C679" s="267"/>
    </row>
    <row r="680" spans="3:3" ht="15.75" customHeight="1" x14ac:dyDescent="0.25">
      <c r="C680" s="267"/>
    </row>
    <row r="681" spans="3:3" ht="15.75" customHeight="1" x14ac:dyDescent="0.25">
      <c r="C681" s="267"/>
    </row>
    <row r="682" spans="3:3" ht="15.75" customHeight="1" x14ac:dyDescent="0.25">
      <c r="C682" s="267"/>
    </row>
    <row r="683" spans="3:3" ht="15.75" customHeight="1" x14ac:dyDescent="0.25">
      <c r="C683" s="267"/>
    </row>
    <row r="684" spans="3:3" ht="15.75" customHeight="1" x14ac:dyDescent="0.25">
      <c r="C684" s="267"/>
    </row>
    <row r="685" spans="3:3" ht="15.75" customHeight="1" x14ac:dyDescent="0.25">
      <c r="C685" s="267"/>
    </row>
    <row r="686" spans="3:3" ht="15.75" customHeight="1" x14ac:dyDescent="0.25">
      <c r="C686" s="267"/>
    </row>
    <row r="687" spans="3:3" ht="15.75" customHeight="1" x14ac:dyDescent="0.25">
      <c r="C687" s="267"/>
    </row>
    <row r="688" spans="3:3" ht="15.75" customHeight="1" x14ac:dyDescent="0.25">
      <c r="C688" s="267"/>
    </row>
    <row r="689" spans="3:3" ht="15.75" customHeight="1" x14ac:dyDescent="0.25">
      <c r="C689" s="267"/>
    </row>
    <row r="690" spans="3:3" ht="15.75" customHeight="1" x14ac:dyDescent="0.25">
      <c r="C690" s="267"/>
    </row>
    <row r="691" spans="3:3" ht="15.75" customHeight="1" x14ac:dyDescent="0.25">
      <c r="C691" s="267"/>
    </row>
    <row r="692" spans="3:3" ht="15.75" customHeight="1" x14ac:dyDescent="0.25">
      <c r="C692" s="267"/>
    </row>
    <row r="693" spans="3:3" ht="15.75" customHeight="1" x14ac:dyDescent="0.25">
      <c r="C693" s="267"/>
    </row>
    <row r="694" spans="3:3" ht="15.75" customHeight="1" x14ac:dyDescent="0.25">
      <c r="C694" s="267"/>
    </row>
    <row r="695" spans="3:3" ht="15.75" customHeight="1" x14ac:dyDescent="0.25">
      <c r="C695" s="267"/>
    </row>
    <row r="696" spans="3:3" ht="15.75" customHeight="1" x14ac:dyDescent="0.25">
      <c r="C696" s="267"/>
    </row>
    <row r="697" spans="3:3" ht="15.75" customHeight="1" x14ac:dyDescent="0.25">
      <c r="C697" s="267"/>
    </row>
    <row r="698" spans="3:3" ht="15.75" customHeight="1" x14ac:dyDescent="0.25">
      <c r="C698" s="267"/>
    </row>
    <row r="699" spans="3:3" ht="15.75" customHeight="1" x14ac:dyDescent="0.25">
      <c r="C699" s="267"/>
    </row>
    <row r="700" spans="3:3" ht="15.75" customHeight="1" x14ac:dyDescent="0.25">
      <c r="C700" s="267"/>
    </row>
    <row r="701" spans="3:3" ht="15.75" customHeight="1" x14ac:dyDescent="0.25">
      <c r="C701" s="267"/>
    </row>
    <row r="702" spans="3:3" ht="15.75" customHeight="1" x14ac:dyDescent="0.25">
      <c r="C702" s="267"/>
    </row>
    <row r="703" spans="3:3" ht="15.75" customHeight="1" x14ac:dyDescent="0.25">
      <c r="C703" s="267"/>
    </row>
    <row r="704" spans="3:3" ht="15.75" customHeight="1" x14ac:dyDescent="0.25">
      <c r="C704" s="267"/>
    </row>
    <row r="705" spans="3:3" ht="15.75" customHeight="1" x14ac:dyDescent="0.25">
      <c r="C705" s="267"/>
    </row>
    <row r="706" spans="3:3" ht="15.75" customHeight="1" x14ac:dyDescent="0.25">
      <c r="C706" s="267"/>
    </row>
    <row r="707" spans="3:3" ht="15.75" customHeight="1" x14ac:dyDescent="0.25">
      <c r="C707" s="267"/>
    </row>
    <row r="708" spans="3:3" ht="15.75" customHeight="1" x14ac:dyDescent="0.25">
      <c r="C708" s="267"/>
    </row>
    <row r="709" spans="3:3" ht="15.75" customHeight="1" x14ac:dyDescent="0.25">
      <c r="C709" s="267"/>
    </row>
    <row r="710" spans="3:3" ht="15.75" customHeight="1" x14ac:dyDescent="0.25">
      <c r="C710" s="267"/>
    </row>
    <row r="711" spans="3:3" ht="15.75" customHeight="1" x14ac:dyDescent="0.25">
      <c r="C711" s="267"/>
    </row>
    <row r="712" spans="3:3" ht="15.75" customHeight="1" x14ac:dyDescent="0.25">
      <c r="C712" s="267"/>
    </row>
    <row r="713" spans="3:3" ht="15.75" customHeight="1" x14ac:dyDescent="0.25">
      <c r="C713" s="267"/>
    </row>
    <row r="714" spans="3:3" ht="15.75" customHeight="1" x14ac:dyDescent="0.25">
      <c r="C714" s="267"/>
    </row>
    <row r="715" spans="3:3" ht="15.75" customHeight="1" x14ac:dyDescent="0.25">
      <c r="C715" s="267"/>
    </row>
    <row r="716" spans="3:3" ht="15.75" customHeight="1" x14ac:dyDescent="0.25">
      <c r="C716" s="267"/>
    </row>
    <row r="717" spans="3:3" ht="15.75" customHeight="1" x14ac:dyDescent="0.25">
      <c r="C717" s="267"/>
    </row>
    <row r="718" spans="3:3" ht="15.75" customHeight="1" x14ac:dyDescent="0.25">
      <c r="C718" s="267"/>
    </row>
    <row r="719" spans="3:3" ht="15.75" customHeight="1" x14ac:dyDescent="0.25">
      <c r="C719" s="267"/>
    </row>
    <row r="720" spans="3:3" ht="15.75" customHeight="1" x14ac:dyDescent="0.25">
      <c r="C720" s="267"/>
    </row>
    <row r="721" spans="3:3" ht="15.75" customHeight="1" x14ac:dyDescent="0.25">
      <c r="C721" s="267"/>
    </row>
    <row r="722" spans="3:3" ht="15.75" customHeight="1" x14ac:dyDescent="0.25">
      <c r="C722" s="267"/>
    </row>
    <row r="723" spans="3:3" ht="15.75" customHeight="1" x14ac:dyDescent="0.25">
      <c r="C723" s="267"/>
    </row>
    <row r="724" spans="3:3" ht="15.75" customHeight="1" x14ac:dyDescent="0.25">
      <c r="C724" s="267"/>
    </row>
    <row r="725" spans="3:3" ht="15.75" customHeight="1" x14ac:dyDescent="0.25">
      <c r="C725" s="267"/>
    </row>
    <row r="726" spans="3:3" ht="15.75" customHeight="1" x14ac:dyDescent="0.25">
      <c r="C726" s="267"/>
    </row>
    <row r="727" spans="3:3" ht="15.75" customHeight="1" x14ac:dyDescent="0.25">
      <c r="C727" s="267"/>
    </row>
    <row r="728" spans="3:3" ht="15.75" customHeight="1" x14ac:dyDescent="0.25">
      <c r="C728" s="267"/>
    </row>
    <row r="729" spans="3:3" ht="15.75" customHeight="1" x14ac:dyDescent="0.25">
      <c r="C729" s="267"/>
    </row>
    <row r="730" spans="3:3" ht="15.75" customHeight="1" x14ac:dyDescent="0.25">
      <c r="C730" s="267"/>
    </row>
    <row r="731" spans="3:3" ht="15.75" customHeight="1" x14ac:dyDescent="0.25">
      <c r="C731" s="267"/>
    </row>
    <row r="732" spans="3:3" ht="15.75" customHeight="1" x14ac:dyDescent="0.25">
      <c r="C732" s="267"/>
    </row>
    <row r="733" spans="3:3" ht="15.75" customHeight="1" x14ac:dyDescent="0.25">
      <c r="C733" s="267"/>
    </row>
    <row r="734" spans="3:3" ht="15.75" customHeight="1" x14ac:dyDescent="0.25">
      <c r="C734" s="267"/>
    </row>
    <row r="735" spans="3:3" ht="15.75" customHeight="1" x14ac:dyDescent="0.25">
      <c r="C735" s="267"/>
    </row>
    <row r="736" spans="3:3" ht="15.75" customHeight="1" x14ac:dyDescent="0.25">
      <c r="C736" s="267"/>
    </row>
    <row r="737" spans="3:3" ht="15.75" customHeight="1" x14ac:dyDescent="0.25">
      <c r="C737" s="267"/>
    </row>
    <row r="738" spans="3:3" ht="15.75" customHeight="1" x14ac:dyDescent="0.25">
      <c r="C738" s="267"/>
    </row>
    <row r="739" spans="3:3" ht="15.75" customHeight="1" x14ac:dyDescent="0.25">
      <c r="C739" s="267"/>
    </row>
    <row r="740" spans="3:3" ht="15.75" customHeight="1" x14ac:dyDescent="0.25">
      <c r="C740" s="267"/>
    </row>
    <row r="741" spans="3:3" ht="15.75" customHeight="1" x14ac:dyDescent="0.25">
      <c r="C741" s="267"/>
    </row>
    <row r="742" spans="3:3" ht="15.75" customHeight="1" x14ac:dyDescent="0.25">
      <c r="C742" s="267"/>
    </row>
    <row r="743" spans="3:3" ht="15.75" customHeight="1" x14ac:dyDescent="0.25">
      <c r="C743" s="267"/>
    </row>
    <row r="744" spans="3:3" ht="15.75" customHeight="1" x14ac:dyDescent="0.25">
      <c r="C744" s="267"/>
    </row>
    <row r="745" spans="3:3" ht="15.75" customHeight="1" x14ac:dyDescent="0.25">
      <c r="C745" s="267"/>
    </row>
    <row r="746" spans="3:3" ht="15.75" customHeight="1" x14ac:dyDescent="0.25">
      <c r="C746" s="267"/>
    </row>
    <row r="747" spans="3:3" ht="15.75" customHeight="1" x14ac:dyDescent="0.25">
      <c r="C747" s="267"/>
    </row>
    <row r="748" spans="3:3" ht="15.75" customHeight="1" x14ac:dyDescent="0.25">
      <c r="C748" s="267"/>
    </row>
    <row r="749" spans="3:3" ht="15.75" customHeight="1" x14ac:dyDescent="0.25">
      <c r="C749" s="267"/>
    </row>
    <row r="750" spans="3:3" ht="15.75" customHeight="1" x14ac:dyDescent="0.25">
      <c r="C750" s="267"/>
    </row>
    <row r="751" spans="3:3" ht="15.75" customHeight="1" x14ac:dyDescent="0.25">
      <c r="C751" s="267"/>
    </row>
    <row r="752" spans="3:3" ht="15.75" customHeight="1" x14ac:dyDescent="0.25">
      <c r="C752" s="267"/>
    </row>
    <row r="753" spans="3:3" ht="15.75" customHeight="1" x14ac:dyDescent="0.25">
      <c r="C753" s="267"/>
    </row>
    <row r="754" spans="3:3" ht="15.75" customHeight="1" x14ac:dyDescent="0.25">
      <c r="C754" s="267"/>
    </row>
    <row r="755" spans="3:3" ht="15.75" customHeight="1" x14ac:dyDescent="0.25">
      <c r="C755" s="267"/>
    </row>
    <row r="756" spans="3:3" ht="15.75" customHeight="1" x14ac:dyDescent="0.25">
      <c r="C756" s="267"/>
    </row>
    <row r="757" spans="3:3" ht="15.75" customHeight="1" x14ac:dyDescent="0.25">
      <c r="C757" s="267"/>
    </row>
    <row r="758" spans="3:3" ht="15.75" customHeight="1" x14ac:dyDescent="0.25">
      <c r="C758" s="267"/>
    </row>
    <row r="759" spans="3:3" ht="15.75" customHeight="1" x14ac:dyDescent="0.25">
      <c r="C759" s="267"/>
    </row>
    <row r="760" spans="3:3" ht="15.75" customHeight="1" x14ac:dyDescent="0.25">
      <c r="C760" s="267"/>
    </row>
    <row r="761" spans="3:3" ht="15.75" customHeight="1" x14ac:dyDescent="0.25">
      <c r="C761" s="267"/>
    </row>
    <row r="762" spans="3:3" ht="15.75" customHeight="1" x14ac:dyDescent="0.25">
      <c r="C762" s="267"/>
    </row>
    <row r="763" spans="3:3" ht="15.75" customHeight="1" x14ac:dyDescent="0.25">
      <c r="C763" s="267"/>
    </row>
    <row r="764" spans="3:3" ht="15.75" customHeight="1" x14ac:dyDescent="0.25">
      <c r="C764" s="267"/>
    </row>
    <row r="765" spans="3:3" ht="15.75" customHeight="1" x14ac:dyDescent="0.25">
      <c r="C765" s="267"/>
    </row>
    <row r="766" spans="3:3" ht="15.75" customHeight="1" x14ac:dyDescent="0.25">
      <c r="C766" s="267"/>
    </row>
    <row r="767" spans="3:3" ht="15.75" customHeight="1" x14ac:dyDescent="0.25">
      <c r="C767" s="267"/>
    </row>
    <row r="768" spans="3:3" ht="15.75" customHeight="1" x14ac:dyDescent="0.25">
      <c r="C768" s="267"/>
    </row>
    <row r="769" spans="3:3" ht="15.75" customHeight="1" x14ac:dyDescent="0.25">
      <c r="C769" s="267"/>
    </row>
    <row r="770" spans="3:3" ht="15.75" customHeight="1" x14ac:dyDescent="0.25">
      <c r="C770" s="267"/>
    </row>
    <row r="771" spans="3:3" ht="15.75" customHeight="1" x14ac:dyDescent="0.25">
      <c r="C771" s="267"/>
    </row>
    <row r="772" spans="3:3" ht="15.75" customHeight="1" x14ac:dyDescent="0.25">
      <c r="C772" s="267"/>
    </row>
    <row r="773" spans="3:3" ht="15.75" customHeight="1" x14ac:dyDescent="0.25">
      <c r="C773" s="267"/>
    </row>
    <row r="774" spans="3:3" ht="15.75" customHeight="1" x14ac:dyDescent="0.25">
      <c r="C774" s="267"/>
    </row>
    <row r="775" spans="3:3" ht="15.75" customHeight="1" x14ac:dyDescent="0.25">
      <c r="C775" s="267"/>
    </row>
    <row r="776" spans="3:3" ht="15.75" customHeight="1" x14ac:dyDescent="0.25">
      <c r="C776" s="267"/>
    </row>
    <row r="777" spans="3:3" ht="15.75" customHeight="1" x14ac:dyDescent="0.25">
      <c r="C777" s="267"/>
    </row>
    <row r="778" spans="3:3" ht="15.75" customHeight="1" x14ac:dyDescent="0.25">
      <c r="C778" s="267"/>
    </row>
    <row r="779" spans="3:3" ht="15.75" customHeight="1" x14ac:dyDescent="0.25">
      <c r="C779" s="267"/>
    </row>
    <row r="780" spans="3:3" ht="15.75" customHeight="1" x14ac:dyDescent="0.25">
      <c r="C780" s="267"/>
    </row>
    <row r="781" spans="3:3" ht="15.75" customHeight="1" x14ac:dyDescent="0.25">
      <c r="C781" s="267"/>
    </row>
    <row r="782" spans="3:3" ht="15.75" customHeight="1" x14ac:dyDescent="0.25">
      <c r="C782" s="267"/>
    </row>
    <row r="783" spans="3:3" ht="15.75" customHeight="1" x14ac:dyDescent="0.25">
      <c r="C783" s="267"/>
    </row>
    <row r="784" spans="3:3" ht="15.75" customHeight="1" x14ac:dyDescent="0.25">
      <c r="C784" s="267"/>
    </row>
    <row r="785" spans="3:3" ht="15.75" customHeight="1" x14ac:dyDescent="0.25">
      <c r="C785" s="267"/>
    </row>
    <row r="786" spans="3:3" ht="15.75" customHeight="1" x14ac:dyDescent="0.25">
      <c r="C786" s="267"/>
    </row>
    <row r="787" spans="3:3" ht="15.75" customHeight="1" x14ac:dyDescent="0.25">
      <c r="C787" s="267"/>
    </row>
    <row r="788" spans="3:3" ht="15.75" customHeight="1" x14ac:dyDescent="0.25">
      <c r="C788" s="267"/>
    </row>
    <row r="789" spans="3:3" ht="15.75" customHeight="1" x14ac:dyDescent="0.25">
      <c r="C789" s="267"/>
    </row>
    <row r="790" spans="3:3" ht="15.75" customHeight="1" x14ac:dyDescent="0.25">
      <c r="C790" s="267"/>
    </row>
    <row r="791" spans="3:3" ht="15.75" customHeight="1" x14ac:dyDescent="0.25">
      <c r="C791" s="267"/>
    </row>
    <row r="792" spans="3:3" ht="15.75" customHeight="1" x14ac:dyDescent="0.25">
      <c r="C792" s="267"/>
    </row>
    <row r="793" spans="3:3" ht="15.75" customHeight="1" x14ac:dyDescent="0.25">
      <c r="C793" s="267"/>
    </row>
    <row r="794" spans="3:3" ht="15.75" customHeight="1" x14ac:dyDescent="0.25">
      <c r="C794" s="267"/>
    </row>
    <row r="795" spans="3:3" ht="15.75" customHeight="1" x14ac:dyDescent="0.25">
      <c r="C795" s="267"/>
    </row>
    <row r="796" spans="3:3" ht="15.75" customHeight="1" x14ac:dyDescent="0.25">
      <c r="C796" s="267"/>
    </row>
    <row r="797" spans="3:3" ht="15.75" customHeight="1" x14ac:dyDescent="0.25">
      <c r="C797" s="267"/>
    </row>
    <row r="798" spans="3:3" ht="15.75" customHeight="1" x14ac:dyDescent="0.25">
      <c r="C798" s="267"/>
    </row>
    <row r="799" spans="3:3" ht="15.75" customHeight="1" x14ac:dyDescent="0.25">
      <c r="C799" s="267"/>
    </row>
    <row r="800" spans="3:3" ht="15.75" customHeight="1" x14ac:dyDescent="0.25">
      <c r="C800" s="267"/>
    </row>
    <row r="801" spans="3:3" ht="15.75" customHeight="1" x14ac:dyDescent="0.25">
      <c r="C801" s="267"/>
    </row>
    <row r="802" spans="3:3" ht="15.75" customHeight="1" x14ac:dyDescent="0.25">
      <c r="C802" s="267"/>
    </row>
    <row r="803" spans="3:3" ht="15.75" customHeight="1" x14ac:dyDescent="0.25">
      <c r="C803" s="267"/>
    </row>
    <row r="804" spans="3:3" ht="15.75" customHeight="1" x14ac:dyDescent="0.25">
      <c r="C804" s="267"/>
    </row>
    <row r="805" spans="3:3" ht="15.75" customHeight="1" x14ac:dyDescent="0.25">
      <c r="C805" s="267"/>
    </row>
    <row r="806" spans="3:3" ht="15.75" customHeight="1" x14ac:dyDescent="0.25">
      <c r="C806" s="267"/>
    </row>
    <row r="807" spans="3:3" ht="15.75" customHeight="1" x14ac:dyDescent="0.25">
      <c r="C807" s="267"/>
    </row>
    <row r="808" spans="3:3" ht="15.75" customHeight="1" x14ac:dyDescent="0.25">
      <c r="C808" s="267"/>
    </row>
    <row r="809" spans="3:3" ht="15.75" customHeight="1" x14ac:dyDescent="0.25">
      <c r="C809" s="267"/>
    </row>
    <row r="810" spans="3:3" ht="15.75" customHeight="1" x14ac:dyDescent="0.25">
      <c r="C810" s="267"/>
    </row>
    <row r="811" spans="3:3" ht="15.75" customHeight="1" x14ac:dyDescent="0.25">
      <c r="C811" s="267"/>
    </row>
    <row r="812" spans="3:3" ht="15.75" customHeight="1" x14ac:dyDescent="0.25">
      <c r="C812" s="267"/>
    </row>
    <row r="813" spans="3:3" ht="15.75" customHeight="1" x14ac:dyDescent="0.25">
      <c r="C813" s="267"/>
    </row>
    <row r="814" spans="3:3" ht="15.75" customHeight="1" x14ac:dyDescent="0.25">
      <c r="C814" s="267"/>
    </row>
    <row r="815" spans="3:3" ht="15.75" customHeight="1" x14ac:dyDescent="0.25">
      <c r="C815" s="267"/>
    </row>
    <row r="816" spans="3:3" ht="15.75" customHeight="1" x14ac:dyDescent="0.25">
      <c r="C816" s="267"/>
    </row>
    <row r="817" spans="3:3" ht="15.75" customHeight="1" x14ac:dyDescent="0.25">
      <c r="C817" s="267"/>
    </row>
    <row r="818" spans="3:3" ht="15.75" customHeight="1" x14ac:dyDescent="0.25">
      <c r="C818" s="267"/>
    </row>
    <row r="819" spans="3:3" ht="15.75" customHeight="1" x14ac:dyDescent="0.25">
      <c r="C819" s="267"/>
    </row>
    <row r="820" spans="3:3" ht="15.75" customHeight="1" x14ac:dyDescent="0.25">
      <c r="C820" s="267"/>
    </row>
    <row r="821" spans="3:3" ht="15.75" customHeight="1" x14ac:dyDescent="0.25">
      <c r="C821" s="267"/>
    </row>
    <row r="822" spans="3:3" ht="15.75" customHeight="1" x14ac:dyDescent="0.25">
      <c r="C822" s="267"/>
    </row>
    <row r="823" spans="3:3" ht="15.75" customHeight="1" x14ac:dyDescent="0.25">
      <c r="C823" s="267"/>
    </row>
    <row r="824" spans="3:3" ht="15.75" customHeight="1" x14ac:dyDescent="0.25">
      <c r="C824" s="267"/>
    </row>
    <row r="825" spans="3:3" ht="15.75" customHeight="1" x14ac:dyDescent="0.25">
      <c r="C825" s="267"/>
    </row>
    <row r="826" spans="3:3" ht="15.75" customHeight="1" x14ac:dyDescent="0.25">
      <c r="C826" s="267"/>
    </row>
    <row r="827" spans="3:3" ht="15.75" customHeight="1" x14ac:dyDescent="0.25">
      <c r="C827" s="267"/>
    </row>
    <row r="828" spans="3:3" ht="15.75" customHeight="1" x14ac:dyDescent="0.25">
      <c r="C828" s="267"/>
    </row>
    <row r="829" spans="3:3" ht="15.75" customHeight="1" x14ac:dyDescent="0.25">
      <c r="C829" s="267"/>
    </row>
    <row r="830" spans="3:3" ht="15.75" customHeight="1" x14ac:dyDescent="0.25">
      <c r="C830" s="267"/>
    </row>
    <row r="831" spans="3:3" ht="15.75" customHeight="1" x14ac:dyDescent="0.25">
      <c r="C831" s="267"/>
    </row>
    <row r="832" spans="3:3" ht="15.75" customHeight="1" x14ac:dyDescent="0.25">
      <c r="C832" s="267"/>
    </row>
    <row r="833" spans="3:3" ht="15.75" customHeight="1" x14ac:dyDescent="0.25">
      <c r="C833" s="267"/>
    </row>
    <row r="834" spans="3:3" ht="15.75" customHeight="1" x14ac:dyDescent="0.25">
      <c r="C834" s="267"/>
    </row>
    <row r="835" spans="3:3" ht="15.75" customHeight="1" x14ac:dyDescent="0.25">
      <c r="C835" s="267"/>
    </row>
    <row r="836" spans="3:3" ht="15.75" customHeight="1" x14ac:dyDescent="0.25">
      <c r="C836" s="267"/>
    </row>
    <row r="837" spans="3:3" ht="15.75" customHeight="1" x14ac:dyDescent="0.25">
      <c r="C837" s="267"/>
    </row>
    <row r="838" spans="3:3" ht="15.75" customHeight="1" x14ac:dyDescent="0.25">
      <c r="C838" s="267"/>
    </row>
    <row r="839" spans="3:3" ht="15.75" customHeight="1" x14ac:dyDescent="0.25">
      <c r="C839" s="267"/>
    </row>
    <row r="840" spans="3:3" ht="15.75" customHeight="1" x14ac:dyDescent="0.25">
      <c r="C840" s="267"/>
    </row>
    <row r="841" spans="3:3" ht="15.75" customHeight="1" x14ac:dyDescent="0.25">
      <c r="C841" s="267"/>
    </row>
    <row r="842" spans="3:3" ht="15.75" customHeight="1" x14ac:dyDescent="0.25">
      <c r="C842" s="267"/>
    </row>
    <row r="843" spans="3:3" ht="15.75" customHeight="1" x14ac:dyDescent="0.25">
      <c r="C843" s="267"/>
    </row>
    <row r="844" spans="3:3" ht="15.75" customHeight="1" x14ac:dyDescent="0.25">
      <c r="C844" s="267"/>
    </row>
    <row r="845" spans="3:3" ht="15.75" customHeight="1" x14ac:dyDescent="0.25">
      <c r="C845" s="267"/>
    </row>
    <row r="846" spans="3:3" ht="15.75" customHeight="1" x14ac:dyDescent="0.25">
      <c r="C846" s="267"/>
    </row>
    <row r="847" spans="3:3" ht="15.75" customHeight="1" x14ac:dyDescent="0.25">
      <c r="C847" s="267"/>
    </row>
    <row r="848" spans="3:3" ht="15.75" customHeight="1" x14ac:dyDescent="0.25">
      <c r="C848" s="267"/>
    </row>
    <row r="849" spans="3:3" ht="15.75" customHeight="1" x14ac:dyDescent="0.25">
      <c r="C849" s="267"/>
    </row>
    <row r="850" spans="3:3" ht="15.75" customHeight="1" x14ac:dyDescent="0.25">
      <c r="C850" s="267"/>
    </row>
    <row r="851" spans="3:3" ht="15.75" customHeight="1" x14ac:dyDescent="0.25">
      <c r="C851" s="267"/>
    </row>
    <row r="852" spans="3:3" ht="15.75" customHeight="1" x14ac:dyDescent="0.25">
      <c r="C852" s="267"/>
    </row>
    <row r="853" spans="3:3" ht="15.75" customHeight="1" x14ac:dyDescent="0.25">
      <c r="C853" s="267"/>
    </row>
    <row r="854" spans="3:3" ht="15.75" customHeight="1" x14ac:dyDescent="0.25">
      <c r="C854" s="267"/>
    </row>
    <row r="855" spans="3:3" ht="15.75" customHeight="1" x14ac:dyDescent="0.25">
      <c r="C855" s="267"/>
    </row>
    <row r="856" spans="3:3" ht="15.75" customHeight="1" x14ac:dyDescent="0.25">
      <c r="C856" s="267"/>
    </row>
    <row r="857" spans="3:3" ht="15.75" customHeight="1" x14ac:dyDescent="0.25">
      <c r="C857" s="267"/>
    </row>
    <row r="858" spans="3:3" ht="15.75" customHeight="1" x14ac:dyDescent="0.25">
      <c r="C858" s="267"/>
    </row>
    <row r="859" spans="3:3" ht="15.75" customHeight="1" x14ac:dyDescent="0.25">
      <c r="C859" s="267"/>
    </row>
    <row r="860" spans="3:3" ht="15.75" customHeight="1" x14ac:dyDescent="0.25">
      <c r="C860" s="267"/>
    </row>
    <row r="861" spans="3:3" ht="15.75" customHeight="1" x14ac:dyDescent="0.25">
      <c r="C861" s="267"/>
    </row>
    <row r="862" spans="3:3" ht="15.75" customHeight="1" x14ac:dyDescent="0.25">
      <c r="C862" s="267"/>
    </row>
    <row r="863" spans="3:3" ht="15.75" customHeight="1" x14ac:dyDescent="0.25">
      <c r="C863" s="267"/>
    </row>
    <row r="864" spans="3:3" ht="15.75" customHeight="1" x14ac:dyDescent="0.25">
      <c r="C864" s="267"/>
    </row>
    <row r="865" spans="3:3" ht="15.75" customHeight="1" x14ac:dyDescent="0.25">
      <c r="C865" s="267"/>
    </row>
    <row r="866" spans="3:3" ht="15.75" customHeight="1" x14ac:dyDescent="0.25">
      <c r="C866" s="267"/>
    </row>
    <row r="867" spans="3:3" ht="15.75" customHeight="1" x14ac:dyDescent="0.25">
      <c r="C867" s="267"/>
    </row>
    <row r="868" spans="3:3" ht="15.75" customHeight="1" x14ac:dyDescent="0.25">
      <c r="C868" s="267"/>
    </row>
    <row r="869" spans="3:3" ht="15.75" customHeight="1" x14ac:dyDescent="0.25">
      <c r="C869" s="267"/>
    </row>
    <row r="870" spans="3:3" ht="15.75" customHeight="1" x14ac:dyDescent="0.25">
      <c r="C870" s="267"/>
    </row>
    <row r="871" spans="3:3" ht="15.75" customHeight="1" x14ac:dyDescent="0.25">
      <c r="C871" s="267"/>
    </row>
    <row r="872" spans="3:3" ht="15.75" customHeight="1" x14ac:dyDescent="0.25">
      <c r="C872" s="267"/>
    </row>
    <row r="873" spans="3:3" ht="15.75" customHeight="1" x14ac:dyDescent="0.25">
      <c r="C873" s="267"/>
    </row>
    <row r="874" spans="3:3" ht="15.75" customHeight="1" x14ac:dyDescent="0.25">
      <c r="C874" s="267"/>
    </row>
    <row r="875" spans="3:3" ht="15.75" customHeight="1" x14ac:dyDescent="0.25">
      <c r="C875" s="267"/>
    </row>
    <row r="876" spans="3:3" ht="15.75" customHeight="1" x14ac:dyDescent="0.25">
      <c r="C876" s="267"/>
    </row>
    <row r="877" spans="3:3" ht="15.75" customHeight="1" x14ac:dyDescent="0.25">
      <c r="C877" s="267"/>
    </row>
    <row r="878" spans="3:3" ht="15.75" customHeight="1" x14ac:dyDescent="0.25">
      <c r="C878" s="267"/>
    </row>
    <row r="879" spans="3:3" ht="15.75" customHeight="1" x14ac:dyDescent="0.25">
      <c r="C879" s="267"/>
    </row>
    <row r="880" spans="3:3" ht="15.75" customHeight="1" x14ac:dyDescent="0.25">
      <c r="C880" s="267"/>
    </row>
    <row r="881" spans="3:3" ht="15.75" customHeight="1" x14ac:dyDescent="0.25">
      <c r="C881" s="267"/>
    </row>
    <row r="882" spans="3:3" ht="15.75" customHeight="1" x14ac:dyDescent="0.25">
      <c r="C882" s="267"/>
    </row>
    <row r="883" spans="3:3" ht="15.75" customHeight="1" x14ac:dyDescent="0.25">
      <c r="C883" s="267"/>
    </row>
    <row r="884" spans="3:3" ht="15.75" customHeight="1" x14ac:dyDescent="0.25">
      <c r="C884" s="267"/>
    </row>
    <row r="885" spans="3:3" ht="15.75" customHeight="1" x14ac:dyDescent="0.25">
      <c r="C885" s="267"/>
    </row>
    <row r="886" spans="3:3" ht="15.75" customHeight="1" x14ac:dyDescent="0.25">
      <c r="C886" s="267"/>
    </row>
    <row r="887" spans="3:3" ht="15.75" customHeight="1" x14ac:dyDescent="0.25">
      <c r="C887" s="267"/>
    </row>
    <row r="888" spans="3:3" ht="15.75" customHeight="1" x14ac:dyDescent="0.25">
      <c r="C888" s="267"/>
    </row>
    <row r="889" spans="3:3" ht="15.75" customHeight="1" x14ac:dyDescent="0.25">
      <c r="C889" s="267"/>
    </row>
    <row r="890" spans="3:3" ht="15.75" customHeight="1" x14ac:dyDescent="0.25">
      <c r="C890" s="267"/>
    </row>
    <row r="891" spans="3:3" ht="15.75" customHeight="1" x14ac:dyDescent="0.25">
      <c r="C891" s="267"/>
    </row>
    <row r="892" spans="3:3" ht="15.75" customHeight="1" x14ac:dyDescent="0.25">
      <c r="C892" s="267"/>
    </row>
    <row r="893" spans="3:3" ht="15.75" customHeight="1" x14ac:dyDescent="0.25">
      <c r="C893" s="267"/>
    </row>
    <row r="894" spans="3:3" ht="15.75" customHeight="1" x14ac:dyDescent="0.25">
      <c r="C894" s="267"/>
    </row>
    <row r="895" spans="3:3" ht="15.75" customHeight="1" x14ac:dyDescent="0.25">
      <c r="C895" s="267"/>
    </row>
    <row r="896" spans="3:3" ht="15.75" customHeight="1" x14ac:dyDescent="0.25">
      <c r="C896" s="267"/>
    </row>
    <row r="897" spans="3:3" ht="15.75" customHeight="1" x14ac:dyDescent="0.25">
      <c r="C897" s="267"/>
    </row>
    <row r="898" spans="3:3" ht="15.75" customHeight="1" x14ac:dyDescent="0.25">
      <c r="C898" s="267"/>
    </row>
    <row r="899" spans="3:3" ht="15.75" customHeight="1" x14ac:dyDescent="0.25">
      <c r="C899" s="267"/>
    </row>
    <row r="900" spans="3:3" ht="15.75" customHeight="1" x14ac:dyDescent="0.25">
      <c r="C900" s="267"/>
    </row>
    <row r="901" spans="3:3" ht="15.75" customHeight="1" x14ac:dyDescent="0.25">
      <c r="C901" s="267"/>
    </row>
    <row r="902" spans="3:3" ht="15.75" customHeight="1" x14ac:dyDescent="0.25">
      <c r="C902" s="267"/>
    </row>
    <row r="903" spans="3:3" ht="15.75" customHeight="1" x14ac:dyDescent="0.25">
      <c r="C903" s="267"/>
    </row>
    <row r="904" spans="3:3" ht="15.75" customHeight="1" x14ac:dyDescent="0.25">
      <c r="C904" s="267"/>
    </row>
    <row r="905" spans="3:3" ht="15.75" customHeight="1" x14ac:dyDescent="0.25">
      <c r="C905" s="267"/>
    </row>
    <row r="906" spans="3:3" ht="15.75" customHeight="1" x14ac:dyDescent="0.25">
      <c r="C906" s="267"/>
    </row>
    <row r="907" spans="3:3" ht="15.75" customHeight="1" x14ac:dyDescent="0.25">
      <c r="C907" s="267"/>
    </row>
    <row r="908" spans="3:3" ht="15.75" customHeight="1" x14ac:dyDescent="0.25">
      <c r="C908" s="267"/>
    </row>
    <row r="909" spans="3:3" ht="15.75" customHeight="1" x14ac:dyDescent="0.25">
      <c r="C909" s="267"/>
    </row>
    <row r="910" spans="3:3" ht="15.75" customHeight="1" x14ac:dyDescent="0.25">
      <c r="C910" s="267"/>
    </row>
    <row r="911" spans="3:3" ht="15.75" customHeight="1" x14ac:dyDescent="0.25">
      <c r="C911" s="267"/>
    </row>
    <row r="912" spans="3:3" ht="15.75" customHeight="1" x14ac:dyDescent="0.25">
      <c r="C912" s="267"/>
    </row>
    <row r="913" spans="3:3" ht="15.75" customHeight="1" x14ac:dyDescent="0.25">
      <c r="C913" s="267"/>
    </row>
    <row r="914" spans="3:3" ht="15.75" customHeight="1" x14ac:dyDescent="0.25">
      <c r="C914" s="267"/>
    </row>
    <row r="915" spans="3:3" ht="15.75" customHeight="1" x14ac:dyDescent="0.25">
      <c r="C915" s="267"/>
    </row>
    <row r="916" spans="3:3" ht="15.75" customHeight="1" x14ac:dyDescent="0.25">
      <c r="C916" s="267"/>
    </row>
    <row r="917" spans="3:3" ht="15.75" customHeight="1" x14ac:dyDescent="0.25">
      <c r="C917" s="267"/>
    </row>
    <row r="918" spans="3:3" ht="15.75" customHeight="1" x14ac:dyDescent="0.25">
      <c r="C918" s="267"/>
    </row>
    <row r="919" spans="3:3" ht="15.75" customHeight="1" x14ac:dyDescent="0.25">
      <c r="C919" s="267"/>
    </row>
    <row r="920" spans="3:3" ht="15.75" customHeight="1" x14ac:dyDescent="0.25">
      <c r="C920" s="267"/>
    </row>
    <row r="921" spans="3:3" ht="15.75" customHeight="1" x14ac:dyDescent="0.25">
      <c r="C921" s="267"/>
    </row>
    <row r="922" spans="3:3" ht="15.75" customHeight="1" x14ac:dyDescent="0.25">
      <c r="C922" s="267"/>
    </row>
    <row r="923" spans="3:3" ht="15.75" customHeight="1" x14ac:dyDescent="0.25">
      <c r="C923" s="267"/>
    </row>
    <row r="924" spans="3:3" ht="15.75" customHeight="1" x14ac:dyDescent="0.25">
      <c r="C924" s="267"/>
    </row>
    <row r="925" spans="3:3" ht="15.75" customHeight="1" x14ac:dyDescent="0.25">
      <c r="C925" s="267"/>
    </row>
    <row r="926" spans="3:3" ht="15.75" customHeight="1" x14ac:dyDescent="0.25">
      <c r="C926" s="267"/>
    </row>
    <row r="927" spans="3:3" ht="15.75" customHeight="1" x14ac:dyDescent="0.25">
      <c r="C927" s="267"/>
    </row>
    <row r="928" spans="3:3" ht="15.75" customHeight="1" x14ac:dyDescent="0.25">
      <c r="C928" s="267"/>
    </row>
    <row r="929" spans="3:3" ht="15.75" customHeight="1" x14ac:dyDescent="0.25">
      <c r="C929" s="267"/>
    </row>
    <row r="930" spans="3:3" ht="15.75" customHeight="1" x14ac:dyDescent="0.25">
      <c r="C930" s="267"/>
    </row>
    <row r="931" spans="3:3" ht="15.75" customHeight="1" x14ac:dyDescent="0.25">
      <c r="C931" s="267"/>
    </row>
    <row r="932" spans="3:3" ht="15.75" customHeight="1" x14ac:dyDescent="0.25">
      <c r="C932" s="267"/>
    </row>
    <row r="933" spans="3:3" ht="15.75" customHeight="1" x14ac:dyDescent="0.25">
      <c r="C933" s="267"/>
    </row>
    <row r="934" spans="3:3" ht="15.75" customHeight="1" x14ac:dyDescent="0.25">
      <c r="C934" s="267"/>
    </row>
    <row r="935" spans="3:3" ht="15.75" customHeight="1" x14ac:dyDescent="0.25">
      <c r="C935" s="267"/>
    </row>
    <row r="936" spans="3:3" ht="15.75" customHeight="1" x14ac:dyDescent="0.25">
      <c r="C936" s="267"/>
    </row>
    <row r="937" spans="3:3" ht="15.75" customHeight="1" x14ac:dyDescent="0.25">
      <c r="C937" s="267"/>
    </row>
    <row r="938" spans="3:3" ht="15.75" customHeight="1" x14ac:dyDescent="0.25">
      <c r="C938" s="267"/>
    </row>
    <row r="939" spans="3:3" ht="15.75" customHeight="1" x14ac:dyDescent="0.25">
      <c r="C939" s="267"/>
    </row>
    <row r="940" spans="3:3" ht="15.75" customHeight="1" x14ac:dyDescent="0.25">
      <c r="C940" s="267"/>
    </row>
    <row r="941" spans="3:3" ht="15.75" customHeight="1" x14ac:dyDescent="0.25">
      <c r="C941" s="267"/>
    </row>
    <row r="942" spans="3:3" ht="15.75" customHeight="1" x14ac:dyDescent="0.25">
      <c r="C942" s="267"/>
    </row>
    <row r="943" spans="3:3" ht="15.75" customHeight="1" x14ac:dyDescent="0.25">
      <c r="C943" s="267"/>
    </row>
    <row r="944" spans="3:3" ht="15.75" customHeight="1" x14ac:dyDescent="0.25">
      <c r="C944" s="267"/>
    </row>
    <row r="945" spans="3:3" ht="15.75" customHeight="1" x14ac:dyDescent="0.25">
      <c r="C945" s="267"/>
    </row>
    <row r="946" spans="3:3" ht="15.75" customHeight="1" x14ac:dyDescent="0.25">
      <c r="C946" s="267"/>
    </row>
    <row r="947" spans="3:3" ht="15.75" customHeight="1" x14ac:dyDescent="0.25">
      <c r="C947" s="267"/>
    </row>
    <row r="948" spans="3:3" ht="15.75" customHeight="1" x14ac:dyDescent="0.25">
      <c r="C948" s="267"/>
    </row>
    <row r="949" spans="3:3" ht="15.75" customHeight="1" x14ac:dyDescent="0.25">
      <c r="C949" s="267"/>
    </row>
    <row r="950" spans="3:3" ht="15.75" customHeight="1" x14ac:dyDescent="0.25">
      <c r="C950" s="267"/>
    </row>
    <row r="951" spans="3:3" ht="15.75" customHeight="1" x14ac:dyDescent="0.25">
      <c r="C951" s="267"/>
    </row>
    <row r="952" spans="3:3" ht="15.75" customHeight="1" x14ac:dyDescent="0.25">
      <c r="C952" s="267"/>
    </row>
  </sheetData>
  <mergeCells count="9">
    <mergeCell ref="P58:V58"/>
    <mergeCell ref="C1:G1"/>
    <mergeCell ref="H1:S1"/>
    <mergeCell ref="T1:Y1"/>
    <mergeCell ref="Z1:AB1"/>
    <mergeCell ref="C33:G33"/>
    <mergeCell ref="AG39:AK39"/>
    <mergeCell ref="C57:G57"/>
    <mergeCell ref="H57:V57"/>
  </mergeCells>
  <conditionalFormatting sqref="T4:Y10 T12:Y12 T14:Y14 T19:Y19 T21:Y21 T23:Y23 T25:Y25 T27:Y27">
    <cfRule type="cellIs" dxfId="25" priority="1" operator="greaterThan">
      <formula>0</formula>
    </cfRule>
  </conditionalFormatting>
  <conditionalFormatting sqref="T4:Y10 T12:Y12 T14:Y14 T19:Y19 T21:Y21 T23:Y23 T25:Y25 T27:Y27">
    <cfRule type="cellIs" dxfId="24" priority="2" operator="lessThanOrEqual">
      <formula>0</formula>
    </cfRule>
  </conditionalFormatting>
  <conditionalFormatting sqref="AD4:AD10 AD12 AD14 AD19 AD21 AD23 AD25 AD27">
    <cfRule type="containsText" dxfId="23" priority="3" operator="containsText" text="Alta">
      <formula>NOT(ISERROR(SEARCH(("Alta"),(AD4))))</formula>
    </cfRule>
  </conditionalFormatting>
  <conditionalFormatting sqref="AD4:AD10 AD12 AD14 AD19 AD21 AD23 AD25 AD27">
    <cfRule type="containsText" dxfId="22" priority="4" operator="containsText" text="Media">
      <formula>NOT(ISERROR(SEARCH(("Media"),(AD4))))</formula>
    </cfRule>
  </conditionalFormatting>
  <conditionalFormatting sqref="AD4:AD10 AD12 AD14 AD19 AD21 AD23 AD25 AD27">
    <cfRule type="containsText" dxfId="21" priority="5" operator="containsText" text="Baja">
      <formula>NOT(ISERROR(SEARCH(("Baja"),(AD4))))</formula>
    </cfRule>
  </conditionalFormatting>
  <conditionalFormatting sqref="D35:D39 E41:G43">
    <cfRule type="cellIs" dxfId="20" priority="6" operator="lessThan">
      <formula>0</formula>
    </cfRule>
  </conditionalFormatting>
  <conditionalFormatting sqref="D35:D39 E41:G43">
    <cfRule type="cellIs" dxfId="19" priority="7" operator="greaterThan">
      <formula>0</formula>
    </cfRule>
  </conditionalFormatting>
  <conditionalFormatting sqref="N4:N15 N19:N28 N31 N59:N70 N72:N91 N94:N101 N104">
    <cfRule type="cellIs" dxfId="18" priority="8" operator="lessThan">
      <formula>0</formula>
    </cfRule>
  </conditionalFormatting>
  <conditionalFormatting sqref="N4:N15 N19:N28 N31 N59:N70 N72:N91 N94:N101 N104">
    <cfRule type="cellIs" dxfId="17" priority="9" operator="greaterThan">
      <formula>0</formula>
    </cfRule>
  </conditionalFormatting>
  <conditionalFormatting sqref="M4:M15 M19:M28 M59:M70 M72:M91 M94:M101">
    <cfRule type="cellIs" dxfId="16" priority="10" operator="greaterThan">
      <formula>0</formula>
    </cfRule>
  </conditionalFormatting>
  <conditionalFormatting sqref="M4:M15 M19:M28 M59:M70 M72:M91 M94:M101">
    <cfRule type="cellIs" dxfId="15" priority="11" operator="lessThanOrEqual">
      <formula>0</formula>
    </cfRule>
  </conditionalFormatting>
  <conditionalFormatting sqref="AA4:AB10 AA12:AB12 AA14:AB14 AA18:AB28">
    <cfRule type="cellIs" dxfId="14" priority="12" operator="equal">
      <formula>"Alcista"</formula>
    </cfRule>
  </conditionalFormatting>
  <conditionalFormatting sqref="AA4:AB10 AA12:AB12 AA14:AB14 AA18:AB28">
    <cfRule type="cellIs" dxfId="13" priority="13" operator="equal">
      <formula>"Neutral"</formula>
    </cfRule>
  </conditionalFormatting>
  <conditionalFormatting sqref="AA4:AB10 AA12:AB12 AA14:AB14 AA18:AB28">
    <cfRule type="cellIs" dxfId="12" priority="14" operator="equal">
      <formula>"Bajista"</formula>
    </cfRule>
  </conditionalFormatting>
  <conditionalFormatting sqref="AC18:AC28 AC4:AC10 AC12 AC14">
    <cfRule type="cellIs" dxfId="11" priority="15" operator="equal">
      <formula>"Baja"</formula>
    </cfRule>
  </conditionalFormatting>
  <conditionalFormatting sqref="AC18:AC28 AC4:AC10 AC12 AC14">
    <cfRule type="cellIs" dxfId="10" priority="16" operator="equal">
      <formula>"Media"</formula>
    </cfRule>
  </conditionalFormatting>
  <conditionalFormatting sqref="AC18:AC28 AC4:AC10 AC12 AC14">
    <cfRule type="cellIs" dxfId="9" priority="17" operator="equal">
      <formula>"Alta"</formula>
    </cfRule>
  </conditionalFormatting>
  <conditionalFormatting sqref="AC18:AC28 Z19:Z30 AD19:AD28 AC4:AC10 AC12 AC14">
    <cfRule type="cellIs" dxfId="8" priority="18" operator="equal">
      <formula>"Core"</formula>
    </cfRule>
  </conditionalFormatting>
  <conditionalFormatting sqref="AC18:AC28 Z19:Z30 AD19:AD28 AC4:AC10 AC12 AC14">
    <cfRule type="cellIs" dxfId="7" priority="19" operator="equal">
      <formula>"Satellite"</formula>
    </cfRule>
  </conditionalFormatting>
  <conditionalFormatting sqref="Z4:AA10 Z12:AA12 Z14:AA14 Z18:Z30 AA18 AC18:AD28 AC4:AD10 AC12:AD12 AC14:AD14">
    <cfRule type="cellIs" dxfId="6" priority="20" operator="equal">
      <formula>"Atractivo"</formula>
    </cfRule>
  </conditionalFormatting>
  <conditionalFormatting sqref="Z4:AA10 Z12:AA12 Z14:AA14 Z18:Z30 AA18 AC18:AD28 AC4:AD10 AC12:AD12 AC14:AD14">
    <cfRule type="cellIs" dxfId="5" priority="21" operator="equal">
      <formula>"Neutral"</formula>
    </cfRule>
  </conditionalFormatting>
  <conditionalFormatting sqref="Z4:AA10 Z12:AA12 Z14:AA14 Z18:Z30 AA18 AC18:AD28 AC4:AD10 AC12:AD12 AC14:AD14">
    <cfRule type="cellIs" dxfId="4" priority="22" operator="equal">
      <formula>"Esperar"</formula>
    </cfRule>
  </conditionalFormatting>
  <conditionalFormatting sqref="AA4:AA10 AA12 AA14 AA18">
    <cfRule type="colorScale" priority="23">
      <colorScale>
        <cfvo type="min"/>
        <cfvo type="percentile" val="50"/>
        <cfvo type="max"/>
        <color rgb="FFE67C73"/>
        <color rgb="FFFFFFFF"/>
        <color rgb="FF57BB8A"/>
      </colorScale>
    </cfRule>
  </conditionalFormatting>
  <conditionalFormatting sqref="AB4:AB10 AB12 AB14 AB18">
    <cfRule type="colorScale" priority="24">
      <colorScale>
        <cfvo type="min"/>
        <cfvo type="percentile" val="50"/>
        <cfvo type="max"/>
        <color rgb="FF57BB8A"/>
        <color rgb="FFFFFFFF"/>
        <color rgb="FFE67C73"/>
      </colorScale>
    </cfRule>
  </conditionalFormatting>
  <conditionalFormatting sqref="M4:M15 M19:M28 M31 M59:M70 M72:M91 M94:M104">
    <cfRule type="cellIs" dxfId="3" priority="25" operator="greaterThan">
      <formula>0</formula>
    </cfRule>
  </conditionalFormatting>
  <conditionalFormatting sqref="M4:M15 M19:M28 M31 M59:M70 M72:M91 M94:M104">
    <cfRule type="cellIs" dxfId="2" priority="26" operator="lessThanOrEqual">
      <formula>0</formula>
    </cfRule>
  </conditionalFormatting>
  <conditionalFormatting sqref="N4:N15 T4:Y10 T12:Y12 T14:Y14 N19:N28 T18:Y28 N31 N59:N70 N72:N91 N94:N104">
    <cfRule type="cellIs" dxfId="1" priority="27" operator="greaterThan">
      <formula>0</formula>
    </cfRule>
  </conditionalFormatting>
  <conditionalFormatting sqref="N4:N15 T4:Y10 T12:Y12 T14:Y14 N19:N28 T18:Y28 N31 N59:N70 N72:N91 N94:N104">
    <cfRule type="cellIs" dxfId="0" priority="28" operator="lessThanOrEqual">
      <formula>0</formula>
    </cfRule>
  </conditionalFormatting>
  <conditionalFormatting sqref="Q4:Q10 Q12 Q14 Q18:Q28 Q82">
    <cfRule type="colorScale" priority="29">
      <colorScale>
        <cfvo type="min"/>
        <cfvo type="percentile" val="50"/>
        <cfvo type="max"/>
        <color rgb="FF57BB8A"/>
        <color rgb="FFFFFFFF"/>
        <color rgb="FFE67C73"/>
      </colorScale>
    </cfRule>
  </conditionalFormatting>
  <conditionalFormatting sqref="S4:S10 S12 S14 S18:S28">
    <cfRule type="colorScale" priority="30">
      <colorScale>
        <cfvo type="min"/>
        <cfvo type="max"/>
        <color rgb="FFE67C73"/>
        <color rgb="FFFFFFFF"/>
      </colorScale>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Y975"/>
  <sheetViews>
    <sheetView workbookViewId="0">
      <pane xSplit="2" ySplit="2" topLeftCell="C3" activePane="bottomRight" state="frozen"/>
      <selection pane="topRight" activeCell="C1" sqref="C1"/>
      <selection pane="bottomLeft" activeCell="A3" sqref="A3"/>
      <selection pane="bottomRight" activeCell="C33" sqref="C33"/>
    </sheetView>
  </sheetViews>
  <sheetFormatPr baseColWidth="10" defaultColWidth="12.6640625" defaultRowHeight="15" customHeight="1" x14ac:dyDescent="0.25"/>
  <cols>
    <col min="1" max="1" width="6" customWidth="1"/>
    <col min="2" max="2" width="10.109375" customWidth="1"/>
    <col min="3" max="3" width="28.77734375" customWidth="1"/>
    <col min="4" max="4" width="11.77734375" customWidth="1"/>
    <col min="5" max="5" width="16.88671875" hidden="1" customWidth="1"/>
    <col min="6" max="8" width="12" hidden="1" customWidth="1"/>
    <col min="9" max="12" width="8.44140625" customWidth="1"/>
    <col min="13" max="14" width="6.88671875" customWidth="1"/>
    <col min="15" max="15" width="8" customWidth="1"/>
    <col min="16" max="16" width="6.88671875" customWidth="1"/>
    <col min="17" max="17" width="8.109375" customWidth="1"/>
    <col min="18" max="18" width="7.44140625" customWidth="1"/>
    <col min="19" max="19" width="7.6640625" customWidth="1"/>
    <col min="20" max="21" width="6.6640625" customWidth="1"/>
    <col min="22" max="26" width="8.88671875" customWidth="1"/>
    <col min="27" max="27" width="93.6640625" customWidth="1"/>
    <col min="28" max="29" width="6.33203125" customWidth="1"/>
    <col min="30" max="30" width="6.21875" customWidth="1"/>
  </cols>
  <sheetData>
    <row r="1" spans="1:51" ht="15.75" customHeight="1" x14ac:dyDescent="0.25">
      <c r="A1" s="31"/>
      <c r="B1" s="31"/>
      <c r="C1" s="31"/>
      <c r="D1" s="31"/>
      <c r="E1" s="31"/>
      <c r="F1" s="31"/>
      <c r="G1" s="31"/>
      <c r="H1" s="31"/>
      <c r="I1" s="464" t="s">
        <v>37</v>
      </c>
      <c r="J1" s="465"/>
      <c r="K1" s="463"/>
      <c r="L1" s="466" t="s">
        <v>178</v>
      </c>
      <c r="M1" s="460"/>
      <c r="N1" s="460"/>
      <c r="O1" s="460"/>
      <c r="P1" s="467"/>
      <c r="Q1" s="466" t="s">
        <v>179</v>
      </c>
      <c r="R1" s="460"/>
      <c r="S1" s="460"/>
      <c r="T1" s="460"/>
      <c r="U1" s="461"/>
      <c r="V1" s="468" t="s">
        <v>36</v>
      </c>
      <c r="W1" s="460"/>
      <c r="X1" s="460"/>
      <c r="Y1" s="460"/>
      <c r="Z1" s="460"/>
      <c r="AA1" s="467"/>
      <c r="AB1" s="1"/>
      <c r="AC1" s="1"/>
      <c r="AD1" s="1"/>
      <c r="AE1" s="1"/>
      <c r="AF1" s="1"/>
      <c r="AG1" s="1"/>
      <c r="AH1" s="1"/>
      <c r="AI1" s="1"/>
      <c r="AJ1" s="1"/>
      <c r="AK1" s="1"/>
      <c r="AL1" s="1"/>
      <c r="AM1" s="31"/>
      <c r="AN1" s="31"/>
      <c r="AO1" s="31"/>
      <c r="AP1" s="31"/>
      <c r="AQ1" s="31"/>
      <c r="AR1" s="31"/>
      <c r="AS1" s="31"/>
      <c r="AT1" s="31"/>
      <c r="AU1" s="31"/>
      <c r="AV1" s="31"/>
      <c r="AW1" s="31"/>
      <c r="AX1" s="31"/>
      <c r="AY1" s="31"/>
    </row>
    <row r="2" spans="1:51" ht="60" x14ac:dyDescent="0.25">
      <c r="A2" s="37"/>
      <c r="B2" s="268" t="s">
        <v>0</v>
      </c>
      <c r="C2" s="269" t="s">
        <v>1</v>
      </c>
      <c r="D2" s="270" t="s">
        <v>39</v>
      </c>
      <c r="E2" s="271" t="s">
        <v>2</v>
      </c>
      <c r="F2" s="271" t="s">
        <v>40</v>
      </c>
      <c r="G2" s="271" t="s">
        <v>65</v>
      </c>
      <c r="H2" s="43" t="s">
        <v>63</v>
      </c>
      <c r="I2" s="43" t="s">
        <v>180</v>
      </c>
      <c r="J2" s="43" t="s">
        <v>61</v>
      </c>
      <c r="K2" s="43" t="s">
        <v>62</v>
      </c>
      <c r="L2" s="272" t="s">
        <v>181</v>
      </c>
      <c r="M2" s="272" t="s">
        <v>182</v>
      </c>
      <c r="N2" s="7" t="s">
        <v>183</v>
      </c>
      <c r="O2" s="7" t="s">
        <v>184</v>
      </c>
      <c r="P2" s="7" t="s">
        <v>3</v>
      </c>
      <c r="Q2" s="273" t="s">
        <v>4</v>
      </c>
      <c r="R2" s="270" t="s">
        <v>55</v>
      </c>
      <c r="S2" s="270" t="s">
        <v>185</v>
      </c>
      <c r="T2" s="270" t="s">
        <v>57</v>
      </c>
      <c r="U2" s="271" t="s">
        <v>59</v>
      </c>
      <c r="V2" s="274" t="s">
        <v>186</v>
      </c>
      <c r="W2" s="274" t="s">
        <v>187</v>
      </c>
      <c r="X2" s="274" t="s">
        <v>188</v>
      </c>
      <c r="Y2" s="274" t="s">
        <v>189</v>
      </c>
      <c r="Z2" s="274" t="s">
        <v>190</v>
      </c>
      <c r="AA2" s="275" t="s">
        <v>148</v>
      </c>
      <c r="AB2" s="276"/>
      <c r="AC2" s="277"/>
      <c r="AD2" s="276"/>
      <c r="AE2" s="276"/>
      <c r="AF2" s="276"/>
      <c r="AG2" s="276"/>
      <c r="AH2" s="276"/>
      <c r="AI2" s="276"/>
      <c r="AJ2" s="276"/>
      <c r="AK2" s="276"/>
      <c r="AL2" s="276"/>
      <c r="AM2" s="37"/>
      <c r="AN2" s="37"/>
      <c r="AO2" s="37"/>
      <c r="AP2" s="37"/>
      <c r="AQ2" s="37"/>
      <c r="AR2" s="37"/>
      <c r="AS2" s="37"/>
      <c r="AT2" s="37"/>
      <c r="AU2" s="37"/>
      <c r="AV2" s="37"/>
      <c r="AW2" s="37"/>
      <c r="AX2" s="37"/>
      <c r="AY2" s="37"/>
    </row>
    <row r="3" spans="1:51" ht="15.75" customHeight="1" x14ac:dyDescent="0.25">
      <c r="A3" s="278">
        <v>1</v>
      </c>
      <c r="B3" s="1" t="s">
        <v>169</v>
      </c>
      <c r="C3" s="2" t="str">
        <f ca="1">IFERROR(__xludf.DUMMYFUNCTION("GoogleFinance(B3,""name"")"),"Loading...")</f>
        <v>Loading...</v>
      </c>
      <c r="D3" s="49">
        <f ca="1">IFERROR(__xludf.DUMMYFUNCTION("GoogleFinance(B3,""marketcap"")/1000000"),239802.157649)</f>
        <v>239802.157649</v>
      </c>
      <c r="E3" s="49" t="s">
        <v>15</v>
      </c>
      <c r="F3" s="50" t="s">
        <v>93</v>
      </c>
      <c r="G3" s="50" t="s">
        <v>78</v>
      </c>
      <c r="H3" s="50" t="s">
        <v>76</v>
      </c>
      <c r="I3" s="50" t="s">
        <v>74</v>
      </c>
      <c r="J3" s="50" t="s">
        <v>74</v>
      </c>
      <c r="K3" s="50" t="s">
        <v>75</v>
      </c>
      <c r="L3" s="462" t="s">
        <v>191</v>
      </c>
      <c r="M3" s="463"/>
      <c r="N3" s="1">
        <v>170</v>
      </c>
      <c r="O3" s="1">
        <v>180</v>
      </c>
      <c r="P3" s="1">
        <f ca="1">IFERROR(__xludf.DUMMYFUNCTION("GOOGLEFINANCE(B3)"),135.92)</f>
        <v>135.91999999999999</v>
      </c>
      <c r="Q3" s="10">
        <v>0</v>
      </c>
      <c r="R3" s="57">
        <v>-1.3786097808736075E-2</v>
      </c>
      <c r="S3" s="57">
        <v>-1.1922070369293492E-2</v>
      </c>
      <c r="T3" s="57">
        <v>-0.14110584518167468</v>
      </c>
      <c r="U3" s="57">
        <v>-0.15896293546191465</v>
      </c>
      <c r="V3" s="71"/>
      <c r="W3" s="57"/>
      <c r="X3" s="57">
        <f ca="1">N3/P3-1</f>
        <v>0.25073572689817558</v>
      </c>
      <c r="Y3" s="57">
        <f ca="1">O3/P3-1</f>
        <v>0.32430841671571531</v>
      </c>
      <c r="Z3" s="67" t="s">
        <v>78</v>
      </c>
      <c r="AA3" s="279" t="s">
        <v>192</v>
      </c>
      <c r="AB3" s="219"/>
      <c r="AC3" s="12"/>
      <c r="AD3" s="11"/>
      <c r="AE3" s="3" t="str">
        <f ca="1">IFERROR(__xludf.DUMMYFUNCTION("GoogleFinance(B3,""price"",today()-7)"),"#N/A")</f>
        <v>#N/A</v>
      </c>
      <c r="AF3" s="1"/>
      <c r="AG3" s="3" t="str">
        <f ca="1">IFERROR(__xludf.DUMMYFUNCTION("GoogleFinance(B3,""price"",today()-31)"),"#N/A")</f>
        <v>#N/A</v>
      </c>
      <c r="AH3" s="1"/>
      <c r="AI3" s="3" t="str">
        <f ca="1">IFERROR(__xludf.DUMMYFUNCTION("GoogleFinance(B3,""price"",today()-90)"),"#N/A")</f>
        <v>#N/A</v>
      </c>
      <c r="AJ3" s="1"/>
      <c r="AK3" s="3" t="str">
        <f ca="1">IFERROR(__xludf.DUMMYFUNCTION("GoogleFinance(B3,""price"",DATE(2022,12,30))"),"Date")</f>
        <v>Date</v>
      </c>
      <c r="AL3" s="1" t="str">
        <f ca="1">IFERROR(__xludf.DUMMYFUNCTION("""COMPUTED_VALUE"""),"Close")</f>
        <v>Close</v>
      </c>
      <c r="AM3" s="1"/>
      <c r="AN3" s="1"/>
      <c r="AO3" s="1"/>
      <c r="AP3" s="1"/>
      <c r="AQ3" s="1"/>
      <c r="AR3" s="1"/>
      <c r="AS3" s="1"/>
      <c r="AT3" s="1"/>
      <c r="AU3" s="1"/>
      <c r="AV3" s="1"/>
      <c r="AW3" s="1"/>
      <c r="AX3" s="1"/>
      <c r="AY3" s="1"/>
    </row>
    <row r="4" spans="1:51" ht="15.75" hidden="1" customHeight="1" x14ac:dyDescent="0.25">
      <c r="A4" s="1"/>
      <c r="B4" s="1"/>
      <c r="C4" s="2"/>
      <c r="D4" s="280"/>
      <c r="E4" s="1"/>
      <c r="F4" s="1"/>
      <c r="G4" s="1"/>
      <c r="H4" s="239"/>
      <c r="I4" s="239"/>
      <c r="J4" s="239"/>
      <c r="K4" s="239"/>
      <c r="L4" s="239"/>
      <c r="M4" s="1"/>
      <c r="N4" s="1"/>
      <c r="O4" s="1"/>
      <c r="P4" s="1"/>
      <c r="Q4" s="10" t="e">
        <v>#N/A</v>
      </c>
      <c r="R4" s="57" t="e">
        <v>#VALUE!</v>
      </c>
      <c r="S4" s="57" t="e">
        <v>#VALUE!</v>
      </c>
      <c r="T4" s="57" t="e">
        <v>#VALUE!</v>
      </c>
      <c r="U4" s="57" t="e">
        <v>#VALUE!</v>
      </c>
      <c r="V4" s="71"/>
      <c r="W4" s="57"/>
      <c r="X4" s="57"/>
      <c r="Y4" s="57"/>
      <c r="Z4" s="12"/>
      <c r="AA4" s="281" t="s">
        <v>193</v>
      </c>
      <c r="AB4" s="219"/>
      <c r="AC4" s="12"/>
      <c r="AD4" s="282"/>
      <c r="AE4" s="283"/>
      <c r="AF4" s="1"/>
      <c r="AG4" s="13"/>
      <c r="AH4" s="1"/>
      <c r="AI4" s="13"/>
      <c r="AJ4" s="1"/>
      <c r="AK4" s="13">
        <f ca="1">IFERROR(__xludf.DUMMYFUNCTION("""COMPUTED_VALUE"""),44925.6666666666)</f>
        <v>44925.666666666599</v>
      </c>
      <c r="AL4" s="1">
        <f ca="1">IFERROR(__xludf.DUMMYFUNCTION("""COMPUTED_VALUE"""),161.61)</f>
        <v>161.61000000000001</v>
      </c>
      <c r="AM4" s="1"/>
      <c r="AN4" s="1"/>
      <c r="AO4" s="1"/>
      <c r="AP4" s="1"/>
      <c r="AQ4" s="1"/>
      <c r="AR4" s="1"/>
      <c r="AS4" s="1"/>
      <c r="AT4" s="1"/>
      <c r="AU4" s="1"/>
      <c r="AV4" s="1"/>
      <c r="AW4" s="1"/>
      <c r="AX4" s="1"/>
      <c r="AY4" s="1"/>
    </row>
    <row r="5" spans="1:51" ht="15.75" customHeight="1" x14ac:dyDescent="0.25">
      <c r="A5" s="1">
        <v>2</v>
      </c>
      <c r="B5" s="1" t="s">
        <v>194</v>
      </c>
      <c r="C5" s="2" t="str">
        <f ca="1">IFERROR(__xludf.DUMMYFUNCTION("GoogleFinance(B5,""name"")"),"Loading...")</f>
        <v>Loading...</v>
      </c>
      <c r="D5" s="49">
        <f ca="1">IFERROR(__xludf.DUMMYFUNCTION("GoogleFinance(B5,""marketcap"")/1000000"),93233.719926)</f>
        <v>93233.719926000005</v>
      </c>
      <c r="E5" s="49" t="s">
        <v>8</v>
      </c>
      <c r="F5" s="50" t="s">
        <v>22</v>
      </c>
      <c r="G5" s="50" t="s">
        <v>99</v>
      </c>
      <c r="H5" s="50" t="s">
        <v>98</v>
      </c>
      <c r="I5" s="50" t="s">
        <v>75</v>
      </c>
      <c r="J5" s="50" t="s">
        <v>117</v>
      </c>
      <c r="K5" s="50" t="s">
        <v>117</v>
      </c>
      <c r="L5" s="462" t="s">
        <v>191</v>
      </c>
      <c r="M5" s="463"/>
      <c r="N5" s="1">
        <v>180</v>
      </c>
      <c r="O5" s="1">
        <v>205</v>
      </c>
      <c r="P5" s="1">
        <f ca="1">IFERROR(__xludf.DUMMYFUNCTION("GOOGLEFINANCE(B5)"),185.94)</f>
        <v>185.94</v>
      </c>
      <c r="Q5" s="10">
        <v>0</v>
      </c>
      <c r="R5" s="57">
        <v>-1.0852218321097951E-2</v>
      </c>
      <c r="S5" s="57">
        <v>5.3305387186313835E-2</v>
      </c>
      <c r="T5" s="57">
        <v>1.2745098039215641E-2</v>
      </c>
      <c r="U5" s="57">
        <v>0.1335731268670366</v>
      </c>
      <c r="V5" s="71"/>
      <c r="W5" s="57"/>
      <c r="X5" s="57">
        <f ca="1">N5/P5-1</f>
        <v>-3.1945788964181987E-2</v>
      </c>
      <c r="Y5" s="57">
        <f ca="1">O5/P5-1</f>
        <v>0.10250618479079265</v>
      </c>
      <c r="Z5" s="132" t="s">
        <v>195</v>
      </c>
      <c r="AA5" s="279" t="s">
        <v>196</v>
      </c>
      <c r="AB5" s="219"/>
      <c r="AC5" s="12"/>
      <c r="AD5" s="11"/>
      <c r="AE5" s="3" t="str">
        <f ca="1">IFERROR(__xludf.DUMMYFUNCTION("GoogleFinance(B5,""price"",today()-7)"),"#N/A")</f>
        <v>#N/A</v>
      </c>
      <c r="AF5" s="1"/>
      <c r="AG5" s="3" t="str">
        <f ca="1">IFERROR(__xludf.DUMMYFUNCTION("GoogleFinance(B5,""price"",today()-31)"),"#N/A")</f>
        <v>#N/A</v>
      </c>
      <c r="AH5" s="1"/>
      <c r="AI5" s="3" t="str">
        <f ca="1">IFERROR(__xludf.DUMMYFUNCTION("GoogleFinance(B5,""price"",today()-90)"),"#N/A")</f>
        <v>#N/A</v>
      </c>
      <c r="AJ5" s="1"/>
      <c r="AK5" s="3" t="str">
        <f ca="1">IFERROR(__xludf.DUMMYFUNCTION("GoogleFinance(B5,""price"",DATE(2022,12,30))"),"Date")</f>
        <v>Date</v>
      </c>
      <c r="AL5" s="1" t="str">
        <f ca="1">IFERROR(__xludf.DUMMYFUNCTION("""COMPUTED_VALUE"""),"Close")</f>
        <v>Close</v>
      </c>
      <c r="AM5" s="1"/>
      <c r="AN5" s="1"/>
      <c r="AO5" s="1"/>
      <c r="AP5" s="1"/>
      <c r="AQ5" s="1"/>
      <c r="AR5" s="1"/>
      <c r="AS5" s="1"/>
      <c r="AT5" s="1"/>
      <c r="AU5" s="1"/>
      <c r="AV5" s="1"/>
      <c r="AW5" s="1"/>
      <c r="AX5" s="1"/>
      <c r="AY5" s="1"/>
    </row>
    <row r="6" spans="1:51" ht="15.75" hidden="1" customHeight="1" x14ac:dyDescent="0.25">
      <c r="A6" s="1"/>
      <c r="B6" s="1"/>
      <c r="C6" s="2"/>
      <c r="D6" s="280"/>
      <c r="E6" s="1"/>
      <c r="F6" s="1"/>
      <c r="G6" s="1"/>
      <c r="H6" s="50"/>
      <c r="I6" s="239"/>
      <c r="J6" s="239"/>
      <c r="K6" s="239"/>
      <c r="L6" s="239"/>
      <c r="M6" s="1"/>
      <c r="N6" s="1"/>
      <c r="O6" s="1"/>
      <c r="P6" s="1"/>
      <c r="Q6" s="10" t="e">
        <v>#N/A</v>
      </c>
      <c r="R6" s="57" t="e">
        <v>#VALUE!</v>
      </c>
      <c r="S6" s="57" t="e">
        <v>#VALUE!</v>
      </c>
      <c r="T6" s="57" t="e">
        <v>#VALUE!</v>
      </c>
      <c r="U6" s="57" t="e">
        <v>#VALUE!</v>
      </c>
      <c r="V6" s="71"/>
      <c r="W6" s="57"/>
      <c r="X6" s="57"/>
      <c r="Y6" s="57"/>
      <c r="Z6" s="12"/>
      <c r="AA6" s="12"/>
      <c r="AB6" s="10"/>
      <c r="AC6" s="284"/>
      <c r="AD6" s="13"/>
      <c r="AE6" s="283"/>
      <c r="AF6" s="1"/>
      <c r="AG6" s="13"/>
      <c r="AH6" s="1"/>
      <c r="AI6" s="13"/>
      <c r="AJ6" s="1"/>
      <c r="AK6" s="13">
        <f ca="1">IFERROR(__xludf.DUMMYFUNCTION("""COMPUTED_VALUE"""),44925.6666666666)</f>
        <v>44925.666666666599</v>
      </c>
      <c r="AL6" s="1">
        <f ca="1">IFERROR(__xludf.DUMMYFUNCTION("""COMPUTED_VALUE"""),164.03)</f>
        <v>164.03</v>
      </c>
      <c r="AM6" s="1"/>
      <c r="AN6" s="1"/>
      <c r="AO6" s="1"/>
      <c r="AP6" s="1"/>
      <c r="AQ6" s="1"/>
      <c r="AR6" s="1"/>
      <c r="AS6" s="1"/>
      <c r="AT6" s="1"/>
      <c r="AU6" s="1"/>
      <c r="AV6" s="1"/>
      <c r="AW6" s="1"/>
      <c r="AX6" s="1"/>
      <c r="AY6" s="1"/>
    </row>
    <row r="7" spans="1:51" ht="15.75" customHeight="1" x14ac:dyDescent="0.25">
      <c r="A7" s="285">
        <v>3</v>
      </c>
      <c r="B7" s="1" t="s">
        <v>197</v>
      </c>
      <c r="C7" s="21" t="str">
        <f ca="1">IFERROR(__xludf.DUMMYFUNCTION("GoogleFinance(B7,""name"")"),"Loading...")</f>
        <v>Loading...</v>
      </c>
      <c r="D7" s="49">
        <f ca="1">IFERROR(__xludf.DUMMYFUNCTION("GoogleFinance(B7,""marketcap"")/1000000"),88338.027697)</f>
        <v>88338.027696999998</v>
      </c>
      <c r="E7" s="50" t="s">
        <v>10</v>
      </c>
      <c r="F7" s="50" t="s">
        <v>198</v>
      </c>
      <c r="G7" s="286" t="s">
        <v>78</v>
      </c>
      <c r="H7" s="50" t="s">
        <v>98</v>
      </c>
      <c r="I7" s="286" t="s">
        <v>75</v>
      </c>
      <c r="J7" s="286" t="s">
        <v>117</v>
      </c>
      <c r="K7" s="287" t="s">
        <v>117</v>
      </c>
      <c r="L7" s="469" t="s">
        <v>199</v>
      </c>
      <c r="M7" s="463"/>
      <c r="N7" s="5">
        <v>220</v>
      </c>
      <c r="O7" s="5">
        <v>240</v>
      </c>
      <c r="P7" s="25">
        <f ca="1">IFERROR(__xludf.DUMMYFUNCTION("GOOGLEFINANCE(B7)"),213.83)</f>
        <v>213.83</v>
      </c>
      <c r="Q7" s="10">
        <v>0</v>
      </c>
      <c r="R7" s="57">
        <v>-2.9280915198837798E-2</v>
      </c>
      <c r="S7" s="57">
        <v>6.3535391566265087E-3</v>
      </c>
      <c r="T7" s="57">
        <v>-1.4942797104833261E-3</v>
      </c>
      <c r="U7" s="57">
        <v>-0.10478941639454076</v>
      </c>
      <c r="V7" s="71"/>
      <c r="W7" s="57"/>
      <c r="X7" s="57">
        <f ca="1">N7/P7-1</f>
        <v>2.8854697657017203E-2</v>
      </c>
      <c r="Y7" s="57">
        <f ca="1">O7/P7-1</f>
        <v>0.12238694289856422</v>
      </c>
      <c r="Z7" s="67" t="s">
        <v>78</v>
      </c>
      <c r="AA7" s="279" t="s">
        <v>200</v>
      </c>
      <c r="AB7" s="10"/>
      <c r="AC7" s="3"/>
      <c r="AD7" s="3"/>
      <c r="AE7" s="3" t="str">
        <f ca="1">IFERROR(__xludf.DUMMYFUNCTION("GoogleFinance(B7,""price"",today()-7)"),"#N/A")</f>
        <v>#N/A</v>
      </c>
      <c r="AF7" s="1"/>
      <c r="AG7" s="3" t="str">
        <f ca="1">IFERROR(__xludf.DUMMYFUNCTION("GoogleFinance(B7,""price"",today()-31)"),"#N/A")</f>
        <v>#N/A</v>
      </c>
      <c r="AH7" s="1"/>
      <c r="AI7" s="3" t="str">
        <f ca="1">IFERROR(__xludf.DUMMYFUNCTION("GoogleFinance(B7,""price"",today()-90)"),"#N/A")</f>
        <v>#N/A</v>
      </c>
      <c r="AJ7" s="1"/>
      <c r="AK7" s="3" t="str">
        <f ca="1">IFERROR(__xludf.DUMMYFUNCTION("GoogleFinance(B7,""price"",DATE(2022,12,30))"),"Date")</f>
        <v>Date</v>
      </c>
      <c r="AL7" s="1" t="str">
        <f ca="1">IFERROR(__xludf.DUMMYFUNCTION("""COMPUTED_VALUE"""),"Close")</f>
        <v>Close</v>
      </c>
      <c r="AM7" s="6"/>
      <c r="AN7" s="6"/>
      <c r="AO7" s="6"/>
      <c r="AP7" s="6"/>
      <c r="AQ7" s="6"/>
      <c r="AR7" s="6"/>
      <c r="AS7" s="6"/>
      <c r="AT7" s="6"/>
      <c r="AU7" s="6"/>
      <c r="AV7" s="6"/>
      <c r="AW7" s="6"/>
      <c r="AX7" s="6"/>
      <c r="AY7" s="6"/>
    </row>
    <row r="8" spans="1:51" ht="15.75" hidden="1" customHeight="1" x14ac:dyDescent="0.25">
      <c r="A8" s="288"/>
      <c r="B8" s="6"/>
      <c r="C8" s="21"/>
      <c r="D8" s="79"/>
      <c r="E8" s="6"/>
      <c r="F8" s="6"/>
      <c r="G8" s="289"/>
      <c r="H8" s="50"/>
      <c r="I8" s="289"/>
      <c r="J8" s="289"/>
      <c r="K8" s="289"/>
      <c r="L8" s="6"/>
      <c r="M8" s="6"/>
      <c r="N8" s="6"/>
      <c r="O8" s="6"/>
      <c r="P8" s="289"/>
      <c r="Q8" s="10" t="e">
        <v>#N/A</v>
      </c>
      <c r="R8" s="57" t="e">
        <v>#VALUE!</v>
      </c>
      <c r="S8" s="57" t="e">
        <v>#VALUE!</v>
      </c>
      <c r="T8" s="57" t="e">
        <v>#VALUE!</v>
      </c>
      <c r="U8" s="57" t="e">
        <v>#VALUE!</v>
      </c>
      <c r="V8" s="71"/>
      <c r="W8" s="57"/>
      <c r="X8" s="249"/>
      <c r="Y8" s="249"/>
      <c r="Z8" s="12"/>
      <c r="AA8" s="12"/>
      <c r="AB8" s="290"/>
      <c r="AC8" s="8"/>
      <c r="AD8" s="8"/>
      <c r="AE8" s="8"/>
      <c r="AF8" s="5"/>
      <c r="AG8" s="8"/>
      <c r="AH8" s="5"/>
      <c r="AI8" s="8"/>
      <c r="AJ8" s="5"/>
      <c r="AK8" s="8">
        <f ca="1">IFERROR(__xludf.DUMMYFUNCTION("""COMPUTED_VALUE"""),44925.6666666666)</f>
        <v>44925.666666666599</v>
      </c>
      <c r="AL8" s="5">
        <f ca="1">IFERROR(__xludf.DUMMYFUNCTION("""COMPUTED_VALUE"""),238.86)</f>
        <v>238.86</v>
      </c>
      <c r="AM8" s="6"/>
      <c r="AN8" s="6"/>
      <c r="AO8" s="6"/>
      <c r="AP8" s="6"/>
      <c r="AQ8" s="6"/>
      <c r="AR8" s="6"/>
      <c r="AS8" s="6"/>
      <c r="AT8" s="6"/>
      <c r="AU8" s="6"/>
      <c r="AV8" s="6"/>
      <c r="AW8" s="6"/>
      <c r="AX8" s="6"/>
      <c r="AY8" s="6"/>
    </row>
    <row r="9" spans="1:51" ht="15.75" customHeight="1" x14ac:dyDescent="0.25">
      <c r="A9" s="278">
        <v>4</v>
      </c>
      <c r="B9" s="1" t="s">
        <v>170</v>
      </c>
      <c r="C9" s="21" t="str">
        <f ca="1">IFERROR(__xludf.DUMMYFUNCTION("GoogleFinance(B9,""name"")"),"Loading...")</f>
        <v>Loading...</v>
      </c>
      <c r="D9" s="49">
        <f ca="1">IFERROR(__xludf.DUMMYFUNCTION("GoogleFinance(B9,""marketcap"")/1000000"),121350.891741)</f>
        <v>121350.891741</v>
      </c>
      <c r="E9" s="50" t="s">
        <v>15</v>
      </c>
      <c r="F9" s="50" t="s">
        <v>20</v>
      </c>
      <c r="G9" s="50" t="s">
        <v>99</v>
      </c>
      <c r="H9" s="50" t="s">
        <v>98</v>
      </c>
      <c r="I9" s="286" t="s">
        <v>74</v>
      </c>
      <c r="J9" s="286" t="s">
        <v>75</v>
      </c>
      <c r="K9" s="287" t="s">
        <v>75</v>
      </c>
      <c r="L9" s="5"/>
      <c r="M9" s="5"/>
      <c r="N9" s="5">
        <v>300</v>
      </c>
      <c r="O9" s="5">
        <v>330</v>
      </c>
      <c r="P9" s="25">
        <f ca="1">IFERROR(__xludf.DUMMYFUNCTION("GOOGLEFINANCE(B9)"),227.11)</f>
        <v>227.11</v>
      </c>
      <c r="Q9" s="10">
        <v>0</v>
      </c>
      <c r="R9" s="57">
        <v>-6.4744739489915881E-3</v>
      </c>
      <c r="S9" s="57">
        <v>4.6927580325450746E-2</v>
      </c>
      <c r="T9" s="57">
        <v>-4.7676954042267572E-2</v>
      </c>
      <c r="U9" s="57">
        <v>-0.13528023149558321</v>
      </c>
      <c r="V9" s="71"/>
      <c r="W9" s="57"/>
      <c r="X9" s="57">
        <f ca="1">N9/P9-1</f>
        <v>0.32094579719078853</v>
      </c>
      <c r="Y9" s="57">
        <f ca="1">O9/P9-1</f>
        <v>0.45304037690986743</v>
      </c>
      <c r="Z9" s="67" t="s">
        <v>78</v>
      </c>
      <c r="AA9" s="279" t="s">
        <v>201</v>
      </c>
      <c r="AB9" s="10"/>
      <c r="AC9" s="3"/>
      <c r="AD9" s="3"/>
      <c r="AE9" s="3" t="str">
        <f ca="1">IFERROR(__xludf.DUMMYFUNCTION("GoogleFinance(B9,""price"",today()-7)"),"#N/A")</f>
        <v>#N/A</v>
      </c>
      <c r="AF9" s="1"/>
      <c r="AG9" s="3" t="str">
        <f ca="1">IFERROR(__xludf.DUMMYFUNCTION("GoogleFinance(B9,""price"",today()-31)"),"#N/A")</f>
        <v>#N/A</v>
      </c>
      <c r="AH9" s="1"/>
      <c r="AI9" s="3" t="str">
        <f ca="1">IFERROR(__xludf.DUMMYFUNCTION("GoogleFinance(B9,""price"",today()-90)"),"#N/A")</f>
        <v>#N/A</v>
      </c>
      <c r="AJ9" s="1"/>
      <c r="AK9" s="3" t="str">
        <f ca="1">IFERROR(__xludf.DUMMYFUNCTION("GoogleFinance(B9,""price"",DATE(2022,12,30))"),"Date")</f>
        <v>Date</v>
      </c>
      <c r="AL9" s="1" t="str">
        <f ca="1">IFERROR(__xludf.DUMMYFUNCTION("""COMPUTED_VALUE"""),"Close")</f>
        <v>Close</v>
      </c>
      <c r="AM9" s="6"/>
      <c r="AN9" s="6"/>
      <c r="AO9" s="6"/>
      <c r="AP9" s="6"/>
      <c r="AQ9" s="6"/>
      <c r="AR9" s="6"/>
      <c r="AS9" s="6"/>
      <c r="AT9" s="6"/>
      <c r="AU9" s="6"/>
      <c r="AV9" s="6"/>
      <c r="AW9" s="6"/>
      <c r="AX9" s="6"/>
      <c r="AY9" s="6"/>
    </row>
    <row r="10" spans="1:51" ht="15.75" hidden="1" customHeight="1" x14ac:dyDescent="0.25">
      <c r="A10" s="288"/>
      <c r="B10" s="6"/>
      <c r="C10" s="21"/>
      <c r="D10" s="79"/>
      <c r="E10" s="6"/>
      <c r="F10" s="6"/>
      <c r="G10" s="289"/>
      <c r="H10" s="50"/>
      <c r="I10" s="289"/>
      <c r="J10" s="289"/>
      <c r="K10" s="289"/>
      <c r="L10" s="6"/>
      <c r="M10" s="6"/>
      <c r="N10" s="6"/>
      <c r="O10" s="6"/>
      <c r="P10" s="289"/>
      <c r="Q10" s="10" t="e">
        <v>#N/A</v>
      </c>
      <c r="R10" s="57" t="e">
        <v>#VALUE!</v>
      </c>
      <c r="S10" s="57" t="e">
        <v>#VALUE!</v>
      </c>
      <c r="T10" s="57" t="e">
        <v>#VALUE!</v>
      </c>
      <c r="U10" s="57" t="e">
        <v>#VALUE!</v>
      </c>
      <c r="V10" s="71"/>
      <c r="W10" s="57"/>
      <c r="X10" s="249"/>
      <c r="Y10" s="249"/>
      <c r="Z10" s="12"/>
      <c r="AA10" s="281" t="s">
        <v>202</v>
      </c>
      <c r="AB10" s="290"/>
      <c r="AC10" s="8"/>
      <c r="AD10" s="8"/>
      <c r="AE10" s="8"/>
      <c r="AF10" s="5"/>
      <c r="AG10" s="8"/>
      <c r="AH10" s="5"/>
      <c r="AI10" s="8"/>
      <c r="AJ10" s="5"/>
      <c r="AK10" s="8">
        <f ca="1">IFERROR(__xludf.DUMMYFUNCTION("""COMPUTED_VALUE"""),44925.6666666666)</f>
        <v>44925.666666666599</v>
      </c>
      <c r="AL10" s="5">
        <f ca="1">IFERROR(__xludf.DUMMYFUNCTION("""COMPUTED_VALUE"""),262.64)</f>
        <v>262.64</v>
      </c>
      <c r="AM10" s="6"/>
      <c r="AN10" s="6"/>
      <c r="AO10" s="6"/>
      <c r="AP10" s="6"/>
      <c r="AQ10" s="6"/>
      <c r="AR10" s="6"/>
      <c r="AS10" s="6"/>
      <c r="AT10" s="6"/>
      <c r="AU10" s="6"/>
      <c r="AV10" s="6"/>
      <c r="AW10" s="6"/>
      <c r="AX10" s="6"/>
      <c r="AY10" s="6"/>
    </row>
    <row r="11" spans="1:51" ht="15.75" customHeight="1" x14ac:dyDescent="0.25">
      <c r="A11" s="285">
        <v>5</v>
      </c>
      <c r="B11" s="1" t="s">
        <v>203</v>
      </c>
      <c r="C11" s="21" t="str">
        <f ca="1">IFERROR(__xludf.DUMMYFUNCTION("GoogleFinance(B11,""name"")"),"Loading...")</f>
        <v>Loading...</v>
      </c>
      <c r="D11" s="49">
        <f ca="1">IFERROR(__xludf.DUMMYFUNCTION("GoogleFinance(B11,""marketcap"")/1000000"),67693.084569)</f>
        <v>67693.084568999999</v>
      </c>
      <c r="E11" s="50" t="s">
        <v>13</v>
      </c>
      <c r="F11" s="50" t="s">
        <v>153</v>
      </c>
      <c r="G11" s="50" t="s">
        <v>78</v>
      </c>
      <c r="H11" s="50" t="s">
        <v>98</v>
      </c>
      <c r="I11" s="286" t="s">
        <v>74</v>
      </c>
      <c r="J11" s="286" t="s">
        <v>75</v>
      </c>
      <c r="K11" s="287" t="s">
        <v>75</v>
      </c>
      <c r="L11" s="462" t="s">
        <v>191</v>
      </c>
      <c r="M11" s="463"/>
      <c r="N11" s="5">
        <v>330</v>
      </c>
      <c r="O11" s="5">
        <v>360</v>
      </c>
      <c r="P11" s="25">
        <f ca="1">IFERROR(__xludf.DUMMYFUNCTION("GOOGLEFINANCE(B11)"),331.43)</f>
        <v>331.43</v>
      </c>
      <c r="Q11" s="10">
        <v>0</v>
      </c>
      <c r="R11" s="57">
        <v>7.5391396868824678E-3</v>
      </c>
      <c r="S11" s="57">
        <v>6.6823317346380362E-2</v>
      </c>
      <c r="T11" s="57">
        <v>7.2588996763754077E-2</v>
      </c>
      <c r="U11" s="57">
        <v>0.1042513493702939</v>
      </c>
      <c r="V11" s="71"/>
      <c r="W11" s="57"/>
      <c r="X11" s="57">
        <f ca="1">N11/P11-1</f>
        <v>-4.3146365748423232E-3</v>
      </c>
      <c r="Y11" s="57">
        <f ca="1">O11/P11-1</f>
        <v>8.6202214645626496E-2</v>
      </c>
      <c r="Z11" s="67" t="s">
        <v>120</v>
      </c>
      <c r="AA11" s="279" t="s">
        <v>204</v>
      </c>
      <c r="AB11" s="10"/>
      <c r="AC11" s="3"/>
      <c r="AD11" s="3"/>
      <c r="AE11" s="3" t="str">
        <f ca="1">IFERROR(__xludf.DUMMYFUNCTION("GoogleFinance(B11,""price"",today()-7)"),"#N/A")</f>
        <v>#N/A</v>
      </c>
      <c r="AF11" s="1"/>
      <c r="AG11" s="3" t="str">
        <f ca="1">IFERROR(__xludf.DUMMYFUNCTION("GoogleFinance(B11,""price"",today()-31)"),"#N/A")</f>
        <v>#N/A</v>
      </c>
      <c r="AH11" s="1"/>
      <c r="AI11" s="3" t="str">
        <f ca="1">IFERROR(__xludf.DUMMYFUNCTION("GoogleFinance(B11,""price"",today()-90)"),"#N/A")</f>
        <v>#N/A</v>
      </c>
      <c r="AJ11" s="1"/>
      <c r="AK11" s="3" t="str">
        <f ca="1">IFERROR(__xludf.DUMMYFUNCTION("GoogleFinance(B11,""price"",DATE(2022,12,30))"),"Date")</f>
        <v>Date</v>
      </c>
      <c r="AL11" s="1" t="str">
        <f ca="1">IFERROR(__xludf.DUMMYFUNCTION("""COMPUTED_VALUE"""),"Close")</f>
        <v>Close</v>
      </c>
      <c r="AM11" s="6"/>
      <c r="AN11" s="6"/>
      <c r="AO11" s="6"/>
      <c r="AP11" s="6"/>
      <c r="AQ11" s="6"/>
      <c r="AR11" s="6"/>
      <c r="AS11" s="6"/>
      <c r="AT11" s="6"/>
      <c r="AU11" s="6"/>
      <c r="AV11" s="6"/>
      <c r="AW11" s="6"/>
      <c r="AX11" s="6"/>
      <c r="AY11" s="6"/>
    </row>
    <row r="12" spans="1:51" ht="15.75" hidden="1" customHeight="1" x14ac:dyDescent="0.25">
      <c r="A12" s="288"/>
      <c r="B12" s="6"/>
      <c r="C12" s="21"/>
      <c r="D12" s="79"/>
      <c r="E12" s="6"/>
      <c r="F12" s="6"/>
      <c r="G12" s="289"/>
      <c r="H12" s="50"/>
      <c r="I12" s="289"/>
      <c r="J12" s="289"/>
      <c r="K12" s="289"/>
      <c r="L12" s="6"/>
      <c r="M12" s="6"/>
      <c r="N12" s="6"/>
      <c r="O12" s="6"/>
      <c r="P12" s="289"/>
      <c r="Q12" s="10" t="e">
        <v>#N/A</v>
      </c>
      <c r="R12" s="57" t="e">
        <v>#VALUE!</v>
      </c>
      <c r="S12" s="57" t="e">
        <v>#VALUE!</v>
      </c>
      <c r="T12" s="57" t="e">
        <v>#VALUE!</v>
      </c>
      <c r="U12" s="57" t="e">
        <v>#VALUE!</v>
      </c>
      <c r="V12" s="71"/>
      <c r="W12" s="57"/>
      <c r="X12" s="249"/>
      <c r="Y12" s="249"/>
      <c r="Z12" s="12"/>
      <c r="AA12" s="12"/>
      <c r="AB12" s="290"/>
      <c r="AC12" s="8"/>
      <c r="AD12" s="8"/>
      <c r="AE12" s="8"/>
      <c r="AF12" s="5"/>
      <c r="AG12" s="8"/>
      <c r="AH12" s="5"/>
      <c r="AI12" s="8"/>
      <c r="AJ12" s="5"/>
      <c r="AK12" s="8">
        <f ca="1">IFERROR(__xludf.DUMMYFUNCTION("""COMPUTED_VALUE"""),44925.6666666666)</f>
        <v>44925.666666666599</v>
      </c>
      <c r="AL12" s="5">
        <f ca="1">IFERROR(__xludf.DUMMYFUNCTION("""COMPUTED_VALUE"""),300.14)</f>
        <v>300.14</v>
      </c>
      <c r="AM12" s="6"/>
      <c r="AN12" s="6"/>
      <c r="AO12" s="6"/>
      <c r="AP12" s="6"/>
      <c r="AQ12" s="6"/>
      <c r="AR12" s="6"/>
      <c r="AS12" s="6"/>
      <c r="AT12" s="6"/>
      <c r="AU12" s="6"/>
      <c r="AV12" s="6"/>
      <c r="AW12" s="6"/>
      <c r="AX12" s="6"/>
      <c r="AY12" s="6"/>
    </row>
    <row r="13" spans="1:51" ht="15.75" customHeight="1" x14ac:dyDescent="0.25">
      <c r="A13" s="278">
        <v>6</v>
      </c>
      <c r="B13" s="1" t="s">
        <v>155</v>
      </c>
      <c r="C13" s="21" t="str">
        <f ca="1">IFERROR(__xludf.DUMMYFUNCTION("GoogleFinance(B13,""name"")"),"Loading...")</f>
        <v>Loading...</v>
      </c>
      <c r="D13" s="49">
        <f ca="1">IFERROR(__xludf.DUMMYFUNCTION("GoogleFinance(B13,""marketcap"")/1000000"),124916.486699)</f>
        <v>124916.486699</v>
      </c>
      <c r="E13" s="50" t="s">
        <v>13</v>
      </c>
      <c r="F13" s="50" t="s">
        <v>205</v>
      </c>
      <c r="G13" s="50" t="s">
        <v>99</v>
      </c>
      <c r="H13" s="50" t="s">
        <v>98</v>
      </c>
      <c r="I13" s="286" t="s">
        <v>74</v>
      </c>
      <c r="J13" s="286" t="s">
        <v>75</v>
      </c>
      <c r="K13" s="287" t="s">
        <v>75</v>
      </c>
      <c r="L13" s="5">
        <v>165</v>
      </c>
      <c r="M13" s="5">
        <v>162</v>
      </c>
      <c r="N13" s="5">
        <v>190</v>
      </c>
      <c r="O13" s="5">
        <v>210</v>
      </c>
      <c r="P13" s="25">
        <f ca="1">IFERROR(__xludf.DUMMYFUNCTION("GOOGLEFINANCE(B13)"),168.07)</f>
        <v>168.07</v>
      </c>
      <c r="Q13" s="10">
        <v>1E-4</v>
      </c>
      <c r="R13" s="57">
        <v>-7.9098046160203106E-3</v>
      </c>
      <c r="S13" s="57">
        <v>6.8875604171966254E-2</v>
      </c>
      <c r="T13" s="57">
        <v>5.5649770743043669E-2</v>
      </c>
      <c r="U13" s="57">
        <v>0.13752961082910309</v>
      </c>
      <c r="V13" s="71">
        <f ca="1">L13/P13-1</f>
        <v>-1.8266198607722939E-2</v>
      </c>
      <c r="W13" s="57">
        <f ca="1">M13/P13-1</f>
        <v>-3.6115904087582473E-2</v>
      </c>
      <c r="X13" s="57">
        <f ca="1">N13/P13-1</f>
        <v>0.1304813470577737</v>
      </c>
      <c r="Y13" s="57">
        <f ca="1">O13/P13-1</f>
        <v>0.24947938359017074</v>
      </c>
      <c r="Z13" s="67" t="s">
        <v>120</v>
      </c>
      <c r="AA13" s="291" t="s">
        <v>206</v>
      </c>
      <c r="AB13" s="10"/>
      <c r="AC13" s="3"/>
      <c r="AD13" s="3"/>
      <c r="AE13" s="3" t="str">
        <f ca="1">IFERROR(__xludf.DUMMYFUNCTION("GoogleFinance(B13,""price"",today()-7)"),"#N/A")</f>
        <v>#N/A</v>
      </c>
      <c r="AF13" s="1"/>
      <c r="AG13" s="3" t="str">
        <f ca="1">IFERROR(__xludf.DUMMYFUNCTION("GoogleFinance(B13,""price"",today()-31)"),"#N/A")</f>
        <v>#N/A</v>
      </c>
      <c r="AH13" s="1"/>
      <c r="AI13" s="3" t="str">
        <f ca="1">IFERROR(__xludf.DUMMYFUNCTION("GoogleFinance(B13,""price"",today()-90)"),"#N/A")</f>
        <v>#N/A</v>
      </c>
      <c r="AJ13" s="1"/>
      <c r="AK13" s="3" t="str">
        <f ca="1">IFERROR(__xludf.DUMMYFUNCTION("GoogleFinance(B13,""price"",DATE(2022,12,30))"),"Date")</f>
        <v>Date</v>
      </c>
      <c r="AL13" s="1" t="str">
        <f ca="1">IFERROR(__xludf.DUMMYFUNCTION("""COMPUTED_VALUE"""),"Close")</f>
        <v>Close</v>
      </c>
      <c r="AM13" s="6"/>
      <c r="AN13" s="6"/>
      <c r="AO13" s="6"/>
      <c r="AP13" s="6"/>
      <c r="AQ13" s="6"/>
      <c r="AR13" s="6"/>
      <c r="AS13" s="6"/>
      <c r="AT13" s="6"/>
      <c r="AU13" s="6"/>
      <c r="AV13" s="6"/>
      <c r="AW13" s="6"/>
      <c r="AX13" s="6"/>
      <c r="AY13" s="6"/>
    </row>
    <row r="14" spans="1:51" ht="15.75" hidden="1" customHeight="1" x14ac:dyDescent="0.25">
      <c r="A14" s="6"/>
      <c r="B14" s="6"/>
      <c r="C14" s="21"/>
      <c r="D14" s="79"/>
      <c r="E14" s="6"/>
      <c r="F14" s="6"/>
      <c r="G14" s="289"/>
      <c r="H14" s="50"/>
      <c r="I14" s="289"/>
      <c r="J14" s="289"/>
      <c r="K14" s="289"/>
      <c r="L14" s="6"/>
      <c r="M14" s="6"/>
      <c r="N14" s="6"/>
      <c r="O14" s="6"/>
      <c r="P14" s="289"/>
      <c r="Q14" s="10" t="e">
        <v>#N/A</v>
      </c>
      <c r="R14" s="57" t="e">
        <v>#VALUE!</v>
      </c>
      <c r="S14" s="57" t="e">
        <v>#VALUE!</v>
      </c>
      <c r="T14" s="57" t="e">
        <v>#VALUE!</v>
      </c>
      <c r="U14" s="57" t="e">
        <v>#VALUE!</v>
      </c>
      <c r="V14" s="71"/>
      <c r="W14" s="57"/>
      <c r="X14" s="249"/>
      <c r="Y14" s="249"/>
      <c r="Z14" s="67" t="s">
        <v>120</v>
      </c>
      <c r="AA14" s="279" t="s">
        <v>207</v>
      </c>
      <c r="AB14" s="290"/>
      <c r="AC14" s="8"/>
      <c r="AD14" s="8"/>
      <c r="AE14" s="8"/>
      <c r="AF14" s="5"/>
      <c r="AG14" s="8"/>
      <c r="AH14" s="5"/>
      <c r="AI14" s="8"/>
      <c r="AJ14" s="5"/>
      <c r="AK14" s="8">
        <f ca="1">IFERROR(__xludf.DUMMYFUNCTION("""COMPUTED_VALUE"""),44925.6666666666)</f>
        <v>44925.666666666599</v>
      </c>
      <c r="AL14" s="5">
        <f ca="1">IFERROR(__xludf.DUMMYFUNCTION("""COMPUTED_VALUE"""),147.75)</f>
        <v>147.75</v>
      </c>
      <c r="AM14" s="6"/>
      <c r="AN14" s="6"/>
      <c r="AO14" s="6"/>
      <c r="AP14" s="6"/>
      <c r="AQ14" s="6"/>
      <c r="AR14" s="6"/>
      <c r="AS14" s="6"/>
      <c r="AT14" s="6"/>
      <c r="AU14" s="6"/>
      <c r="AV14" s="6"/>
      <c r="AW14" s="6"/>
      <c r="AX14" s="6"/>
      <c r="AY14" s="6"/>
    </row>
    <row r="15" spans="1:51" ht="15" customHeight="1" x14ac:dyDescent="0.25">
      <c r="A15" s="1">
        <v>7</v>
      </c>
      <c r="B15" s="1" t="s">
        <v>208</v>
      </c>
      <c r="C15" s="21" t="str">
        <f ca="1">IFERROR(__xludf.DUMMYFUNCTION("GoogleFinance(B15,""name"")"),"Loading...")</f>
        <v>Loading...</v>
      </c>
      <c r="D15" s="49">
        <f ca="1">IFERROR(__xludf.DUMMYFUNCTION("GoogleFinance(B15,""marketcap"")/1000000"),117182.52622)</f>
        <v>117182.52622</v>
      </c>
      <c r="E15" s="50" t="s">
        <v>11</v>
      </c>
      <c r="F15" s="50" t="s">
        <v>209</v>
      </c>
      <c r="G15" s="50" t="s">
        <v>99</v>
      </c>
      <c r="H15" s="50" t="s">
        <v>98</v>
      </c>
      <c r="I15" s="286" t="s">
        <v>75</v>
      </c>
      <c r="J15" s="286" t="s">
        <v>75</v>
      </c>
      <c r="K15" s="287" t="s">
        <v>75</v>
      </c>
      <c r="L15" s="462" t="s">
        <v>191</v>
      </c>
      <c r="M15" s="463"/>
      <c r="N15" s="5">
        <v>70</v>
      </c>
      <c r="O15" s="5">
        <v>74</v>
      </c>
      <c r="P15" s="25">
        <f ca="1">IFERROR(__xludf.DUMMYFUNCTION("GOOGLEFINANCE(B15)"),59.31)</f>
        <v>59.31</v>
      </c>
      <c r="Q15" s="10">
        <v>0</v>
      </c>
      <c r="R15" s="57">
        <v>-4.8909557408595261E-2</v>
      </c>
      <c r="S15" s="57">
        <v>4.6585494970884156E-2</v>
      </c>
      <c r="T15" s="57">
        <v>-5.5331991951710346E-3</v>
      </c>
      <c r="U15" s="57">
        <v>-4.4157937147461634E-2</v>
      </c>
      <c r="V15" s="71"/>
      <c r="W15" s="57"/>
      <c r="X15" s="57">
        <f ca="1">N15/P15-1</f>
        <v>0.18023941999662774</v>
      </c>
      <c r="Y15" s="57">
        <f ca="1">O15/P15-1</f>
        <v>0.24768167256786366</v>
      </c>
      <c r="Z15" s="67" t="s">
        <v>99</v>
      </c>
      <c r="AA15" s="291" t="s">
        <v>210</v>
      </c>
      <c r="AB15" s="11"/>
      <c r="AC15" s="3"/>
      <c r="AD15" s="3"/>
      <c r="AE15" s="3" t="str">
        <f ca="1">IFERROR(__xludf.DUMMYFUNCTION("GoogleFinance(B15,""price"",today()-7)"),"#N/A")</f>
        <v>#N/A</v>
      </c>
      <c r="AF15" s="1"/>
      <c r="AG15" s="3" t="str">
        <f ca="1">IFERROR(__xludf.DUMMYFUNCTION("GoogleFinance(B15,""price"",today()-31)"),"#N/A")</f>
        <v>#N/A</v>
      </c>
      <c r="AH15" s="1"/>
      <c r="AI15" s="3" t="str">
        <f ca="1">IFERROR(__xludf.DUMMYFUNCTION("GoogleFinance(B15,""price"",today()-90)"),"#N/A")</f>
        <v>#N/A</v>
      </c>
      <c r="AJ15" s="1"/>
      <c r="AK15" s="3" t="str">
        <f ca="1">IFERROR(__xludf.DUMMYFUNCTION("GoogleFinance(B15,""price"",DATE(2022,12,30))"),"Date")</f>
        <v>Date</v>
      </c>
      <c r="AL15" s="1" t="str">
        <f ca="1">IFERROR(__xludf.DUMMYFUNCTION("""COMPUTED_VALUE"""),"Close")</f>
        <v>Close</v>
      </c>
      <c r="AM15" s="6"/>
      <c r="AN15" s="6"/>
      <c r="AO15" s="6"/>
      <c r="AP15" s="6"/>
      <c r="AQ15" s="6"/>
      <c r="AR15" s="6"/>
      <c r="AS15" s="6"/>
      <c r="AT15" s="6"/>
      <c r="AU15" s="6"/>
      <c r="AV15" s="6"/>
      <c r="AW15" s="6"/>
      <c r="AX15" s="6"/>
      <c r="AY15" s="6"/>
    </row>
    <row r="16" spans="1:51" ht="15.75" hidden="1" customHeight="1" x14ac:dyDescent="0.25">
      <c r="A16" s="6"/>
      <c r="B16" s="6"/>
      <c r="C16" s="21"/>
      <c r="D16" s="79"/>
      <c r="E16" s="6"/>
      <c r="F16" s="6"/>
      <c r="G16" s="289"/>
      <c r="H16" s="50"/>
      <c r="I16" s="289"/>
      <c r="J16" s="289"/>
      <c r="K16" s="289"/>
      <c r="L16" s="6"/>
      <c r="M16" s="6"/>
      <c r="N16" s="6"/>
      <c r="O16" s="6"/>
      <c r="P16" s="289"/>
      <c r="Q16" s="10" t="e">
        <v>#N/A</v>
      </c>
      <c r="R16" s="57" t="e">
        <v>#VALUE!</v>
      </c>
      <c r="S16" s="57" t="e">
        <v>#VALUE!</v>
      </c>
      <c r="T16" s="57" t="e">
        <v>#VALUE!</v>
      </c>
      <c r="U16" s="57" t="e">
        <v>#VALUE!</v>
      </c>
      <c r="V16" s="71"/>
      <c r="W16" s="57"/>
      <c r="X16" s="249"/>
      <c r="Y16" s="249"/>
      <c r="Z16" s="67" t="s">
        <v>120</v>
      </c>
      <c r="AA16" s="235"/>
      <c r="AB16" s="290"/>
      <c r="AC16" s="8"/>
      <c r="AD16" s="8"/>
      <c r="AE16" s="8"/>
      <c r="AF16" s="5"/>
      <c r="AG16" s="8"/>
      <c r="AH16" s="5"/>
      <c r="AI16" s="8"/>
      <c r="AJ16" s="5"/>
      <c r="AK16" s="8">
        <f ca="1">IFERROR(__xludf.DUMMYFUNCTION("""COMPUTED_VALUE"""),44925.6666666666)</f>
        <v>44925.666666666599</v>
      </c>
      <c r="AL16" s="5">
        <f ca="1">IFERROR(__xludf.DUMMYFUNCTION("""COMPUTED_VALUE"""),62.05)</f>
        <v>62.05</v>
      </c>
      <c r="AM16" s="6"/>
      <c r="AN16" s="6"/>
      <c r="AO16" s="6"/>
      <c r="AP16" s="6"/>
      <c r="AQ16" s="6"/>
      <c r="AR16" s="6"/>
      <c r="AS16" s="6"/>
      <c r="AT16" s="6"/>
      <c r="AU16" s="6"/>
      <c r="AV16" s="6"/>
      <c r="AW16" s="6"/>
      <c r="AX16" s="6"/>
      <c r="AY16" s="6"/>
    </row>
    <row r="17" spans="1:51" ht="15.75" customHeight="1" x14ac:dyDescent="0.25">
      <c r="A17" s="1">
        <v>8</v>
      </c>
      <c r="B17" s="1" t="s">
        <v>162</v>
      </c>
      <c r="C17" s="21" t="str">
        <f ca="1">IFERROR(__xludf.DUMMYFUNCTION("GoogleFinance(B17,""name"")"),"Loading...")</f>
        <v>Loading...</v>
      </c>
      <c r="D17" s="49">
        <f ca="1">IFERROR(__xludf.DUMMYFUNCTION("GoogleFinance(B17,""marketcap"")/1000000"),120819.991566)</f>
        <v>120819.991566</v>
      </c>
      <c r="E17" s="49" t="s">
        <v>10</v>
      </c>
      <c r="F17" s="50" t="s">
        <v>159</v>
      </c>
      <c r="G17" s="50" t="s">
        <v>99</v>
      </c>
      <c r="H17" s="50" t="s">
        <v>98</v>
      </c>
      <c r="I17" s="286" t="s">
        <v>117</v>
      </c>
      <c r="J17" s="286" t="s">
        <v>117</v>
      </c>
      <c r="K17" s="287" t="s">
        <v>117</v>
      </c>
      <c r="L17" s="462" t="s">
        <v>191</v>
      </c>
      <c r="M17" s="463"/>
      <c r="N17" s="5">
        <v>228</v>
      </c>
      <c r="O17" s="5">
        <v>235</v>
      </c>
      <c r="P17" s="25">
        <f ca="1">IFERROR(__xludf.DUMMYFUNCTION("GOOGLEFINANCE(B17)"),234.44)</f>
        <v>234.44</v>
      </c>
      <c r="Q17" s="10">
        <v>2.9999999999999997E-4</v>
      </c>
      <c r="R17" s="57">
        <v>-2.7825005183495732E-2</v>
      </c>
      <c r="S17" s="57">
        <v>0.10689329556185068</v>
      </c>
      <c r="T17" s="57">
        <v>6.486191860465107E-2</v>
      </c>
      <c r="U17" s="57">
        <v>-2.1372516279846376E-2</v>
      </c>
      <c r="V17" s="71"/>
      <c r="W17" s="57"/>
      <c r="X17" s="57">
        <f ca="1">N17/P17-1</f>
        <v>-2.7469715065688405E-2</v>
      </c>
      <c r="Y17" s="57">
        <f ca="1">O17/P17-1</f>
        <v>2.3886708752771657E-3</v>
      </c>
      <c r="Z17" s="132" t="s">
        <v>195</v>
      </c>
      <c r="AA17" s="279" t="s">
        <v>211</v>
      </c>
      <c r="AB17" s="227"/>
      <c r="AE17" s="3" t="str">
        <f ca="1">IFERROR(__xludf.DUMMYFUNCTION("GoogleFinance(B17,""price"",today()-7)"),"#N/A")</f>
        <v>#N/A</v>
      </c>
      <c r="AF17" s="1"/>
      <c r="AG17" s="3" t="str">
        <f ca="1">IFERROR(__xludf.DUMMYFUNCTION("GoogleFinance(B17,""price"",today()-31)"),"#N/A")</f>
        <v>#N/A</v>
      </c>
      <c r="AH17" s="1"/>
      <c r="AI17" s="3" t="str">
        <f ca="1">IFERROR(__xludf.DUMMYFUNCTION("GoogleFinance(B17,""price"",today()-90)"),"#N/A")</f>
        <v>#N/A</v>
      </c>
      <c r="AJ17" s="1"/>
      <c r="AK17" s="3" t="str">
        <f ca="1">IFERROR(__xludf.DUMMYFUNCTION("GoogleFinance(B17,""price"",DATE(2022,12,30))"),"Date")</f>
        <v>Date</v>
      </c>
      <c r="AL17" s="1" t="str">
        <f ca="1">IFERROR(__xludf.DUMMYFUNCTION("""COMPUTED_VALUE"""),"Close")</f>
        <v>Close</v>
      </c>
      <c r="AM17" s="6"/>
      <c r="AN17" s="6"/>
      <c r="AO17" s="6"/>
      <c r="AP17" s="6"/>
      <c r="AQ17" s="6"/>
      <c r="AR17" s="6"/>
      <c r="AS17" s="6"/>
      <c r="AT17" s="6"/>
      <c r="AU17" s="6"/>
      <c r="AV17" s="6"/>
      <c r="AW17" s="6"/>
      <c r="AX17" s="6"/>
      <c r="AY17" s="6"/>
    </row>
    <row r="18" spans="1:51" ht="15.75" hidden="1" customHeight="1" x14ac:dyDescent="0.25">
      <c r="A18" s="6"/>
      <c r="B18" s="6"/>
      <c r="C18" s="21"/>
      <c r="D18" s="79"/>
      <c r="E18" s="6"/>
      <c r="F18" s="6"/>
      <c r="G18" s="289"/>
      <c r="H18" s="50"/>
      <c r="I18" s="289"/>
      <c r="J18" s="289"/>
      <c r="K18" s="289"/>
      <c r="L18" s="6"/>
      <c r="M18" s="6"/>
      <c r="N18" s="6"/>
      <c r="O18" s="6"/>
      <c r="P18" s="289"/>
      <c r="Q18" s="10" t="e">
        <v>#N/A</v>
      </c>
      <c r="R18" s="57" t="e">
        <v>#VALUE!</v>
      </c>
      <c r="S18" s="57" t="e">
        <v>#VALUE!</v>
      </c>
      <c r="T18" s="57" t="e">
        <v>#VALUE!</v>
      </c>
      <c r="U18" s="57" t="e">
        <v>#VALUE!</v>
      </c>
      <c r="V18" s="71"/>
      <c r="W18" s="57"/>
      <c r="X18" s="249"/>
      <c r="Y18" s="249"/>
      <c r="Z18" s="67" t="s">
        <v>120</v>
      </c>
      <c r="AA18" s="12"/>
      <c r="AB18" s="290"/>
      <c r="AC18" s="8"/>
      <c r="AD18" s="8"/>
      <c r="AE18" s="8"/>
      <c r="AF18" s="5"/>
      <c r="AG18" s="8"/>
      <c r="AH18" s="5"/>
      <c r="AI18" s="8"/>
      <c r="AJ18" s="5"/>
      <c r="AK18" s="8">
        <f ca="1">IFERROR(__xludf.DUMMYFUNCTION("""COMPUTED_VALUE"""),44925.6666666666)</f>
        <v>44925.666666666599</v>
      </c>
      <c r="AL18" s="5">
        <f ca="1">IFERROR(__xludf.DUMMYFUNCTION("""COMPUTED_VALUE"""),239.56)</f>
        <v>239.56</v>
      </c>
      <c r="AM18" s="6"/>
      <c r="AN18" s="6"/>
      <c r="AO18" s="6"/>
      <c r="AP18" s="6"/>
      <c r="AQ18" s="6"/>
      <c r="AR18" s="6"/>
      <c r="AS18" s="6"/>
      <c r="AT18" s="6"/>
      <c r="AU18" s="6"/>
      <c r="AV18" s="6"/>
      <c r="AW18" s="6"/>
      <c r="AX18" s="6"/>
      <c r="AY18" s="6"/>
    </row>
    <row r="19" spans="1:51" ht="15.75" customHeight="1" x14ac:dyDescent="0.25">
      <c r="A19" s="5">
        <v>9</v>
      </c>
      <c r="B19" s="1" t="s">
        <v>212</v>
      </c>
      <c r="C19" s="21" t="str">
        <f ca="1">IFERROR(__xludf.DUMMYFUNCTION("GoogleFinance(B19,""name"")"),"Loading...")</f>
        <v>Loading...</v>
      </c>
      <c r="D19" s="49">
        <f ca="1">IFERROR(__xludf.DUMMYFUNCTION("GoogleFinance(B19,""marketcap"")/1000000"),118581.548424)</f>
        <v>118581.54842399999</v>
      </c>
      <c r="E19" s="49" t="s">
        <v>10</v>
      </c>
      <c r="F19" s="50" t="s">
        <v>159</v>
      </c>
      <c r="G19" s="50" t="s">
        <v>99</v>
      </c>
      <c r="H19" s="50" t="s">
        <v>98</v>
      </c>
      <c r="I19" s="286" t="s">
        <v>117</v>
      </c>
      <c r="J19" s="287" t="s">
        <v>75</v>
      </c>
      <c r="K19" s="50" t="s">
        <v>75</v>
      </c>
      <c r="L19" s="469" t="s">
        <v>199</v>
      </c>
      <c r="M19" s="463"/>
      <c r="N19" s="5">
        <v>500</v>
      </c>
      <c r="O19" s="5">
        <v>520</v>
      </c>
      <c r="P19" s="25">
        <f ca="1">IFERROR(__xludf.DUMMYFUNCTION("GOOGLEFINANCE(B19)"),404.45)</f>
        <v>404.45</v>
      </c>
      <c r="Q19" s="10">
        <v>-5.0000000000000001E-4</v>
      </c>
      <c r="R19" s="57">
        <v>-8.6523849208295367E-3</v>
      </c>
      <c r="S19" s="57">
        <v>0.13224713753814288</v>
      </c>
      <c r="T19" s="57">
        <v>2.3017579360060658E-2</v>
      </c>
      <c r="U19" s="57">
        <v>-5.6698386043474214E-2</v>
      </c>
      <c r="V19" s="71"/>
      <c r="W19" s="57"/>
      <c r="X19" s="57">
        <f ca="1">N19/P19-1</f>
        <v>0.23624675485226865</v>
      </c>
      <c r="Y19" s="57">
        <f ca="1">O19/P19-1</f>
        <v>0.28569662504635929</v>
      </c>
      <c r="Z19" s="67" t="s">
        <v>78</v>
      </c>
      <c r="AA19" s="279" t="s">
        <v>213</v>
      </c>
      <c r="AB19" s="227"/>
      <c r="AE19" s="3" t="str">
        <f ca="1">IFERROR(__xludf.DUMMYFUNCTION("GoogleFinance(B19,""price"",today()-7)"),"#N/A")</f>
        <v>#N/A</v>
      </c>
      <c r="AF19" s="1"/>
      <c r="AG19" s="3" t="str">
        <f ca="1">IFERROR(__xludf.DUMMYFUNCTION("GoogleFinance(B19,""price"",today()-31)"),"#N/A")</f>
        <v>#N/A</v>
      </c>
      <c r="AH19" s="1"/>
      <c r="AI19" s="3" t="str">
        <f ca="1">IFERROR(__xludf.DUMMYFUNCTION("GoogleFinance(B19,""price"",today()-90)"),"#N/A")</f>
        <v>#N/A</v>
      </c>
      <c r="AJ19" s="1"/>
      <c r="AK19" s="3" t="str">
        <f ca="1">IFERROR(__xludf.DUMMYFUNCTION("GoogleFinance(B19,""price"",DATE(2022,12,30))"),"Date")</f>
        <v>Date</v>
      </c>
      <c r="AL19" s="1" t="str">
        <f ca="1">IFERROR(__xludf.DUMMYFUNCTION("""COMPUTED_VALUE"""),"Close")</f>
        <v>Close</v>
      </c>
      <c r="AM19" s="6"/>
      <c r="AN19" s="6"/>
      <c r="AO19" s="6"/>
      <c r="AP19" s="6"/>
      <c r="AQ19" s="6"/>
      <c r="AR19" s="6"/>
      <c r="AS19" s="6"/>
      <c r="AT19" s="6"/>
      <c r="AU19" s="6"/>
      <c r="AV19" s="6"/>
      <c r="AW19" s="6"/>
      <c r="AX19" s="6"/>
      <c r="AY19" s="6"/>
    </row>
    <row r="20" spans="1:51" ht="15.75" hidden="1" customHeight="1" x14ac:dyDescent="0.25">
      <c r="A20" s="6"/>
      <c r="B20" s="6"/>
      <c r="C20" s="21"/>
      <c r="D20" s="79"/>
      <c r="E20" s="6"/>
      <c r="F20" s="6"/>
      <c r="G20" s="289"/>
      <c r="H20" s="50"/>
      <c r="I20" s="289"/>
      <c r="J20" s="289"/>
      <c r="K20" s="289"/>
      <c r="L20" s="6"/>
      <c r="M20" s="6"/>
      <c r="N20" s="6"/>
      <c r="O20" s="6"/>
      <c r="P20" s="289"/>
      <c r="Q20" s="10" t="e">
        <v>#N/A</v>
      </c>
      <c r="R20" s="57" t="e">
        <v>#VALUE!</v>
      </c>
      <c r="S20" s="57" t="e">
        <v>#VALUE!</v>
      </c>
      <c r="T20" s="57" t="e">
        <v>#VALUE!</v>
      </c>
      <c r="U20" s="57" t="e">
        <v>#VALUE!</v>
      </c>
      <c r="V20" s="71"/>
      <c r="W20" s="57"/>
      <c r="X20" s="249"/>
      <c r="Y20" s="249"/>
      <c r="Z20" s="67" t="s">
        <v>120</v>
      </c>
      <c r="AA20" s="12"/>
      <c r="AB20" s="290"/>
      <c r="AC20" s="8"/>
      <c r="AD20" s="8"/>
      <c r="AE20" s="8"/>
      <c r="AF20" s="5"/>
      <c r="AG20" s="8"/>
      <c r="AH20" s="5"/>
      <c r="AI20" s="8"/>
      <c r="AJ20" s="5"/>
      <c r="AK20" s="8">
        <f ca="1">IFERROR(__xludf.DUMMYFUNCTION("""COMPUTED_VALUE"""),44925.6666666666)</f>
        <v>44925.666666666599</v>
      </c>
      <c r="AL20" s="5">
        <f ca="1">IFERROR(__xludf.DUMMYFUNCTION("""COMPUTED_VALUE"""),428.76)</f>
        <v>428.76</v>
      </c>
      <c r="AM20" s="6"/>
      <c r="AN20" s="6"/>
      <c r="AO20" s="6"/>
      <c r="AP20" s="6"/>
      <c r="AQ20" s="6"/>
      <c r="AR20" s="6"/>
      <c r="AS20" s="6"/>
      <c r="AT20" s="6"/>
      <c r="AU20" s="6"/>
      <c r="AV20" s="6"/>
      <c r="AW20" s="6"/>
      <c r="AX20" s="6"/>
      <c r="AY20" s="6"/>
    </row>
    <row r="21" spans="1:51" ht="15.75" customHeight="1" x14ac:dyDescent="0.25">
      <c r="A21" s="1">
        <v>10</v>
      </c>
      <c r="B21" s="1" t="s">
        <v>214</v>
      </c>
      <c r="C21" s="21" t="str">
        <f ca="1">IFERROR(__xludf.DUMMYFUNCTION("GoogleFinance(B21,""name"")"),"Loading...")</f>
        <v>Loading...</v>
      </c>
      <c r="D21" s="49">
        <f ca="1">IFERROR(__xludf.DUMMYFUNCTION("GoogleFinance(B21,""marketcap"")/1000000"),104624.707239)</f>
        <v>104624.707239</v>
      </c>
      <c r="E21" s="49" t="s">
        <v>13</v>
      </c>
      <c r="F21" s="50" t="s">
        <v>19</v>
      </c>
      <c r="G21" s="50" t="s">
        <v>99</v>
      </c>
      <c r="H21" s="50" t="s">
        <v>98</v>
      </c>
      <c r="I21" s="286" t="s">
        <v>74</v>
      </c>
      <c r="J21" s="286" t="s">
        <v>75</v>
      </c>
      <c r="K21" s="287" t="s">
        <v>75</v>
      </c>
      <c r="L21" s="462" t="s">
        <v>191</v>
      </c>
      <c r="M21" s="463"/>
      <c r="N21" s="5">
        <v>420</v>
      </c>
      <c r="O21" s="5">
        <v>480</v>
      </c>
      <c r="P21" s="25">
        <f ca="1">IFERROR(__xludf.DUMMYFUNCTION("GOOGLEFINANCE(B21)"),314.71)</f>
        <v>314.70999999999998</v>
      </c>
      <c r="Q21" s="10">
        <v>0</v>
      </c>
      <c r="R21" s="57">
        <v>-4.8409530720851635E-2</v>
      </c>
      <c r="S21" s="57">
        <v>-5.2106864251076801E-2</v>
      </c>
      <c r="T21" s="57">
        <v>-1.1713352593895276E-2</v>
      </c>
      <c r="U21" s="57">
        <v>-8.3493505737084361E-2</v>
      </c>
      <c r="V21" s="71"/>
      <c r="W21" s="57"/>
      <c r="X21" s="57">
        <f ca="1">N21/P21-1</f>
        <v>0.33456197769374985</v>
      </c>
      <c r="Y21" s="57">
        <f ca="1">O21/P21-1</f>
        <v>0.52521368879285713</v>
      </c>
      <c r="Z21" s="67" t="s">
        <v>99</v>
      </c>
      <c r="AA21" s="279" t="s">
        <v>215</v>
      </c>
      <c r="AB21" s="10"/>
      <c r="AC21" s="3"/>
      <c r="AD21" s="3"/>
      <c r="AE21" s="3" t="str">
        <f ca="1">IFERROR(__xludf.DUMMYFUNCTION("GoogleFinance(B21,""price"",today()-7)"),"#N/A")</f>
        <v>#N/A</v>
      </c>
      <c r="AF21" s="1"/>
      <c r="AG21" s="3" t="str">
        <f ca="1">IFERROR(__xludf.DUMMYFUNCTION("GoogleFinance(B21,""price"",today()-31)"),"#N/A")</f>
        <v>#N/A</v>
      </c>
      <c r="AH21" s="1"/>
      <c r="AI21" s="3" t="str">
        <f ca="1">IFERROR(__xludf.DUMMYFUNCTION("GoogleFinance(B21,""price"",today()-90)"),"#N/A")</f>
        <v>#N/A</v>
      </c>
      <c r="AJ21" s="1"/>
      <c r="AK21" s="3" t="str">
        <f ca="1">IFERROR(__xludf.DUMMYFUNCTION("GoogleFinance(B21,""price"",DATE(2022,12,30))"),"Date")</f>
        <v>Date</v>
      </c>
      <c r="AL21" s="1" t="str">
        <f ca="1">IFERROR(__xludf.DUMMYFUNCTION("""COMPUTED_VALUE"""),"Close")</f>
        <v>Close</v>
      </c>
      <c r="AM21" s="6"/>
      <c r="AN21" s="6"/>
      <c r="AO21" s="6"/>
      <c r="AP21" s="6"/>
      <c r="AQ21" s="6"/>
      <c r="AR21" s="6"/>
      <c r="AS21" s="6"/>
      <c r="AT21" s="6"/>
      <c r="AU21" s="6"/>
      <c r="AV21" s="6"/>
      <c r="AW21" s="6"/>
      <c r="AX21" s="6"/>
      <c r="AY21" s="6"/>
    </row>
    <row r="22" spans="1:51" ht="15.75" hidden="1" customHeight="1" x14ac:dyDescent="0.25">
      <c r="A22" s="6"/>
      <c r="B22" s="6"/>
      <c r="C22" s="21"/>
      <c r="D22" s="79"/>
      <c r="E22" s="6"/>
      <c r="F22" s="6"/>
      <c r="G22" s="289"/>
      <c r="H22" s="50"/>
      <c r="I22" s="289"/>
      <c r="J22" s="289"/>
      <c r="K22" s="289"/>
      <c r="L22" s="6"/>
      <c r="M22" s="6"/>
      <c r="N22" s="6"/>
      <c r="O22" s="6"/>
      <c r="P22" s="289"/>
      <c r="Q22" s="10" t="e">
        <v>#N/A</v>
      </c>
      <c r="R22" s="57" t="e">
        <v>#VALUE!</v>
      </c>
      <c r="S22" s="57" t="e">
        <v>#VALUE!</v>
      </c>
      <c r="T22" s="57" t="e">
        <v>#VALUE!</v>
      </c>
      <c r="U22" s="57" t="e">
        <v>#VALUE!</v>
      </c>
      <c r="V22" s="71"/>
      <c r="W22" s="57"/>
      <c r="X22" s="249"/>
      <c r="Y22" s="249"/>
      <c r="Z22" s="67" t="s">
        <v>120</v>
      </c>
      <c r="AA22" s="12"/>
      <c r="AB22" s="290"/>
      <c r="AC22" s="8"/>
      <c r="AD22" s="8"/>
      <c r="AE22" s="8"/>
      <c r="AF22" s="5"/>
      <c r="AG22" s="8"/>
      <c r="AH22" s="5"/>
      <c r="AI22" s="8"/>
      <c r="AJ22" s="5"/>
      <c r="AK22" s="8">
        <f ca="1">IFERROR(__xludf.DUMMYFUNCTION("""COMPUTED_VALUE"""),44925.6666666666)</f>
        <v>44925.666666666599</v>
      </c>
      <c r="AL22" s="5">
        <f ca="1">IFERROR(__xludf.DUMMYFUNCTION("""COMPUTED_VALUE"""),343.38)</f>
        <v>343.38</v>
      </c>
      <c r="AM22" s="6"/>
      <c r="AN22" s="6"/>
      <c r="AO22" s="6"/>
      <c r="AP22" s="6"/>
      <c r="AQ22" s="6"/>
      <c r="AR22" s="6"/>
      <c r="AS22" s="6"/>
      <c r="AT22" s="6"/>
      <c r="AU22" s="6"/>
      <c r="AV22" s="6"/>
      <c r="AW22" s="6"/>
      <c r="AX22" s="6"/>
      <c r="AY22" s="6"/>
    </row>
    <row r="23" spans="1:51" ht="13.2" x14ac:dyDescent="0.25">
      <c r="A23" s="278">
        <v>11</v>
      </c>
      <c r="B23" s="1" t="s">
        <v>92</v>
      </c>
      <c r="C23" s="21" t="str">
        <f ca="1">IFERROR(__xludf.DUMMYFUNCTION("GoogleFinance(B23,""name"")"),"Loading...")</f>
        <v>Loading...</v>
      </c>
      <c r="D23" s="49">
        <f ca="1">IFERROR(__xludf.DUMMYFUNCTION("GoogleFinance(B23,""marketcap"")/1000000"),430038.325737)</f>
        <v>430038.32573699998</v>
      </c>
      <c r="E23" s="50" t="s">
        <v>15</v>
      </c>
      <c r="F23" s="50" t="s">
        <v>93</v>
      </c>
      <c r="G23" s="50" t="s">
        <v>78</v>
      </c>
      <c r="H23" s="50" t="s">
        <v>76</v>
      </c>
      <c r="I23" s="287" t="s">
        <v>74</v>
      </c>
      <c r="J23" s="287" t="s">
        <v>75</v>
      </c>
      <c r="K23" s="286" t="s">
        <v>74</v>
      </c>
      <c r="L23" s="5">
        <v>172</v>
      </c>
      <c r="M23" s="5">
        <v>168</v>
      </c>
      <c r="N23" s="5">
        <v>184</v>
      </c>
      <c r="O23" s="5">
        <v>190</v>
      </c>
      <c r="P23" s="25">
        <f ca="1">IFERROR(__xludf.DUMMYFUNCTION("GOOGLEFINANCE(B23)"),165.48)</f>
        <v>165.48</v>
      </c>
      <c r="Q23" s="10">
        <v>1E-4</v>
      </c>
      <c r="R23" s="57">
        <v>8.2251873514895824E-3</v>
      </c>
      <c r="S23" s="57">
        <v>7.2108843537414868E-2</v>
      </c>
      <c r="T23" s="57">
        <v>8.9974970359636419E-2</v>
      </c>
      <c r="U23" s="57">
        <v>-6.3232380413246636E-2</v>
      </c>
      <c r="V23" s="71">
        <f ca="1">L23/P23-1</f>
        <v>3.9400531786318638E-2</v>
      </c>
      <c r="W23" s="57">
        <f ca="1">M23/P23-1</f>
        <v>1.5228426395939243E-2</v>
      </c>
      <c r="X23" s="57">
        <f ca="1">N23/P23-1</f>
        <v>0.11191684795745727</v>
      </c>
      <c r="Y23" s="57">
        <f ca="1">O23/P23-1</f>
        <v>0.14817500604302647</v>
      </c>
      <c r="Z23" s="67" t="s">
        <v>78</v>
      </c>
      <c r="AA23" s="279" t="s">
        <v>216</v>
      </c>
      <c r="AB23" s="10"/>
      <c r="AC23" s="3"/>
      <c r="AD23" s="3"/>
      <c r="AE23" s="3" t="str">
        <f ca="1">IFERROR(__xludf.DUMMYFUNCTION("GoogleFinance(B23,""price"",today()-7)"),"#N/A")</f>
        <v>#N/A</v>
      </c>
      <c r="AF23" s="1"/>
      <c r="AG23" s="3" t="str">
        <f ca="1">IFERROR(__xludf.DUMMYFUNCTION("GoogleFinance(B23,""price"",today()-31)"),"#N/A")</f>
        <v>#N/A</v>
      </c>
      <c r="AH23" s="1"/>
      <c r="AI23" s="3" t="str">
        <f ca="1">IFERROR(__xludf.DUMMYFUNCTION("GoogleFinance(B23,""price"",today()-90)"),"#N/A")</f>
        <v>#N/A</v>
      </c>
      <c r="AJ23" s="1"/>
      <c r="AK23" s="3" t="str">
        <f ca="1">IFERROR(__xludf.DUMMYFUNCTION("GoogleFinance(B23,""price"",DATE(2022,12,30))"),"Date")</f>
        <v>Date</v>
      </c>
      <c r="AL23" s="1" t="str">
        <f ca="1">IFERROR(__xludf.DUMMYFUNCTION("""COMPUTED_VALUE"""),"Close")</f>
        <v>Close</v>
      </c>
      <c r="AM23" s="6"/>
      <c r="AN23" s="6"/>
      <c r="AO23" s="6"/>
      <c r="AP23" s="6"/>
      <c r="AQ23" s="6"/>
      <c r="AR23" s="6"/>
      <c r="AS23" s="6"/>
      <c r="AT23" s="6"/>
      <c r="AU23" s="6"/>
      <c r="AV23" s="6"/>
      <c r="AW23" s="6"/>
      <c r="AX23" s="6"/>
      <c r="AY23" s="6"/>
    </row>
    <row r="24" spans="1:51" ht="15.75" hidden="1" customHeight="1" x14ac:dyDescent="0.25">
      <c r="A24" s="288"/>
      <c r="B24" s="6"/>
      <c r="C24" s="4"/>
      <c r="D24" s="79"/>
      <c r="E24" s="6"/>
      <c r="F24" s="6"/>
      <c r="G24" s="289"/>
      <c r="H24" s="50"/>
      <c r="I24" s="289"/>
      <c r="J24" s="289"/>
      <c r="K24" s="289"/>
      <c r="L24" s="6"/>
      <c r="M24" s="6"/>
      <c r="N24" s="6"/>
      <c r="O24" s="6"/>
      <c r="P24" s="289"/>
      <c r="Q24" s="10" t="e">
        <v>#N/A</v>
      </c>
      <c r="R24" s="57" t="e">
        <v>#VALUE!</v>
      </c>
      <c r="S24" s="57" t="e">
        <v>#VALUE!</v>
      </c>
      <c r="T24" s="57" t="e">
        <v>#VALUE!</v>
      </c>
      <c r="U24" s="57" t="e">
        <v>#VALUE!</v>
      </c>
      <c r="V24" s="292"/>
      <c r="W24" s="249"/>
      <c r="X24" s="249"/>
      <c r="Y24" s="249"/>
      <c r="Z24" s="67" t="s">
        <v>120</v>
      </c>
      <c r="AA24" s="12"/>
      <c r="AB24" s="290"/>
      <c r="AC24" s="8"/>
      <c r="AD24" s="8"/>
      <c r="AE24" s="8"/>
      <c r="AF24" s="5"/>
      <c r="AG24" s="8"/>
      <c r="AH24" s="5"/>
      <c r="AI24" s="8"/>
      <c r="AJ24" s="5"/>
      <c r="AK24" s="8">
        <f ca="1">IFERROR(__xludf.DUMMYFUNCTION("""COMPUTED_VALUE"""),44925.6666666666)</f>
        <v>44925.666666666599</v>
      </c>
      <c r="AL24" s="5">
        <f ca="1">IFERROR(__xludf.DUMMYFUNCTION("""COMPUTED_VALUE"""),176.65)</f>
        <v>176.65</v>
      </c>
      <c r="AM24" s="6"/>
      <c r="AN24" s="6"/>
      <c r="AO24" s="6"/>
      <c r="AP24" s="6"/>
      <c r="AQ24" s="6"/>
      <c r="AR24" s="6"/>
      <c r="AS24" s="6"/>
      <c r="AT24" s="6"/>
      <c r="AU24" s="6"/>
      <c r="AV24" s="6"/>
      <c r="AW24" s="6"/>
      <c r="AX24" s="6"/>
      <c r="AY24" s="6"/>
    </row>
    <row r="25" spans="1:51" ht="15.75" customHeight="1" x14ac:dyDescent="0.25">
      <c r="A25" s="278">
        <v>12</v>
      </c>
      <c r="B25" s="1" t="s">
        <v>81</v>
      </c>
      <c r="C25" s="21" t="str">
        <f ca="1">IFERROR(__xludf.DUMMYFUNCTION("GoogleFinance(B25,""name"")"),"Loading...")</f>
        <v>Loading...</v>
      </c>
      <c r="D25" s="49">
        <f ca="1">IFERROR(__xludf.DUMMYFUNCTION("GoogleFinance(B25,""marketcap"")/1000000"),264664.115699)</f>
        <v>264664.11569900002</v>
      </c>
      <c r="E25" s="50" t="s">
        <v>217</v>
      </c>
      <c r="F25" s="50" t="s">
        <v>82</v>
      </c>
      <c r="G25" s="286" t="s">
        <v>78</v>
      </c>
      <c r="H25" s="50" t="s">
        <v>76</v>
      </c>
      <c r="I25" s="286" t="s">
        <v>218</v>
      </c>
      <c r="J25" s="286" t="s">
        <v>74</v>
      </c>
      <c r="K25" s="287" t="s">
        <v>74</v>
      </c>
      <c r="L25" s="5">
        <v>60</v>
      </c>
      <c r="M25" s="5">
        <v>58</v>
      </c>
      <c r="N25" s="5">
        <v>65</v>
      </c>
      <c r="O25" s="5">
        <v>72</v>
      </c>
      <c r="P25" s="25">
        <f ca="1">IFERROR(__xludf.DUMMYFUNCTION("GOOGLEFINANCE(B25)"),61.2)</f>
        <v>61.2</v>
      </c>
      <c r="Q25" s="10">
        <v>-2.0000000000000001E-4</v>
      </c>
      <c r="R25" s="57">
        <v>-9.7943192948080071E-4</v>
      </c>
      <c r="S25" s="57">
        <v>1.5599070693660844E-2</v>
      </c>
      <c r="T25" s="57">
        <v>-3.5818951481602079E-3</v>
      </c>
      <c r="U25" s="57">
        <v>-3.7887124665933025E-2</v>
      </c>
      <c r="V25" s="71">
        <f ca="1">L25/P25-1</f>
        <v>-1.9607843137254943E-2</v>
      </c>
      <c r="W25" s="57">
        <f ca="1">M25/P25-1</f>
        <v>-5.2287581699346442E-2</v>
      </c>
      <c r="X25" s="57">
        <f ca="1">N25/P25-1</f>
        <v>6.2091503267973858E-2</v>
      </c>
      <c r="Y25" s="57">
        <f ca="1">O25/P25-1</f>
        <v>0.17647058823529416</v>
      </c>
      <c r="Z25" s="67" t="s">
        <v>120</v>
      </c>
      <c r="AA25" s="279" t="s">
        <v>219</v>
      </c>
      <c r="AB25" s="10"/>
      <c r="AC25" s="3"/>
      <c r="AD25" s="3"/>
      <c r="AE25" s="3" t="str">
        <f ca="1">IFERROR(__xludf.DUMMYFUNCTION("GoogleFinance(B25,""price"",today()-7)"),"#N/A")</f>
        <v>#N/A</v>
      </c>
      <c r="AF25" s="1"/>
      <c r="AG25" s="3" t="str">
        <f ca="1">IFERROR(__xludf.DUMMYFUNCTION("GoogleFinance(B25,""price"",today()-31)"),"#N/A")</f>
        <v>#N/A</v>
      </c>
      <c r="AH25" s="1"/>
      <c r="AI25" s="3" t="str">
        <f ca="1">IFERROR(__xludf.DUMMYFUNCTION("GoogleFinance(B25,""price"",today()-90)"),"#N/A")</f>
        <v>#N/A</v>
      </c>
      <c r="AJ25" s="1"/>
      <c r="AK25" s="3" t="str">
        <f ca="1">IFERROR(__xludf.DUMMYFUNCTION("GoogleFinance(B25,""price"",DATE(2022,12,30))"),"Date")</f>
        <v>Date</v>
      </c>
      <c r="AL25" s="1" t="str">
        <f ca="1">IFERROR(__xludf.DUMMYFUNCTION("""COMPUTED_VALUE"""),"Close")</f>
        <v>Close</v>
      </c>
      <c r="AM25" s="6"/>
      <c r="AN25" s="6"/>
      <c r="AO25" s="6"/>
      <c r="AP25" s="6"/>
      <c r="AQ25" s="6"/>
      <c r="AR25" s="6"/>
      <c r="AS25" s="6"/>
      <c r="AT25" s="6"/>
      <c r="AU25" s="6"/>
      <c r="AV25" s="6"/>
      <c r="AW25" s="6"/>
      <c r="AX25" s="6"/>
      <c r="AY25" s="6"/>
    </row>
    <row r="26" spans="1:51" ht="15.75" hidden="1" customHeight="1" x14ac:dyDescent="0.25">
      <c r="A26" s="278"/>
      <c r="B26" s="6"/>
      <c r="C26" s="21"/>
      <c r="D26" s="79"/>
      <c r="E26" s="6"/>
      <c r="F26" s="6"/>
      <c r="G26" s="289"/>
      <c r="H26" s="50"/>
      <c r="I26" s="289"/>
      <c r="J26" s="289"/>
      <c r="K26" s="289"/>
      <c r="L26" s="6"/>
      <c r="M26" s="6"/>
      <c r="N26" s="6"/>
      <c r="O26" s="6"/>
      <c r="P26" s="289"/>
      <c r="Q26" s="10" t="e">
        <v>#N/A</v>
      </c>
      <c r="R26" s="57" t="e">
        <v>#VALUE!</v>
      </c>
      <c r="S26" s="57" t="e">
        <v>#VALUE!</v>
      </c>
      <c r="T26" s="57" t="e">
        <v>#VALUE!</v>
      </c>
      <c r="U26" s="57" t="e">
        <v>#VALUE!</v>
      </c>
      <c r="V26" s="71"/>
      <c r="W26" s="57"/>
      <c r="X26" s="249"/>
      <c r="Y26" s="249"/>
      <c r="Z26" s="67" t="s">
        <v>120</v>
      </c>
      <c r="AA26" s="12"/>
      <c r="AB26" s="290"/>
      <c r="AC26" s="8"/>
      <c r="AD26" s="8"/>
      <c r="AE26" s="8"/>
      <c r="AF26" s="5"/>
      <c r="AG26" s="8"/>
      <c r="AH26" s="5"/>
      <c r="AI26" s="8"/>
      <c r="AJ26" s="5"/>
      <c r="AK26" s="8">
        <f ca="1">IFERROR(__xludf.DUMMYFUNCTION("""COMPUTED_VALUE"""),44925.6666666666)</f>
        <v>44925.666666666599</v>
      </c>
      <c r="AL26" s="5">
        <f ca="1">IFERROR(__xludf.DUMMYFUNCTION("""COMPUTED_VALUE"""),63.61)</f>
        <v>63.61</v>
      </c>
      <c r="AM26" s="6"/>
      <c r="AN26" s="6"/>
      <c r="AO26" s="6"/>
      <c r="AP26" s="6"/>
      <c r="AQ26" s="6"/>
      <c r="AR26" s="6"/>
      <c r="AS26" s="6"/>
      <c r="AT26" s="6"/>
      <c r="AU26" s="6"/>
      <c r="AV26" s="6"/>
      <c r="AW26" s="6"/>
      <c r="AX26" s="6"/>
      <c r="AY26" s="6"/>
    </row>
    <row r="27" spans="1:51" ht="15.75" customHeight="1" x14ac:dyDescent="0.25">
      <c r="A27" s="278">
        <v>13</v>
      </c>
      <c r="B27" s="1" t="s">
        <v>105</v>
      </c>
      <c r="C27" s="21" t="str">
        <f ca="1">IFERROR(__xludf.DUMMYFUNCTION("GoogleFinance(B27,""name"")"),"Loading...")</f>
        <v>Loading...</v>
      </c>
      <c r="D27" s="49">
        <f ca="1">IFERROR(__xludf.DUMMYFUNCTION("GoogleFinance(B27,""marketcap"")/1000000"),116915.798175)</f>
        <v>116915.798175</v>
      </c>
      <c r="E27" s="50" t="s">
        <v>10</v>
      </c>
      <c r="F27" s="50" t="s">
        <v>106</v>
      </c>
      <c r="G27" s="286" t="s">
        <v>78</v>
      </c>
      <c r="H27" s="50" t="s">
        <v>107</v>
      </c>
      <c r="I27" s="286" t="s">
        <v>218</v>
      </c>
      <c r="J27" s="287" t="s">
        <v>75</v>
      </c>
      <c r="K27" s="287" t="s">
        <v>74</v>
      </c>
      <c r="L27" s="462" t="s">
        <v>191</v>
      </c>
      <c r="M27" s="463"/>
      <c r="N27" s="5">
        <v>520</v>
      </c>
      <c r="O27" s="5">
        <v>540</v>
      </c>
      <c r="P27" s="25">
        <f ca="1">IFERROR(__xludf.DUMMYFUNCTION("GOOGLEFINANCE(B27)"),459.36)</f>
        <v>459.36</v>
      </c>
      <c r="Q27" s="10">
        <v>0</v>
      </c>
      <c r="R27" s="57">
        <v>2.1379641345609102E-3</v>
      </c>
      <c r="S27" s="57">
        <v>2.4328241721485178E-2</v>
      </c>
      <c r="T27" s="57">
        <v>-2.5623621245545514E-2</v>
      </c>
      <c r="U27" s="57">
        <v>-5.5766819461859463E-2</v>
      </c>
      <c r="V27" s="71"/>
      <c r="W27" s="57"/>
      <c r="X27" s="57">
        <f ca="1">N27/P27-1</f>
        <v>0.13200975269940773</v>
      </c>
      <c r="Y27" s="57">
        <f ca="1">O27/P27-1</f>
        <v>0.17554858934169282</v>
      </c>
      <c r="Z27" s="132" t="s">
        <v>195</v>
      </c>
      <c r="AA27" s="279" t="s">
        <v>220</v>
      </c>
      <c r="AB27" s="10"/>
      <c r="AC27" s="3"/>
      <c r="AD27" s="3"/>
      <c r="AE27" s="3" t="str">
        <f ca="1">IFERROR(__xludf.DUMMYFUNCTION("GoogleFinance(B27,""price"",today()-7)"),"#N/A")</f>
        <v>#N/A</v>
      </c>
      <c r="AF27" s="1"/>
      <c r="AG27" s="3" t="str">
        <f ca="1">IFERROR(__xludf.DUMMYFUNCTION("GoogleFinance(B27,""price"",today()-31)"),"#N/A")</f>
        <v>#N/A</v>
      </c>
      <c r="AH27" s="1"/>
      <c r="AI27" s="3" t="str">
        <f ca="1">IFERROR(__xludf.DUMMYFUNCTION("GoogleFinance(B27,""price"",today()-90)"),"#N/A")</f>
        <v>#N/A</v>
      </c>
      <c r="AJ27" s="1"/>
      <c r="AK27" s="3" t="str">
        <f ca="1">IFERROR(__xludf.DUMMYFUNCTION("GoogleFinance(B27,""price"",DATE(2022,12,30))"),"Date")</f>
        <v>Date</v>
      </c>
      <c r="AL27" s="1" t="str">
        <f ca="1">IFERROR(__xludf.DUMMYFUNCTION("""COMPUTED_VALUE"""),"Close")</f>
        <v>Close</v>
      </c>
      <c r="AM27" s="6"/>
      <c r="AN27" s="6"/>
      <c r="AO27" s="6"/>
      <c r="AP27" s="6"/>
      <c r="AQ27" s="6"/>
      <c r="AR27" s="6"/>
      <c r="AS27" s="6"/>
      <c r="AT27" s="6"/>
      <c r="AU27" s="6"/>
      <c r="AV27" s="6"/>
      <c r="AW27" s="6"/>
      <c r="AX27" s="6"/>
      <c r="AY27" s="6"/>
    </row>
    <row r="28" spans="1:51" ht="15.75" hidden="1" customHeight="1" x14ac:dyDescent="0.25">
      <c r="A28" s="288"/>
      <c r="B28" s="6"/>
      <c r="C28" s="21"/>
      <c r="D28" s="79"/>
      <c r="E28" s="6"/>
      <c r="F28" s="6"/>
      <c r="G28" s="289"/>
      <c r="H28" s="50"/>
      <c r="I28" s="289"/>
      <c r="J28" s="289"/>
      <c r="K28" s="289"/>
      <c r="L28" s="6"/>
      <c r="M28" s="6"/>
      <c r="N28" s="6"/>
      <c r="O28" s="6"/>
      <c r="P28" s="289"/>
      <c r="Q28" s="10" t="e">
        <v>#N/A</v>
      </c>
      <c r="R28" s="57" t="e">
        <v>#VALUE!</v>
      </c>
      <c r="S28" s="57" t="e">
        <v>#VALUE!</v>
      </c>
      <c r="T28" s="57" t="e">
        <v>#VALUE!</v>
      </c>
      <c r="U28" s="57" t="e">
        <v>#VALUE!</v>
      </c>
      <c r="V28" s="71"/>
      <c r="W28" s="57"/>
      <c r="X28" s="249"/>
      <c r="Y28" s="249"/>
      <c r="Z28" s="67" t="s">
        <v>120</v>
      </c>
      <c r="AA28" s="12"/>
      <c r="AB28" s="290"/>
      <c r="AC28" s="8"/>
      <c r="AD28" s="8"/>
      <c r="AE28" s="8"/>
      <c r="AF28" s="5"/>
      <c r="AG28" s="8"/>
      <c r="AH28" s="5"/>
      <c r="AI28" s="8"/>
      <c r="AJ28" s="5"/>
      <c r="AK28" s="8">
        <f ca="1">IFERROR(__xludf.DUMMYFUNCTION("""COMPUTED_VALUE"""),44925.6666666666)</f>
        <v>44925.666666666599</v>
      </c>
      <c r="AL28" s="5">
        <f ca="1">IFERROR(__xludf.DUMMYFUNCTION("""COMPUTED_VALUE"""),486.49)</f>
        <v>486.49</v>
      </c>
      <c r="AM28" s="6"/>
      <c r="AN28" s="6"/>
      <c r="AO28" s="6"/>
      <c r="AP28" s="6"/>
      <c r="AQ28" s="6"/>
      <c r="AR28" s="6"/>
      <c r="AS28" s="6"/>
      <c r="AT28" s="6"/>
      <c r="AU28" s="6"/>
      <c r="AV28" s="6"/>
      <c r="AW28" s="6"/>
      <c r="AX28" s="6"/>
      <c r="AY28" s="6"/>
    </row>
    <row r="29" spans="1:51" ht="15.75" customHeight="1" x14ac:dyDescent="0.25">
      <c r="A29" s="285">
        <v>14</v>
      </c>
      <c r="B29" s="1" t="s">
        <v>221</v>
      </c>
      <c r="C29" s="21" t="str">
        <f ca="1">IFERROR(__xludf.DUMMYFUNCTION("GoogleFinance(B29,""name"")"),"Loading...")</f>
        <v>Loading...</v>
      </c>
      <c r="D29" s="49">
        <f ca="1">IFERROR(__xludf.DUMMYFUNCTION("GoogleFinance(B29,""marketcap"")/1000000"),90895.142335)</f>
        <v>90895.142334999997</v>
      </c>
      <c r="E29" s="50" t="s">
        <v>13</v>
      </c>
      <c r="F29" s="50" t="s">
        <v>153</v>
      </c>
      <c r="G29" s="286" t="s">
        <v>99</v>
      </c>
      <c r="H29" s="50" t="s">
        <v>98</v>
      </c>
      <c r="I29" s="286" t="s">
        <v>218</v>
      </c>
      <c r="J29" s="287" t="s">
        <v>75</v>
      </c>
      <c r="K29" s="287" t="s">
        <v>74</v>
      </c>
      <c r="L29" s="5">
        <v>162</v>
      </c>
      <c r="M29" s="5">
        <v>158</v>
      </c>
      <c r="N29" s="5">
        <v>184</v>
      </c>
      <c r="O29" s="5">
        <v>200</v>
      </c>
      <c r="P29" s="25">
        <f ca="1">IFERROR(__xludf.DUMMYFUNCTION("GOOGLEFINANCE(B29)"),183.73)</f>
        <v>183.73</v>
      </c>
      <c r="Q29" s="10">
        <v>-1E-4</v>
      </c>
      <c r="R29" s="57">
        <v>1.480254073460352E-2</v>
      </c>
      <c r="S29" s="57">
        <v>6.0613057784448365E-2</v>
      </c>
      <c r="T29" s="57">
        <v>0.1320394331484902</v>
      </c>
      <c r="U29" s="57">
        <v>0.11028523084360642</v>
      </c>
      <c r="V29" s="71">
        <f ca="1">L29/P29-1</f>
        <v>-0.11827137647635111</v>
      </c>
      <c r="W29" s="57">
        <f ca="1">M29/P29-1</f>
        <v>-0.1400424536003918</v>
      </c>
      <c r="X29" s="57">
        <f ca="1">N29/P29-1</f>
        <v>1.4695477058728201E-3</v>
      </c>
      <c r="Y29" s="57">
        <f ca="1">O29/P29-1</f>
        <v>8.8553856202035597E-2</v>
      </c>
      <c r="Z29" s="67" t="s">
        <v>120</v>
      </c>
      <c r="AA29" s="279" t="s">
        <v>222</v>
      </c>
      <c r="AB29" s="10"/>
      <c r="AC29" s="3"/>
      <c r="AD29" s="3"/>
      <c r="AE29" s="3" t="str">
        <f ca="1">IFERROR(__xludf.DUMMYFUNCTION("GoogleFinance(B29,""price"",today()-7)"),"#N/A")</f>
        <v>#N/A</v>
      </c>
      <c r="AF29" s="1"/>
      <c r="AG29" s="3" t="str">
        <f ca="1">IFERROR(__xludf.DUMMYFUNCTION("GoogleFinance(B29,""price"",today()-31)"),"#N/A")</f>
        <v>#N/A</v>
      </c>
      <c r="AH29" s="1"/>
      <c r="AI29" s="3" t="str">
        <f ca="1">IFERROR(__xludf.DUMMYFUNCTION("GoogleFinance(B29,""price"",today()-90)"),"#N/A")</f>
        <v>#N/A</v>
      </c>
      <c r="AJ29" s="1"/>
      <c r="AK29" s="3" t="str">
        <f ca="1">IFERROR(__xludf.DUMMYFUNCTION("GoogleFinance(B29,""price"",DATE(2022,12,30))"),"Date")</f>
        <v>Date</v>
      </c>
      <c r="AL29" s="1" t="str">
        <f ca="1">IFERROR(__xludf.DUMMYFUNCTION("""COMPUTED_VALUE"""),"Close")</f>
        <v>Close</v>
      </c>
      <c r="AM29" s="6"/>
      <c r="AN29" s="6"/>
      <c r="AO29" s="6"/>
      <c r="AP29" s="6"/>
      <c r="AQ29" s="6"/>
      <c r="AR29" s="6"/>
      <c r="AS29" s="6"/>
      <c r="AT29" s="6"/>
      <c r="AU29" s="6"/>
      <c r="AV29" s="6"/>
      <c r="AW29" s="6"/>
      <c r="AX29" s="6"/>
      <c r="AY29" s="6"/>
    </row>
    <row r="30" spans="1:51" ht="15.75" hidden="1" customHeight="1" x14ac:dyDescent="0.25">
      <c r="A30" s="6"/>
      <c r="B30" s="6"/>
      <c r="C30" s="21"/>
      <c r="D30" s="79"/>
      <c r="E30" s="6"/>
      <c r="F30" s="50" t="s">
        <v>153</v>
      </c>
      <c r="G30" s="289"/>
      <c r="H30" s="50"/>
      <c r="I30" s="289"/>
      <c r="J30" s="289"/>
      <c r="K30" s="289"/>
      <c r="L30" s="6"/>
      <c r="M30" s="6"/>
      <c r="N30" s="6"/>
      <c r="O30" s="6"/>
      <c r="P30" s="289"/>
      <c r="Q30" s="10" t="e">
        <v>#N/A</v>
      </c>
      <c r="R30" s="57" t="e">
        <v>#VALUE!</v>
      </c>
      <c r="S30" s="57" t="e">
        <v>#VALUE!</v>
      </c>
      <c r="T30" s="57" t="e">
        <v>#VALUE!</v>
      </c>
      <c r="U30" s="57" t="e">
        <v>#VALUE!</v>
      </c>
      <c r="V30" s="71"/>
      <c r="W30" s="57"/>
      <c r="X30" s="249"/>
      <c r="Y30" s="249"/>
      <c r="Z30" s="67" t="s">
        <v>120</v>
      </c>
      <c r="AA30" s="12"/>
      <c r="AB30" s="290"/>
      <c r="AC30" s="8"/>
      <c r="AD30" s="8"/>
      <c r="AE30" s="8"/>
      <c r="AF30" s="5"/>
      <c r="AG30" s="8"/>
      <c r="AH30" s="5"/>
      <c r="AI30" s="8"/>
      <c r="AJ30" s="5"/>
      <c r="AK30" s="8">
        <f ca="1">IFERROR(__xludf.DUMMYFUNCTION("""COMPUTED_VALUE"""),44925.6666666666)</f>
        <v>44925.666666666599</v>
      </c>
      <c r="AL30" s="5">
        <f ca="1">IFERROR(__xludf.DUMMYFUNCTION("""COMPUTED_VALUE"""),165.48)</f>
        <v>165.48</v>
      </c>
      <c r="AM30" s="6"/>
      <c r="AN30" s="6"/>
      <c r="AO30" s="6"/>
      <c r="AP30" s="6"/>
      <c r="AQ30" s="6"/>
      <c r="AR30" s="6"/>
      <c r="AS30" s="6"/>
      <c r="AT30" s="6"/>
      <c r="AU30" s="6"/>
      <c r="AV30" s="6"/>
      <c r="AW30" s="6"/>
      <c r="AX30" s="6"/>
      <c r="AY30" s="6"/>
    </row>
    <row r="31" spans="1:51" ht="15.75" customHeight="1" x14ac:dyDescent="0.25">
      <c r="A31" s="5">
        <v>15</v>
      </c>
      <c r="B31" s="1" t="s">
        <v>103</v>
      </c>
      <c r="C31" s="21" t="str">
        <f ca="1">IFERROR(__xludf.DUMMYFUNCTION("GoogleFinance(B31,""name"")"),"Loading...")</f>
        <v>Loading...</v>
      </c>
      <c r="D31" s="49">
        <f ca="1">IFERROR(__xludf.DUMMYFUNCTION("GoogleFinance(B31,""marketcap"")/1000000"),216215.177192)</f>
        <v>216215.177192</v>
      </c>
      <c r="E31" s="50" t="s">
        <v>15</v>
      </c>
      <c r="F31" s="50" t="s">
        <v>93</v>
      </c>
      <c r="G31" s="50" t="s">
        <v>99</v>
      </c>
      <c r="H31" s="50" t="s">
        <v>98</v>
      </c>
      <c r="I31" s="286" t="s">
        <v>218</v>
      </c>
      <c r="J31" s="287" t="s">
        <v>75</v>
      </c>
      <c r="K31" s="287" t="s">
        <v>74</v>
      </c>
      <c r="L31" s="5">
        <v>46</v>
      </c>
      <c r="M31" s="5">
        <v>45</v>
      </c>
      <c r="N31" s="5">
        <v>52</v>
      </c>
      <c r="O31" s="5">
        <v>62</v>
      </c>
      <c r="P31" s="25">
        <f ca="1">IFERROR(__xludf.DUMMYFUNCTION("GOOGLEFINANCE(B31)"),38.3)</f>
        <v>38.299999999999997</v>
      </c>
      <c r="Q31" s="10">
        <v>0</v>
      </c>
      <c r="R31" s="57">
        <v>-2.6436197254702698E-2</v>
      </c>
      <c r="S31" s="57">
        <v>1.8617021276595702E-2</v>
      </c>
      <c r="T31" s="57">
        <v>-4.22605651412854E-2</v>
      </c>
      <c r="U31" s="57">
        <v>-0.25253708040593292</v>
      </c>
      <c r="V31" s="71">
        <f ca="1">L31/P31-1</f>
        <v>0.20104438642297651</v>
      </c>
      <c r="W31" s="57">
        <f ca="1">M31/P31-1</f>
        <v>0.17493472584856407</v>
      </c>
      <c r="X31" s="57">
        <f ca="1">N31/P31-1</f>
        <v>0.35770234986945182</v>
      </c>
      <c r="Y31" s="57">
        <f ca="1">O31/P31-1</f>
        <v>0.61879895561357712</v>
      </c>
      <c r="Z31" s="67" t="s">
        <v>78</v>
      </c>
      <c r="AA31" s="279" t="s">
        <v>223</v>
      </c>
      <c r="AB31" s="10"/>
      <c r="AC31" s="3"/>
      <c r="AD31" s="3"/>
      <c r="AE31" s="3" t="str">
        <f ca="1">IFERROR(__xludf.DUMMYFUNCTION("GoogleFinance(B31,""price"",today()-7)"),"#N/A")</f>
        <v>#N/A</v>
      </c>
      <c r="AF31" s="1"/>
      <c r="AG31" s="3" t="str">
        <f ca="1">IFERROR(__xludf.DUMMYFUNCTION("GoogleFinance(B31,""price"",today()-31)"),"#N/A")</f>
        <v>#N/A</v>
      </c>
      <c r="AH31" s="1"/>
      <c r="AI31" s="3" t="str">
        <f ca="1">IFERROR(__xludf.DUMMYFUNCTION("GoogleFinance(B31,""price"",today()-90)"),"#N/A")</f>
        <v>#N/A</v>
      </c>
      <c r="AJ31" s="1"/>
      <c r="AK31" s="3" t="str">
        <f ca="1">IFERROR(__xludf.DUMMYFUNCTION("GoogleFinance(B31,""price"",DATE(2022,12,30))"),"Date")</f>
        <v>Date</v>
      </c>
      <c r="AL31" s="1" t="str">
        <f ca="1">IFERROR(__xludf.DUMMYFUNCTION("""COMPUTED_VALUE"""),"Close")</f>
        <v>Close</v>
      </c>
      <c r="AM31" s="6"/>
      <c r="AN31" s="6"/>
      <c r="AO31" s="6"/>
      <c r="AP31" s="6"/>
      <c r="AQ31" s="6"/>
      <c r="AR31" s="6"/>
      <c r="AS31" s="6"/>
      <c r="AT31" s="6"/>
      <c r="AU31" s="6"/>
      <c r="AV31" s="6"/>
      <c r="AW31" s="6"/>
      <c r="AX31" s="6"/>
      <c r="AY31" s="6"/>
    </row>
    <row r="32" spans="1:51" ht="15.75" hidden="1" customHeight="1" x14ac:dyDescent="0.25">
      <c r="A32" s="6"/>
      <c r="B32" s="6"/>
      <c r="C32" s="21"/>
      <c r="D32" s="79"/>
      <c r="E32" s="6"/>
      <c r="F32" s="50" t="s">
        <v>153</v>
      </c>
      <c r="G32" s="289"/>
      <c r="H32" s="50"/>
      <c r="I32" s="289"/>
      <c r="J32" s="289"/>
      <c r="K32" s="289"/>
      <c r="L32" s="6"/>
      <c r="M32" s="6"/>
      <c r="N32" s="6"/>
      <c r="O32" s="6"/>
      <c r="P32" s="289"/>
      <c r="Q32" s="10" t="e">
        <v>#N/A</v>
      </c>
      <c r="R32" s="57" t="e">
        <v>#VALUE!</v>
      </c>
      <c r="S32" s="57" t="e">
        <v>#VALUE!</v>
      </c>
      <c r="T32" s="57" t="e">
        <v>#VALUE!</v>
      </c>
      <c r="U32" s="57" t="e">
        <v>#VALUE!</v>
      </c>
      <c r="V32" s="71"/>
      <c r="W32" s="57"/>
      <c r="X32" s="249"/>
      <c r="Y32" s="249"/>
      <c r="Z32" s="67" t="s">
        <v>120</v>
      </c>
      <c r="AA32" s="12"/>
      <c r="AB32" s="290"/>
      <c r="AC32" s="8"/>
      <c r="AD32" s="8"/>
      <c r="AE32" s="8"/>
      <c r="AF32" s="5"/>
      <c r="AG32" s="8"/>
      <c r="AH32" s="5"/>
      <c r="AI32" s="8"/>
      <c r="AJ32" s="5"/>
      <c r="AK32" s="8">
        <f ca="1">IFERROR(__xludf.DUMMYFUNCTION("""COMPUTED_VALUE"""),44925.6666666666)</f>
        <v>44925.666666666599</v>
      </c>
      <c r="AL32" s="5">
        <f ca="1">IFERROR(__xludf.DUMMYFUNCTION("""COMPUTED_VALUE"""),51.24)</f>
        <v>51.24</v>
      </c>
      <c r="AM32" s="6"/>
      <c r="AN32" s="6"/>
      <c r="AO32" s="6"/>
      <c r="AP32" s="6"/>
      <c r="AQ32" s="6"/>
      <c r="AR32" s="6"/>
      <c r="AS32" s="6"/>
      <c r="AT32" s="6"/>
      <c r="AU32" s="6"/>
      <c r="AV32" s="6"/>
      <c r="AW32" s="6"/>
      <c r="AX32" s="6"/>
      <c r="AY32" s="6"/>
    </row>
    <row r="33" spans="1:51" ht="15.75" customHeight="1" x14ac:dyDescent="0.25">
      <c r="A33" s="278">
        <v>16</v>
      </c>
      <c r="B33" s="1" t="s">
        <v>89</v>
      </c>
      <c r="C33" s="21" t="str">
        <f ca="1">IFERROR(__xludf.DUMMYFUNCTION("GoogleFinance(B33,""name"")"),"Loading...")</f>
        <v>Loading...</v>
      </c>
      <c r="D33" s="49">
        <f ca="1">IFERROR(__xludf.DUMMYFUNCTION("GoogleFinance(B33,""marketcap"")/1000000"),85544.332103)</f>
        <v>85544.332102999993</v>
      </c>
      <c r="E33" s="50" t="s">
        <v>15</v>
      </c>
      <c r="F33" s="50" t="s">
        <v>20</v>
      </c>
      <c r="G33" s="50" t="s">
        <v>120</v>
      </c>
      <c r="H33" s="50" t="s">
        <v>98</v>
      </c>
      <c r="I33" s="286" t="s">
        <v>218</v>
      </c>
      <c r="J33" s="287" t="s">
        <v>74</v>
      </c>
      <c r="K33" s="287" t="s">
        <v>74</v>
      </c>
      <c r="L33" s="5">
        <v>790</v>
      </c>
      <c r="M33" s="5">
        <v>760</v>
      </c>
      <c r="N33" s="5">
        <v>900</v>
      </c>
      <c r="O33" s="5">
        <v>950</v>
      </c>
      <c r="P33" s="25">
        <f ca="1">IFERROR(__xludf.DUMMYFUNCTION("GOOGLEFINANCE(B33)"),779.73)</f>
        <v>779.73</v>
      </c>
      <c r="Q33" s="10">
        <v>0</v>
      </c>
      <c r="R33" s="57">
        <v>-1.8944969982462867E-3</v>
      </c>
      <c r="S33" s="57">
        <v>7.5415488586993984E-2</v>
      </c>
      <c r="T33" s="57">
        <v>-5.7124200394210178E-2</v>
      </c>
      <c r="U33" s="57">
        <v>8.0721839526535444E-2</v>
      </c>
      <c r="V33" s="71">
        <f ca="1">L33/P33-1</f>
        <v>1.3171225937183451E-2</v>
      </c>
      <c r="W33" s="57">
        <f ca="1">M33/P33-1</f>
        <v>-2.5303630743975458E-2</v>
      </c>
      <c r="X33" s="57">
        <f ca="1">N33/P33-1</f>
        <v>0.15424570043476593</v>
      </c>
      <c r="Y33" s="57">
        <f ca="1">O33/P33-1</f>
        <v>0.21837046157003059</v>
      </c>
      <c r="Z33" s="132" t="s">
        <v>195</v>
      </c>
      <c r="AA33" s="279" t="s">
        <v>224</v>
      </c>
      <c r="AB33" s="10"/>
      <c r="AC33" s="3"/>
      <c r="AD33" s="3"/>
      <c r="AE33" s="3" t="str">
        <f ca="1">IFERROR(__xludf.DUMMYFUNCTION("GoogleFinance(B33,""price"",today()-7)"),"#N/A")</f>
        <v>#N/A</v>
      </c>
      <c r="AF33" s="1"/>
      <c r="AG33" s="3" t="str">
        <f ca="1">IFERROR(__xludf.DUMMYFUNCTION("GoogleFinance(B33,""price"",today()-31)"),"#N/A")</f>
        <v>#N/A</v>
      </c>
      <c r="AH33" s="1"/>
      <c r="AI33" s="3" t="str">
        <f ca="1">IFERROR(__xludf.DUMMYFUNCTION("GoogleFinance(B33,""price"",today()-90)"),"#N/A")</f>
        <v>#N/A</v>
      </c>
      <c r="AJ33" s="1"/>
      <c r="AK33" s="3" t="str">
        <f ca="1">IFERROR(__xludf.DUMMYFUNCTION("GoogleFinance(B33,""price"",DATE(2022,12,30))"),"Date")</f>
        <v>Date</v>
      </c>
      <c r="AL33" s="1" t="str">
        <f ca="1">IFERROR(__xludf.DUMMYFUNCTION("""COMPUTED_VALUE"""),"Close")</f>
        <v>Close</v>
      </c>
      <c r="AM33" s="6"/>
      <c r="AN33" s="6"/>
      <c r="AO33" s="6"/>
      <c r="AP33" s="6"/>
      <c r="AQ33" s="6"/>
      <c r="AR33" s="6"/>
      <c r="AS33" s="6"/>
      <c r="AT33" s="6"/>
      <c r="AU33" s="6"/>
      <c r="AV33" s="6"/>
      <c r="AW33" s="6"/>
      <c r="AX33" s="6"/>
      <c r="AY33" s="6"/>
    </row>
    <row r="34" spans="1:51" ht="15.75" hidden="1" customHeight="1" x14ac:dyDescent="0.25">
      <c r="A34" s="6"/>
      <c r="B34" s="6"/>
      <c r="C34" s="21"/>
      <c r="D34" s="79"/>
      <c r="E34" s="6"/>
      <c r="F34" s="6"/>
      <c r="G34" s="289"/>
      <c r="H34" s="50"/>
      <c r="I34" s="289"/>
      <c r="J34" s="289"/>
      <c r="K34" s="289"/>
      <c r="L34" s="6"/>
      <c r="M34" s="6"/>
      <c r="N34" s="6"/>
      <c r="O34" s="6"/>
      <c r="P34" s="289"/>
      <c r="Q34" s="10" t="e">
        <v>#N/A</v>
      </c>
      <c r="R34" s="57" t="e">
        <v>#VALUE!</v>
      </c>
      <c r="S34" s="57" t="e">
        <v>#VALUE!</v>
      </c>
      <c r="T34" s="57" t="e">
        <v>#VALUE!</v>
      </c>
      <c r="U34" s="57" t="e">
        <v>#VALUE!</v>
      </c>
      <c r="V34" s="71"/>
      <c r="W34" s="57"/>
      <c r="X34" s="249"/>
      <c r="Y34" s="249"/>
      <c r="Z34" s="67" t="s">
        <v>120</v>
      </c>
      <c r="AA34" s="12"/>
      <c r="AB34" s="290"/>
      <c r="AC34" s="8"/>
      <c r="AD34" s="8"/>
      <c r="AE34" s="8"/>
      <c r="AF34" s="5"/>
      <c r="AG34" s="8"/>
      <c r="AH34" s="5"/>
      <c r="AI34" s="8"/>
      <c r="AJ34" s="5"/>
      <c r="AK34" s="8">
        <f ca="1">IFERROR(__xludf.DUMMYFUNCTION("""COMPUTED_VALUE"""),44925.6666666666)</f>
        <v>44925.666666666599</v>
      </c>
      <c r="AL34" s="5">
        <f ca="1">IFERROR(__xludf.DUMMYFUNCTION("""COMPUTED_VALUE"""),721.49)</f>
        <v>721.49</v>
      </c>
      <c r="AM34" s="6"/>
      <c r="AN34" s="6"/>
      <c r="AO34" s="6"/>
      <c r="AP34" s="6"/>
      <c r="AQ34" s="6"/>
      <c r="AR34" s="6"/>
      <c r="AS34" s="6"/>
      <c r="AT34" s="6"/>
      <c r="AU34" s="6"/>
      <c r="AV34" s="6"/>
      <c r="AW34" s="6"/>
      <c r="AX34" s="6"/>
      <c r="AY34" s="6"/>
    </row>
    <row r="35" spans="1:51" ht="15.75" customHeight="1" x14ac:dyDescent="0.25">
      <c r="A35" s="278">
        <v>17</v>
      </c>
      <c r="B35" s="1" t="s">
        <v>109</v>
      </c>
      <c r="C35" s="21" t="str">
        <f ca="1">IFERROR(__xludf.DUMMYFUNCTION("GoogleFinance(B35,""name"")"),"Loading...")</f>
        <v>Loading...</v>
      </c>
      <c r="D35" s="49">
        <f ca="1">IFERROR(__xludf.DUMMYFUNCTION("GoogleFinance(B35,""marketcap"")/1000000"),141599.17966)</f>
        <v>141599.17965999999</v>
      </c>
      <c r="E35" s="50" t="s">
        <v>10</v>
      </c>
      <c r="F35" s="50" t="s">
        <v>106</v>
      </c>
      <c r="G35" s="286" t="s">
        <v>78</v>
      </c>
      <c r="H35" s="50" t="s">
        <v>107</v>
      </c>
      <c r="I35" s="286" t="s">
        <v>218</v>
      </c>
      <c r="J35" s="287" t="s">
        <v>75</v>
      </c>
      <c r="K35" s="287" t="s">
        <v>74</v>
      </c>
      <c r="L35" s="5">
        <v>97</v>
      </c>
      <c r="M35" s="5">
        <v>95</v>
      </c>
      <c r="N35" s="5">
        <v>110</v>
      </c>
      <c r="O35" s="5">
        <v>120</v>
      </c>
      <c r="P35" s="25">
        <f ca="1">IFERROR(__xludf.DUMMYFUNCTION("GOOGLEFINANCE(B35)"),96.91)</f>
        <v>96.91</v>
      </c>
      <c r="Q35" s="10">
        <v>4.0000000000000002E-4</v>
      </c>
      <c r="R35" s="57">
        <v>-8.0859774820880581E-3</v>
      </c>
      <c r="S35" s="57">
        <v>3.9137894059618095E-2</v>
      </c>
      <c r="T35" s="57">
        <v>1.1363636363637131E-3</v>
      </c>
      <c r="U35" s="57">
        <v>-3.9734443123266017E-2</v>
      </c>
      <c r="V35" s="71">
        <f ca="1">L35/P35-1</f>
        <v>9.2869672892370581E-4</v>
      </c>
      <c r="W35" s="57">
        <f ca="1">M35/P35-1</f>
        <v>-1.9709008358270497E-2</v>
      </c>
      <c r="X35" s="57">
        <f ca="1">N35/P35-1</f>
        <v>0.13507377979568669</v>
      </c>
      <c r="Y35" s="57">
        <f ca="1">O35/P35-1</f>
        <v>0.23826230523165837</v>
      </c>
      <c r="Z35" s="67" t="s">
        <v>120</v>
      </c>
      <c r="AA35" s="279" t="s">
        <v>225</v>
      </c>
      <c r="AB35" s="10"/>
      <c r="AC35" s="3"/>
      <c r="AD35" s="3"/>
      <c r="AE35" s="3" t="str">
        <f ca="1">IFERROR(__xludf.DUMMYFUNCTION("GoogleFinance(B35,""price"",today()-7)"),"#N/A")</f>
        <v>#N/A</v>
      </c>
      <c r="AF35" s="1"/>
      <c r="AG35" s="3" t="str">
        <f ca="1">IFERROR(__xludf.DUMMYFUNCTION("GoogleFinance(B35,""price"",today()-31)"),"#N/A")</f>
        <v>#N/A</v>
      </c>
      <c r="AH35" s="1"/>
      <c r="AI35" s="3" t="str">
        <f ca="1">IFERROR(__xludf.DUMMYFUNCTION("GoogleFinance(B35,""price"",today()-90)"),"#N/A")</f>
        <v>#N/A</v>
      </c>
      <c r="AJ35" s="1"/>
      <c r="AK35" s="3" t="str">
        <f ca="1">IFERROR(__xludf.DUMMYFUNCTION("GoogleFinance(B35,""price"",DATE(2022,12,30))"),"Date")</f>
        <v>Date</v>
      </c>
      <c r="AL35" s="1" t="str">
        <f ca="1">IFERROR(__xludf.DUMMYFUNCTION("""COMPUTED_VALUE"""),"Close")</f>
        <v>Close</v>
      </c>
      <c r="AM35" s="6"/>
      <c r="AN35" s="6"/>
      <c r="AO35" s="6"/>
      <c r="AP35" s="6"/>
      <c r="AQ35" s="6"/>
      <c r="AR35" s="6"/>
      <c r="AS35" s="6"/>
      <c r="AT35" s="6"/>
      <c r="AU35" s="6"/>
      <c r="AV35" s="6"/>
      <c r="AW35" s="6"/>
      <c r="AX35" s="6"/>
      <c r="AY35" s="6"/>
    </row>
    <row r="36" spans="1:51" ht="15.75" hidden="1" customHeight="1" x14ac:dyDescent="0.25">
      <c r="A36" s="6"/>
      <c r="B36" s="6"/>
      <c r="C36" s="21"/>
      <c r="D36" s="79"/>
      <c r="E36" s="6"/>
      <c r="F36" s="6"/>
      <c r="G36" s="289"/>
      <c r="H36" s="50"/>
      <c r="I36" s="289"/>
      <c r="J36" s="289"/>
      <c r="K36" s="289"/>
      <c r="L36" s="6"/>
      <c r="M36" s="6"/>
      <c r="N36" s="6"/>
      <c r="O36" s="6"/>
      <c r="P36" s="289"/>
      <c r="Q36" s="10" t="e">
        <v>#N/A</v>
      </c>
      <c r="R36" s="57" t="e">
        <v>#VALUE!</v>
      </c>
      <c r="S36" s="57" t="e">
        <v>#VALUE!</v>
      </c>
      <c r="T36" s="57" t="e">
        <v>#VALUE!</v>
      </c>
      <c r="U36" s="57" t="e">
        <v>#VALUE!</v>
      </c>
      <c r="V36" s="71"/>
      <c r="W36" s="57"/>
      <c r="X36" s="249"/>
      <c r="Y36" s="249"/>
      <c r="Z36" s="67" t="s">
        <v>120</v>
      </c>
      <c r="AA36" s="12"/>
      <c r="AB36" s="290"/>
      <c r="AC36" s="8"/>
      <c r="AD36" s="8"/>
      <c r="AE36" s="8"/>
      <c r="AF36" s="5"/>
      <c r="AG36" s="8"/>
      <c r="AH36" s="5"/>
      <c r="AI36" s="8"/>
      <c r="AJ36" s="5"/>
      <c r="AK36" s="8">
        <f ca="1">IFERROR(__xludf.DUMMYFUNCTION("""COMPUTED_VALUE"""),44925.6666666666)</f>
        <v>44925.666666666599</v>
      </c>
      <c r="AL36" s="5">
        <f ca="1">IFERROR(__xludf.DUMMYFUNCTION("""COMPUTED_VALUE"""),100.92)</f>
        <v>100.92</v>
      </c>
      <c r="AM36" s="6"/>
      <c r="AN36" s="6"/>
      <c r="AO36" s="6"/>
      <c r="AP36" s="6"/>
      <c r="AQ36" s="6"/>
      <c r="AR36" s="6"/>
      <c r="AS36" s="6"/>
      <c r="AT36" s="6"/>
      <c r="AU36" s="6"/>
      <c r="AV36" s="6"/>
      <c r="AW36" s="6"/>
      <c r="AX36" s="6"/>
      <c r="AY36" s="6"/>
    </row>
    <row r="37" spans="1:51" ht="15.75" customHeight="1" x14ac:dyDescent="0.25">
      <c r="A37" s="5">
        <v>18</v>
      </c>
      <c r="B37" s="1" t="s">
        <v>226</v>
      </c>
      <c r="C37" s="21" t="str">
        <f ca="1">IFERROR(__xludf.DUMMYFUNCTION("GoogleFinance(B37,""name"")"),"Loading...")</f>
        <v>Loading...</v>
      </c>
      <c r="D37" s="49">
        <f ca="1">IFERROR(__xludf.DUMMYFUNCTION("GoogleFinance(B37,""marketcap"")/1000000"),40125.237861)</f>
        <v>40125.237861000001</v>
      </c>
      <c r="E37" s="50" t="s">
        <v>13</v>
      </c>
      <c r="F37" s="50" t="s">
        <v>153</v>
      </c>
      <c r="G37" s="293" t="s">
        <v>99</v>
      </c>
      <c r="H37" s="294" t="s">
        <v>98</v>
      </c>
      <c r="I37" s="287" t="s">
        <v>75</v>
      </c>
      <c r="J37" s="287" t="s">
        <v>74</v>
      </c>
      <c r="K37" s="286" t="s">
        <v>74</v>
      </c>
      <c r="L37" s="5">
        <v>169</v>
      </c>
      <c r="M37" s="5">
        <v>164</v>
      </c>
      <c r="N37" s="5">
        <v>190</v>
      </c>
      <c r="O37" s="5">
        <v>220</v>
      </c>
      <c r="P37" s="25">
        <f ca="1">IFERROR(__xludf.DUMMYFUNCTION("GOOGLEFINANCE(B37)"),173.72)</f>
        <v>173.72</v>
      </c>
      <c r="Q37" s="10">
        <v>0</v>
      </c>
      <c r="R37" s="57">
        <v>-1.0480747322852646E-2</v>
      </c>
      <c r="S37" s="57">
        <v>8.2999593708283914E-3</v>
      </c>
      <c r="T37" s="57">
        <v>4.7263081745840374E-2</v>
      </c>
      <c r="U37" s="57">
        <v>-7.3443917008907178E-2</v>
      </c>
      <c r="V37" s="57">
        <f ca="1">L37/P37-1</f>
        <v>-2.7170158876352768E-2</v>
      </c>
      <c r="W37" s="57">
        <f ca="1">M37/P37-1</f>
        <v>-5.5952106838590865E-2</v>
      </c>
      <c r="X37" s="3">
        <f ca="1">N37/P37-1</f>
        <v>9.3714022565047239E-2</v>
      </c>
      <c r="Y37" s="3">
        <f ca="1">O37/P37-1</f>
        <v>0.26640571033847582</v>
      </c>
      <c r="Z37" s="132" t="s">
        <v>195</v>
      </c>
      <c r="AA37" s="279" t="s">
        <v>227</v>
      </c>
      <c r="AB37" s="17"/>
      <c r="AC37" s="4"/>
      <c r="AD37" s="295"/>
      <c r="AE37" s="3" t="str">
        <f ca="1">IFERROR(__xludf.DUMMYFUNCTION("GoogleFinance(B37,""price"",today()-7)"),"#N/A")</f>
        <v>#N/A</v>
      </c>
      <c r="AF37" s="1"/>
      <c r="AG37" s="3" t="str">
        <f ca="1">IFERROR(__xludf.DUMMYFUNCTION("GoogleFinance(B37,""price"",today()-31)"),"#N/A")</f>
        <v>#N/A</v>
      </c>
      <c r="AH37" s="1"/>
      <c r="AI37" s="3" t="str">
        <f ca="1">IFERROR(__xludf.DUMMYFUNCTION("GoogleFinance(B37,""price"",today()-90)"),"#N/A")</f>
        <v>#N/A</v>
      </c>
      <c r="AJ37" s="1"/>
      <c r="AK37" s="3" t="str">
        <f ca="1">IFERROR(__xludf.DUMMYFUNCTION("GoogleFinance(B37,""price"",DATE(2022,12,30))"),"Date")</f>
        <v>Date</v>
      </c>
      <c r="AL37" s="1" t="str">
        <f ca="1">IFERROR(__xludf.DUMMYFUNCTION("""COMPUTED_VALUE"""),"Close")</f>
        <v>Close</v>
      </c>
      <c r="AM37" s="6"/>
      <c r="AN37" s="6"/>
      <c r="AO37" s="6"/>
      <c r="AP37" s="6"/>
      <c r="AQ37" s="6"/>
      <c r="AR37" s="6"/>
      <c r="AS37" s="6"/>
      <c r="AT37" s="6"/>
      <c r="AU37" s="6"/>
      <c r="AV37" s="6"/>
      <c r="AW37" s="6"/>
      <c r="AX37" s="6"/>
      <c r="AY37" s="6"/>
    </row>
    <row r="38" spans="1:51" ht="15.75" hidden="1" customHeight="1" x14ac:dyDescent="0.25">
      <c r="A38" s="6"/>
      <c r="B38" s="6"/>
      <c r="C38" s="4"/>
      <c r="D38" s="79"/>
      <c r="E38" s="6"/>
      <c r="F38" s="6"/>
      <c r="G38" s="289"/>
      <c r="H38" s="6"/>
      <c r="I38" s="289"/>
      <c r="J38" s="289"/>
      <c r="K38" s="289"/>
      <c r="L38" s="6"/>
      <c r="M38" s="6"/>
      <c r="N38" s="6"/>
      <c r="O38" s="6"/>
      <c r="P38" s="289"/>
      <c r="Q38" s="10" t="e">
        <v>#N/A</v>
      </c>
      <c r="R38" s="57" t="e">
        <v>#VALUE!</v>
      </c>
      <c r="S38" s="57" t="e">
        <v>#VALUE!</v>
      </c>
      <c r="T38" s="57" t="e">
        <v>#VALUE!</v>
      </c>
      <c r="U38" s="57" t="e">
        <v>#VALUE!</v>
      </c>
      <c r="V38" s="249"/>
      <c r="W38" s="249"/>
      <c r="X38" s="4"/>
      <c r="Y38" s="4"/>
      <c r="Z38" s="67" t="s">
        <v>120</v>
      </c>
      <c r="AA38" s="12"/>
      <c r="AB38" s="296"/>
      <c r="AC38" s="18"/>
      <c r="AD38" s="18"/>
      <c r="AE38" s="8"/>
      <c r="AF38" s="5"/>
      <c r="AG38" s="8"/>
      <c r="AH38" s="5"/>
      <c r="AI38" s="8"/>
      <c r="AJ38" s="5"/>
      <c r="AK38" s="8">
        <f ca="1">IFERROR(__xludf.DUMMYFUNCTION("""COMPUTED_VALUE"""),44925.6666666666)</f>
        <v>44925.666666666599</v>
      </c>
      <c r="AL38" s="5">
        <f ca="1">IFERROR(__xludf.DUMMYFUNCTION("""COMPUTED_VALUE"""),187.49)</f>
        <v>187.49</v>
      </c>
      <c r="AM38" s="6"/>
      <c r="AN38" s="6"/>
      <c r="AO38" s="6"/>
      <c r="AP38" s="6"/>
      <c r="AQ38" s="6"/>
      <c r="AR38" s="6"/>
      <c r="AS38" s="6"/>
      <c r="AT38" s="6"/>
      <c r="AU38" s="6"/>
      <c r="AV38" s="6"/>
      <c r="AW38" s="6"/>
      <c r="AX38" s="6"/>
      <c r="AY38" s="6"/>
    </row>
    <row r="39" spans="1:51" ht="15.75" customHeight="1" x14ac:dyDescent="0.25">
      <c r="A39" s="278">
        <v>19</v>
      </c>
      <c r="B39" s="1" t="s">
        <v>152</v>
      </c>
      <c r="C39" s="21" t="str">
        <f ca="1">IFERROR(__xludf.DUMMYFUNCTION("GoogleFinance(B39,""name"")"),"Loading...")</f>
        <v>Loading...</v>
      </c>
      <c r="D39" s="49">
        <f ca="1">IFERROR(__xludf.DUMMYFUNCTION("GoogleFinance(B39,""marketcap"")/1000000"),444102.2163)</f>
        <v>444102.21629999997</v>
      </c>
      <c r="E39" s="50" t="s">
        <v>15</v>
      </c>
      <c r="F39" s="50" t="s">
        <v>153</v>
      </c>
      <c r="G39" s="293" t="s">
        <v>78</v>
      </c>
      <c r="H39" s="294" t="s">
        <v>98</v>
      </c>
      <c r="I39" s="287" t="s">
        <v>75</v>
      </c>
      <c r="J39" s="287" t="s">
        <v>74</v>
      </c>
      <c r="K39" s="286" t="s">
        <v>74</v>
      </c>
      <c r="L39" s="5">
        <v>515</v>
      </c>
      <c r="M39" s="5">
        <v>510</v>
      </c>
      <c r="N39" s="5">
        <v>580</v>
      </c>
      <c r="O39" s="5">
        <v>610</v>
      </c>
      <c r="P39" s="25">
        <f ca="1">IFERROR(__xludf.DUMMYFUNCTION("GOOGLEFINANCE(B39)"),477)</f>
        <v>477</v>
      </c>
      <c r="Q39" s="10">
        <v>5.0000000000000001E-4</v>
      </c>
      <c r="R39" s="57">
        <v>1.6212531157459686E-2</v>
      </c>
      <c r="S39" s="57">
        <v>-9.3869413523840484E-3</v>
      </c>
      <c r="T39" s="57">
        <v>9.3529137923737959E-3</v>
      </c>
      <c r="U39" s="57">
        <v>-0.10030555660341767</v>
      </c>
      <c r="V39" s="57">
        <f ca="1">L39/P39-1</f>
        <v>7.9664570230608023E-2</v>
      </c>
      <c r="W39" s="57">
        <f ca="1">M39/P39-1</f>
        <v>6.9182389937106903E-2</v>
      </c>
      <c r="X39" s="3">
        <f ca="1">N39/P39-1</f>
        <v>0.21593291404612169</v>
      </c>
      <c r="Y39" s="3">
        <f ca="1">O39/P39-1</f>
        <v>0.27882599580712797</v>
      </c>
      <c r="Z39" s="67" t="s">
        <v>99</v>
      </c>
      <c r="AA39" s="279" t="s">
        <v>228</v>
      </c>
      <c r="AB39" s="17"/>
      <c r="AC39" s="4"/>
      <c r="AD39" s="295"/>
      <c r="AE39" s="3" t="str">
        <f ca="1">IFERROR(__xludf.DUMMYFUNCTION("GoogleFinance(B39,""price"",today()-7)"),"#N/A")</f>
        <v>#N/A</v>
      </c>
      <c r="AF39" s="1"/>
      <c r="AG39" s="3" t="str">
        <f ca="1">IFERROR(__xludf.DUMMYFUNCTION("GoogleFinance(B39,""price"",today()-31)"),"#N/A")</f>
        <v>#N/A</v>
      </c>
      <c r="AH39" s="1"/>
      <c r="AI39" s="3" t="str">
        <f ca="1">IFERROR(__xludf.DUMMYFUNCTION("GoogleFinance(B39,""price"",today()-90)"),"#N/A")</f>
        <v>#N/A</v>
      </c>
      <c r="AJ39" s="1"/>
      <c r="AK39" s="3" t="str">
        <f ca="1">IFERROR(__xludf.DUMMYFUNCTION("GoogleFinance(B39,""price"",DATE(2022,12,30))"),"Date")</f>
        <v>Date</v>
      </c>
      <c r="AL39" s="1" t="str">
        <f ca="1">IFERROR(__xludf.DUMMYFUNCTION("""COMPUTED_VALUE"""),"Close")</f>
        <v>Close</v>
      </c>
      <c r="AM39" s="6"/>
      <c r="AN39" s="6"/>
      <c r="AO39" s="6"/>
      <c r="AP39" s="6"/>
      <c r="AQ39" s="6"/>
      <c r="AR39" s="6"/>
      <c r="AS39" s="6"/>
      <c r="AT39" s="6"/>
      <c r="AU39" s="6"/>
      <c r="AV39" s="6"/>
      <c r="AW39" s="6"/>
      <c r="AX39" s="6"/>
      <c r="AY39" s="6"/>
    </row>
    <row r="40" spans="1:51" ht="15.75" customHeight="1" x14ac:dyDescent="0.25">
      <c r="A40" s="6"/>
      <c r="B40" s="6"/>
      <c r="C40" s="4"/>
      <c r="D40" s="79"/>
      <c r="E40" s="6"/>
      <c r="F40" s="6"/>
      <c r="G40" s="289"/>
      <c r="H40" s="6"/>
      <c r="I40" s="289"/>
      <c r="J40" s="289"/>
      <c r="K40" s="289"/>
      <c r="L40" s="6"/>
      <c r="M40" s="6"/>
      <c r="N40" s="6"/>
      <c r="O40" s="6"/>
      <c r="P40" s="289"/>
      <c r="Q40" s="4"/>
      <c r="R40" s="4"/>
      <c r="S40" s="4"/>
      <c r="T40" s="4"/>
      <c r="U40" s="295"/>
      <c r="V40" s="4"/>
      <c r="W40" s="4"/>
      <c r="X40" s="4"/>
      <c r="Y40" s="4"/>
      <c r="Z40" s="16"/>
      <c r="AA40" s="295"/>
      <c r="AB40" s="18"/>
      <c r="AC40" s="18"/>
      <c r="AD40" s="18"/>
      <c r="AE40" s="8"/>
      <c r="AF40" s="5"/>
      <c r="AG40" s="8"/>
      <c r="AH40" s="5"/>
      <c r="AI40" s="8"/>
      <c r="AJ40" s="5"/>
      <c r="AK40" s="8">
        <f ca="1">IFERROR(__xludf.DUMMYFUNCTION("""COMPUTED_VALUE"""),44925.6666666666)</f>
        <v>44925.666666666599</v>
      </c>
      <c r="AL40" s="5">
        <f ca="1">IFERROR(__xludf.DUMMYFUNCTION("""COMPUTED_VALUE"""),530.18)</f>
        <v>530.17999999999995</v>
      </c>
      <c r="AM40" s="6"/>
      <c r="AN40" s="6"/>
      <c r="AO40" s="6"/>
      <c r="AP40" s="6"/>
      <c r="AQ40" s="6"/>
      <c r="AR40" s="6"/>
      <c r="AS40" s="6"/>
      <c r="AT40" s="6"/>
      <c r="AU40" s="6"/>
      <c r="AV40" s="6"/>
      <c r="AW40" s="6"/>
      <c r="AX40" s="6"/>
      <c r="AY40" s="6"/>
    </row>
    <row r="41" spans="1:51" ht="15.75" customHeight="1" x14ac:dyDescent="0.25">
      <c r="A41" s="1"/>
      <c r="B41" s="1"/>
      <c r="C41" s="2"/>
      <c r="D41" s="280"/>
      <c r="E41" s="1"/>
      <c r="F41" s="1"/>
      <c r="G41" s="1"/>
      <c r="H41" s="50"/>
      <c r="I41" s="239"/>
      <c r="J41" s="239"/>
      <c r="K41" s="239"/>
      <c r="L41" s="239"/>
      <c r="M41" s="1"/>
      <c r="N41" s="1"/>
      <c r="O41" s="1"/>
      <c r="P41" s="1"/>
      <c r="Q41" s="10"/>
      <c r="R41" s="3"/>
      <c r="S41" s="3"/>
      <c r="T41" s="3"/>
      <c r="U41" s="3"/>
      <c r="V41" s="3"/>
      <c r="W41" s="3"/>
      <c r="X41" s="3"/>
      <c r="Y41" s="3"/>
      <c r="Z41" s="3"/>
      <c r="AA41" s="3"/>
      <c r="AB41" s="13"/>
      <c r="AC41" s="13"/>
      <c r="AD41" s="13"/>
      <c r="AE41" s="283"/>
      <c r="AF41" s="1"/>
      <c r="AG41" s="13"/>
      <c r="AH41" s="1"/>
      <c r="AI41" s="13"/>
      <c r="AJ41" s="1"/>
      <c r="AK41" s="13"/>
      <c r="AL41" s="1"/>
      <c r="AM41" s="1"/>
      <c r="AN41" s="1"/>
      <c r="AO41" s="1"/>
      <c r="AP41" s="1"/>
      <c r="AQ41" s="1"/>
      <c r="AR41" s="1"/>
      <c r="AS41" s="1"/>
      <c r="AT41" s="1"/>
      <c r="AU41" s="1"/>
      <c r="AV41" s="1"/>
      <c r="AW41" s="1"/>
      <c r="AX41" s="1"/>
      <c r="AY41" s="1"/>
    </row>
    <row r="42" spans="1:51" ht="15.75" customHeight="1" x14ac:dyDescent="0.25">
      <c r="A42" s="6"/>
      <c r="B42" s="6"/>
      <c r="C42" s="297"/>
      <c r="D42" s="79"/>
      <c r="E42" s="6"/>
      <c r="F42" s="6"/>
      <c r="G42" s="6"/>
      <c r="H42" s="50"/>
      <c r="I42" s="298"/>
      <c r="J42" s="298"/>
      <c r="K42" s="298"/>
      <c r="L42" s="298"/>
      <c r="M42" s="6"/>
      <c r="N42" s="6"/>
      <c r="O42" s="6"/>
      <c r="P42" s="6"/>
      <c r="Q42" s="17"/>
      <c r="R42" s="4"/>
      <c r="S42" s="4"/>
      <c r="T42" s="4"/>
      <c r="U42" s="4"/>
      <c r="V42" s="4"/>
      <c r="W42" s="4"/>
      <c r="X42" s="4"/>
      <c r="Y42" s="4"/>
      <c r="Z42" s="4"/>
      <c r="AA42" s="4"/>
      <c r="AB42" s="8"/>
      <c r="AC42" s="8"/>
      <c r="AD42" s="8"/>
      <c r="AE42" s="290"/>
      <c r="AF42" s="5"/>
      <c r="AG42" s="8"/>
      <c r="AH42" s="5"/>
      <c r="AI42" s="8"/>
      <c r="AJ42" s="5"/>
      <c r="AK42" s="8"/>
      <c r="AL42" s="5"/>
      <c r="AM42" s="6"/>
      <c r="AN42" s="6"/>
      <c r="AO42" s="6"/>
      <c r="AP42" s="6"/>
      <c r="AQ42" s="6"/>
      <c r="AR42" s="6"/>
      <c r="AS42" s="6"/>
      <c r="AT42" s="6"/>
      <c r="AU42" s="6"/>
      <c r="AV42" s="6"/>
      <c r="AW42" s="6"/>
      <c r="AX42" s="6"/>
      <c r="AY42" s="6"/>
    </row>
    <row r="43" spans="1:51" ht="15.75" customHeight="1" x14ac:dyDescent="0.25">
      <c r="A43" s="6"/>
      <c r="B43" s="299" t="s">
        <v>5</v>
      </c>
      <c r="C43" s="300" t="str">
        <f ca="1">IFERROR(__xludf.DUMMYFUNCTION("GoogleFinance(B43,""name"")"),"Loading...")</f>
        <v>Loading...</v>
      </c>
      <c r="D43" s="301">
        <f ca="1">IFERROR(__xludf.DUMMYFUNCTION("GoogleFinance(B43,""marketcap"")/1000000"),391015.728176)</f>
        <v>391015.728176</v>
      </c>
      <c r="E43" s="302"/>
      <c r="F43" s="302"/>
      <c r="G43" s="302"/>
      <c r="H43" s="302"/>
      <c r="I43" s="302"/>
      <c r="J43" s="302"/>
      <c r="K43" s="302"/>
      <c r="L43" s="302"/>
      <c r="M43" s="302"/>
      <c r="N43" s="302"/>
      <c r="O43" s="302"/>
      <c r="P43" s="302">
        <f ca="1">IFERROR(__xludf.DUMMYFUNCTION("GOOGLEFINANCE(B43)"),433.21)</f>
        <v>433.21</v>
      </c>
      <c r="Q43" s="303"/>
      <c r="R43" s="303"/>
      <c r="S43" s="303"/>
      <c r="T43" s="303"/>
      <c r="U43" s="303"/>
      <c r="V43" s="304"/>
      <c r="W43" s="304"/>
      <c r="X43" s="304"/>
      <c r="Y43" s="304"/>
      <c r="Z43" s="304"/>
      <c r="AA43" s="304"/>
      <c r="AB43" s="3"/>
      <c r="AC43" s="3"/>
      <c r="AD43" s="3"/>
      <c r="AE43" s="10" t="str">
        <f ca="1">IFERROR(__xludf.DUMMYFUNCTION("GoogleFinance(B43,""price"",DATE(2022,12,16))"),"Date")</f>
        <v>Date</v>
      </c>
      <c r="AF43" s="1" t="str">
        <f ca="1">IFERROR(__xludf.DUMMYFUNCTION("""COMPUTED_VALUE"""),"Close")</f>
        <v>Close</v>
      </c>
      <c r="AG43" s="4" t="str">
        <f ca="1">IFERROR(__xludf.DUMMYFUNCTION("GoogleFinance(B43,""price"",today()-31)"),"#N/A")</f>
        <v>#N/A</v>
      </c>
      <c r="AH43" s="1"/>
      <c r="AI43" s="4" t="str">
        <f ca="1">IFERROR(__xludf.DUMMYFUNCTION("GoogleFinance(D43,""price"",today()-31)"),"#N/A")</f>
        <v>#N/A</v>
      </c>
      <c r="AJ43" s="1"/>
      <c r="AK43" s="3" t="str">
        <f ca="1">IFERROR(__xludf.DUMMYFUNCTION("GoogleFinance(B43,""price"",DATE(2022,12,30))"),"#N/A")</f>
        <v>#N/A</v>
      </c>
      <c r="AL43" s="1" t="s">
        <v>6</v>
      </c>
      <c r="AM43" s="6"/>
      <c r="AN43" s="6"/>
      <c r="AO43" s="6"/>
      <c r="AP43" s="6"/>
      <c r="AQ43" s="6"/>
      <c r="AR43" s="6"/>
      <c r="AS43" s="6"/>
      <c r="AT43" s="6"/>
      <c r="AU43" s="6"/>
      <c r="AV43" s="6"/>
      <c r="AW43" s="6"/>
      <c r="AX43" s="6"/>
      <c r="AY43" s="6"/>
    </row>
    <row r="44" spans="1:51" ht="15.75" customHeight="1" x14ac:dyDescent="0.25">
      <c r="A44" s="5"/>
      <c r="B44" s="305" t="s">
        <v>229</v>
      </c>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24"/>
      <c r="AC44" s="24"/>
      <c r="AD44" s="24"/>
      <c r="AE44" s="24">
        <f ca="1">IFERROR(__xludf.DUMMYFUNCTION("""COMPUTED_VALUE"""),44911.6666666666)</f>
        <v>44911.666666666599</v>
      </c>
      <c r="AF44" s="1">
        <f ca="1">IFERROR(__xludf.DUMMYFUNCTION("""COMPUTED_VALUE"""),383.27)</f>
        <v>383.27</v>
      </c>
      <c r="AG44" s="24"/>
      <c r="AH44" s="1"/>
      <c r="AI44" s="24"/>
      <c r="AJ44" s="1"/>
      <c r="AK44" s="24">
        <v>44925.666666666672</v>
      </c>
      <c r="AL44" s="1">
        <v>382.43</v>
      </c>
      <c r="AM44" s="6"/>
      <c r="AN44" s="6"/>
      <c r="AO44" s="6"/>
      <c r="AP44" s="6"/>
      <c r="AQ44" s="6"/>
      <c r="AR44" s="6"/>
      <c r="AS44" s="6"/>
      <c r="AT44" s="6"/>
      <c r="AU44" s="6"/>
      <c r="AV44" s="6"/>
      <c r="AW44" s="6"/>
      <c r="AX44" s="6"/>
      <c r="AY44" s="6"/>
    </row>
    <row r="45" spans="1:51" ht="15.75" customHeight="1" x14ac:dyDescent="0.25">
      <c r="A45" s="31"/>
      <c r="AB45" s="6"/>
      <c r="AC45" s="6"/>
      <c r="AD45" s="6"/>
      <c r="AE45" s="6"/>
      <c r="AF45" s="6"/>
      <c r="AG45" s="6"/>
      <c r="AH45" s="6"/>
      <c r="AI45" s="6"/>
      <c r="AJ45" s="6"/>
      <c r="AK45" s="6"/>
      <c r="AL45" s="6"/>
      <c r="AM45" s="6"/>
      <c r="AN45" s="6"/>
      <c r="AO45" s="6"/>
      <c r="AP45" s="6"/>
      <c r="AQ45" s="6"/>
      <c r="AR45" s="6"/>
      <c r="AS45" s="6"/>
      <c r="AT45" s="6"/>
      <c r="AU45" s="6"/>
      <c r="AV45" s="6"/>
      <c r="AW45" s="6"/>
      <c r="AX45" s="6"/>
      <c r="AY45" s="6"/>
    </row>
    <row r="46" spans="1:51" ht="15.75" customHeight="1" x14ac:dyDescent="0.25">
      <c r="AB46" s="1"/>
      <c r="AC46" s="1"/>
      <c r="AD46" s="1"/>
      <c r="AE46" s="1"/>
      <c r="AF46" s="1"/>
      <c r="AG46" s="1"/>
      <c r="AH46" s="1"/>
      <c r="AI46" s="1"/>
      <c r="AJ46" s="1"/>
      <c r="AK46" s="1"/>
      <c r="AL46" s="1"/>
      <c r="AM46" s="31"/>
      <c r="AN46" s="31"/>
      <c r="AO46" s="31"/>
      <c r="AP46" s="31"/>
      <c r="AQ46" s="31"/>
      <c r="AR46" s="31"/>
      <c r="AS46" s="31"/>
      <c r="AT46" s="31"/>
      <c r="AU46" s="31"/>
      <c r="AV46" s="31"/>
      <c r="AW46" s="31"/>
      <c r="AX46" s="31"/>
      <c r="AY46" s="31"/>
    </row>
    <row r="47" spans="1:51" ht="15.75" customHeight="1"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1"/>
      <c r="AC47" s="1"/>
      <c r="AD47" s="1"/>
      <c r="AE47" s="1"/>
      <c r="AF47" s="1"/>
      <c r="AG47" s="1"/>
      <c r="AH47" s="1"/>
      <c r="AI47" s="1"/>
      <c r="AJ47" s="1"/>
      <c r="AK47" s="1"/>
      <c r="AL47" s="1"/>
      <c r="AM47" s="31"/>
      <c r="AN47" s="31"/>
      <c r="AO47" s="31"/>
      <c r="AP47" s="31"/>
      <c r="AQ47" s="31"/>
      <c r="AR47" s="31"/>
      <c r="AS47" s="31"/>
      <c r="AT47" s="31"/>
      <c r="AU47" s="31"/>
      <c r="AV47" s="31"/>
      <c r="AW47" s="31"/>
      <c r="AX47" s="31"/>
      <c r="AY47" s="31"/>
    </row>
    <row r="48" spans="1:51" ht="15.75" customHeight="1" x14ac:dyDescent="0.25">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1"/>
      <c r="AC48" s="1"/>
      <c r="AD48" s="1"/>
      <c r="AE48" s="1"/>
      <c r="AF48" s="1"/>
      <c r="AG48" s="1"/>
      <c r="AH48" s="1"/>
      <c r="AI48" s="1"/>
      <c r="AJ48" s="1"/>
      <c r="AK48" s="1"/>
      <c r="AL48" s="1"/>
      <c r="AM48" s="31"/>
      <c r="AN48" s="31"/>
      <c r="AO48" s="31"/>
      <c r="AP48" s="31"/>
      <c r="AQ48" s="31"/>
      <c r="AR48" s="31"/>
      <c r="AS48" s="31"/>
      <c r="AT48" s="31"/>
      <c r="AU48" s="31"/>
      <c r="AV48" s="31"/>
      <c r="AW48" s="31"/>
      <c r="AX48" s="31"/>
      <c r="AY48" s="31"/>
    </row>
    <row r="49" spans="1:51" ht="15.75" customHeight="1" x14ac:dyDescent="0.25">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1"/>
      <c r="AC49" s="1"/>
      <c r="AD49" s="1"/>
      <c r="AE49" s="1"/>
      <c r="AF49" s="1"/>
      <c r="AG49" s="1"/>
      <c r="AH49" s="1"/>
      <c r="AI49" s="1"/>
      <c r="AJ49" s="1"/>
      <c r="AK49" s="1"/>
      <c r="AL49" s="1"/>
      <c r="AM49" s="31"/>
      <c r="AN49" s="31"/>
      <c r="AO49" s="31"/>
      <c r="AP49" s="31"/>
      <c r="AQ49" s="31"/>
      <c r="AR49" s="31"/>
      <c r="AS49" s="31"/>
      <c r="AT49" s="31"/>
      <c r="AU49" s="31"/>
      <c r="AV49" s="31"/>
      <c r="AW49" s="31"/>
      <c r="AX49" s="31"/>
      <c r="AY49" s="31"/>
    </row>
    <row r="50" spans="1:51" ht="15.75" customHeight="1" x14ac:dyDescent="0.2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1"/>
      <c r="AC50" s="1"/>
      <c r="AD50" s="1"/>
      <c r="AE50" s="1"/>
      <c r="AF50" s="1"/>
      <c r="AG50" s="1"/>
      <c r="AH50" s="1"/>
      <c r="AI50" s="1"/>
      <c r="AJ50" s="1"/>
      <c r="AK50" s="1"/>
      <c r="AL50" s="1"/>
      <c r="AM50" s="31"/>
      <c r="AN50" s="31"/>
      <c r="AO50" s="31"/>
      <c r="AP50" s="31"/>
      <c r="AQ50" s="31"/>
      <c r="AR50" s="31"/>
      <c r="AS50" s="31"/>
      <c r="AT50" s="31"/>
      <c r="AU50" s="31"/>
      <c r="AV50" s="31"/>
      <c r="AW50" s="31"/>
      <c r="AX50" s="31"/>
      <c r="AY50" s="31"/>
    </row>
    <row r="51" spans="1:51" ht="15.75" customHeight="1" x14ac:dyDescent="0.2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1"/>
      <c r="AC51" s="1"/>
      <c r="AD51" s="1"/>
      <c r="AE51" s="1"/>
      <c r="AF51" s="1"/>
      <c r="AG51" s="1"/>
      <c r="AH51" s="1"/>
      <c r="AI51" s="1"/>
      <c r="AJ51" s="1"/>
      <c r="AK51" s="1"/>
      <c r="AL51" s="1"/>
      <c r="AM51" s="31"/>
      <c r="AN51" s="31"/>
      <c r="AO51" s="31"/>
      <c r="AP51" s="31"/>
      <c r="AQ51" s="31"/>
      <c r="AR51" s="31"/>
      <c r="AS51" s="31"/>
      <c r="AT51" s="31"/>
      <c r="AU51" s="31"/>
      <c r="AV51" s="31"/>
      <c r="AW51" s="31"/>
      <c r="AX51" s="31"/>
      <c r="AY51" s="31"/>
    </row>
    <row r="52" spans="1:51" ht="15.75" customHeight="1" x14ac:dyDescent="0.2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1"/>
      <c r="AC52" s="1"/>
      <c r="AD52" s="1"/>
      <c r="AE52" s="1"/>
      <c r="AF52" s="1"/>
      <c r="AG52" s="1"/>
      <c r="AH52" s="1"/>
      <c r="AI52" s="1"/>
      <c r="AJ52" s="1"/>
      <c r="AK52" s="1"/>
      <c r="AL52" s="1"/>
      <c r="AM52" s="31"/>
      <c r="AN52" s="31"/>
      <c r="AO52" s="31"/>
      <c r="AP52" s="31"/>
      <c r="AQ52" s="31"/>
      <c r="AR52" s="31"/>
      <c r="AS52" s="31"/>
      <c r="AT52" s="31"/>
      <c r="AU52" s="31"/>
      <c r="AV52" s="31"/>
      <c r="AW52" s="31"/>
      <c r="AX52" s="31"/>
      <c r="AY52" s="31"/>
    </row>
    <row r="53" spans="1:51" ht="15.75" customHeight="1" x14ac:dyDescent="0.25">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1"/>
      <c r="AC53" s="1"/>
      <c r="AD53" s="1"/>
      <c r="AE53" s="1"/>
      <c r="AF53" s="1"/>
      <c r="AG53" s="1"/>
      <c r="AH53" s="1"/>
      <c r="AI53" s="1"/>
      <c r="AJ53" s="1"/>
      <c r="AK53" s="1"/>
      <c r="AL53" s="1"/>
      <c r="AM53" s="31"/>
      <c r="AN53" s="31"/>
      <c r="AO53" s="31"/>
      <c r="AP53" s="31"/>
      <c r="AQ53" s="31"/>
      <c r="AR53" s="31"/>
      <c r="AS53" s="31"/>
      <c r="AT53" s="31"/>
      <c r="AU53" s="31"/>
      <c r="AV53" s="31"/>
      <c r="AW53" s="31"/>
      <c r="AX53" s="31"/>
      <c r="AY53" s="31"/>
    </row>
    <row r="54" spans="1:51" ht="15.75" customHeight="1" x14ac:dyDescent="0.2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1"/>
      <c r="AC54" s="1"/>
      <c r="AD54" s="1"/>
      <c r="AE54" s="1"/>
      <c r="AF54" s="1"/>
      <c r="AG54" s="1"/>
      <c r="AH54" s="1"/>
      <c r="AI54" s="1"/>
      <c r="AJ54" s="1"/>
      <c r="AK54" s="1"/>
      <c r="AL54" s="1"/>
      <c r="AM54" s="31"/>
      <c r="AN54" s="31"/>
      <c r="AO54" s="31"/>
      <c r="AP54" s="31"/>
      <c r="AQ54" s="31"/>
      <c r="AR54" s="31"/>
      <c r="AS54" s="31"/>
      <c r="AT54" s="31"/>
      <c r="AU54" s="31"/>
      <c r="AV54" s="31"/>
      <c r="AW54" s="31"/>
      <c r="AX54" s="31"/>
      <c r="AY54" s="31"/>
    </row>
    <row r="55" spans="1:51" ht="15.75" customHeight="1" x14ac:dyDescent="0.25">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1"/>
      <c r="AC55" s="1"/>
      <c r="AD55" s="1"/>
      <c r="AE55" s="1"/>
      <c r="AF55" s="1"/>
      <c r="AG55" s="1"/>
      <c r="AH55" s="1"/>
      <c r="AI55" s="1"/>
      <c r="AJ55" s="1"/>
      <c r="AK55" s="1"/>
      <c r="AL55" s="1"/>
      <c r="AM55" s="31"/>
      <c r="AN55" s="31"/>
      <c r="AO55" s="31"/>
      <c r="AP55" s="31"/>
      <c r="AQ55" s="31"/>
      <c r="AR55" s="31"/>
      <c r="AS55" s="31"/>
      <c r="AT55" s="31"/>
      <c r="AU55" s="31"/>
      <c r="AV55" s="31"/>
      <c r="AW55" s="31"/>
      <c r="AX55" s="31"/>
      <c r="AY55" s="31"/>
    </row>
    <row r="56" spans="1:51" ht="15.75" customHeight="1" x14ac:dyDescent="0.2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1"/>
      <c r="AC56" s="1"/>
      <c r="AD56" s="1"/>
      <c r="AE56" s="1"/>
      <c r="AF56" s="1"/>
      <c r="AG56" s="1"/>
      <c r="AH56" s="1"/>
      <c r="AI56" s="1"/>
      <c r="AJ56" s="1"/>
      <c r="AK56" s="1"/>
      <c r="AL56" s="1"/>
      <c r="AM56" s="31"/>
      <c r="AN56" s="31"/>
      <c r="AO56" s="31"/>
      <c r="AP56" s="31"/>
      <c r="AQ56" s="31"/>
      <c r="AR56" s="31"/>
      <c r="AS56" s="31"/>
      <c r="AT56" s="31"/>
      <c r="AU56" s="31"/>
      <c r="AV56" s="31"/>
      <c r="AW56" s="31"/>
      <c r="AX56" s="31"/>
      <c r="AY56" s="31"/>
    </row>
    <row r="57" spans="1:51" ht="15.75" customHeight="1" x14ac:dyDescent="0.2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1"/>
      <c r="AC57" s="1"/>
      <c r="AD57" s="1"/>
      <c r="AE57" s="1"/>
      <c r="AF57" s="1"/>
      <c r="AG57" s="1"/>
      <c r="AH57" s="1"/>
      <c r="AI57" s="1"/>
      <c r="AJ57" s="1"/>
      <c r="AK57" s="1"/>
      <c r="AL57" s="1"/>
      <c r="AM57" s="31"/>
      <c r="AN57" s="31"/>
      <c r="AO57" s="31"/>
      <c r="AP57" s="31"/>
      <c r="AQ57" s="31"/>
      <c r="AR57" s="31"/>
      <c r="AS57" s="31"/>
      <c r="AT57" s="31"/>
      <c r="AU57" s="31"/>
      <c r="AV57" s="31"/>
      <c r="AW57" s="31"/>
      <c r="AX57" s="31"/>
      <c r="AY57" s="31"/>
    </row>
    <row r="58" spans="1:51" ht="15.75" customHeight="1" x14ac:dyDescent="0.2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1"/>
      <c r="AC58" s="1"/>
      <c r="AD58" s="1"/>
      <c r="AE58" s="1"/>
      <c r="AF58" s="1"/>
      <c r="AG58" s="1"/>
      <c r="AH58" s="1"/>
      <c r="AI58" s="1"/>
      <c r="AJ58" s="1"/>
      <c r="AK58" s="1"/>
      <c r="AL58" s="1"/>
      <c r="AM58" s="31"/>
      <c r="AN58" s="31"/>
      <c r="AO58" s="31"/>
      <c r="AP58" s="31"/>
      <c r="AQ58" s="31"/>
      <c r="AR58" s="31"/>
      <c r="AS58" s="31"/>
      <c r="AT58" s="31"/>
      <c r="AU58" s="31"/>
      <c r="AV58" s="31"/>
      <c r="AW58" s="31"/>
      <c r="AX58" s="31"/>
      <c r="AY58" s="31"/>
    </row>
    <row r="59" spans="1:51" ht="15.75" customHeight="1" x14ac:dyDescent="0.25">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1"/>
      <c r="AC59" s="1"/>
      <c r="AD59" s="1"/>
      <c r="AE59" s="1"/>
      <c r="AF59" s="1"/>
      <c r="AG59" s="1"/>
      <c r="AH59" s="1"/>
      <c r="AI59" s="1"/>
      <c r="AJ59" s="1"/>
      <c r="AK59" s="1"/>
      <c r="AL59" s="1"/>
      <c r="AM59" s="31"/>
      <c r="AN59" s="31"/>
      <c r="AO59" s="31"/>
      <c r="AP59" s="31"/>
      <c r="AQ59" s="31"/>
      <c r="AR59" s="31"/>
      <c r="AS59" s="31"/>
      <c r="AT59" s="31"/>
      <c r="AU59" s="31"/>
      <c r="AV59" s="31"/>
      <c r="AW59" s="31"/>
      <c r="AX59" s="31"/>
      <c r="AY59" s="31"/>
    </row>
    <row r="60" spans="1:51" ht="15.75" customHeight="1" x14ac:dyDescent="0.2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1"/>
      <c r="AC60" s="1"/>
      <c r="AD60" s="1"/>
      <c r="AE60" s="1"/>
      <c r="AF60" s="1"/>
      <c r="AG60" s="1"/>
      <c r="AH60" s="1"/>
      <c r="AI60" s="1"/>
      <c r="AJ60" s="1"/>
      <c r="AK60" s="1"/>
      <c r="AL60" s="1"/>
      <c r="AM60" s="31"/>
      <c r="AN60" s="31"/>
      <c r="AO60" s="31"/>
      <c r="AP60" s="31"/>
      <c r="AQ60" s="31"/>
      <c r="AR60" s="31"/>
      <c r="AS60" s="31"/>
      <c r="AT60" s="31"/>
      <c r="AU60" s="31"/>
      <c r="AV60" s="31"/>
      <c r="AW60" s="31"/>
      <c r="AX60" s="31"/>
      <c r="AY60" s="31"/>
    </row>
    <row r="61" spans="1:51" ht="15.75" customHeight="1" x14ac:dyDescent="0.25">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1"/>
      <c r="AC61" s="1"/>
      <c r="AD61" s="1"/>
      <c r="AE61" s="1"/>
      <c r="AF61" s="1"/>
      <c r="AG61" s="1"/>
      <c r="AH61" s="1"/>
      <c r="AI61" s="1"/>
      <c r="AJ61" s="1"/>
      <c r="AK61" s="1"/>
      <c r="AL61" s="1"/>
      <c r="AM61" s="31"/>
      <c r="AN61" s="31"/>
      <c r="AO61" s="31"/>
      <c r="AP61" s="31"/>
      <c r="AQ61" s="31"/>
      <c r="AR61" s="31"/>
      <c r="AS61" s="31"/>
      <c r="AT61" s="31"/>
      <c r="AU61" s="31"/>
      <c r="AV61" s="31"/>
      <c r="AW61" s="31"/>
      <c r="AX61" s="31"/>
      <c r="AY61" s="31"/>
    </row>
    <row r="62" spans="1:51" ht="15.75" customHeight="1" x14ac:dyDescent="0.2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1"/>
      <c r="AC62" s="1"/>
      <c r="AD62" s="1"/>
      <c r="AE62" s="1"/>
      <c r="AF62" s="1"/>
      <c r="AG62" s="1"/>
      <c r="AH62" s="1"/>
      <c r="AI62" s="1"/>
      <c r="AJ62" s="1"/>
      <c r="AK62" s="1"/>
      <c r="AL62" s="1"/>
      <c r="AM62" s="31"/>
      <c r="AN62" s="31"/>
      <c r="AO62" s="31"/>
      <c r="AP62" s="31"/>
      <c r="AQ62" s="31"/>
      <c r="AR62" s="31"/>
      <c r="AS62" s="31"/>
      <c r="AT62" s="31"/>
      <c r="AU62" s="31"/>
      <c r="AV62" s="31"/>
      <c r="AW62" s="31"/>
      <c r="AX62" s="31"/>
      <c r="AY62" s="31"/>
    </row>
    <row r="63" spans="1:51" ht="15.75" customHeight="1" x14ac:dyDescent="0.25">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1"/>
      <c r="AC63" s="1"/>
      <c r="AD63" s="1"/>
      <c r="AE63" s="1"/>
      <c r="AF63" s="1"/>
      <c r="AG63" s="1"/>
      <c r="AH63" s="1"/>
      <c r="AI63" s="1"/>
      <c r="AJ63" s="1"/>
      <c r="AK63" s="1"/>
      <c r="AL63" s="1"/>
      <c r="AM63" s="31"/>
      <c r="AN63" s="31"/>
      <c r="AO63" s="31"/>
      <c r="AP63" s="31"/>
      <c r="AQ63" s="31"/>
      <c r="AR63" s="31"/>
      <c r="AS63" s="31"/>
      <c r="AT63" s="31"/>
      <c r="AU63" s="31"/>
      <c r="AV63" s="31"/>
      <c r="AW63" s="31"/>
      <c r="AX63" s="31"/>
      <c r="AY63" s="31"/>
    </row>
    <row r="64" spans="1:51" ht="15.75" customHeight="1" x14ac:dyDescent="0.25">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1"/>
      <c r="AC64" s="1"/>
      <c r="AD64" s="1"/>
      <c r="AE64" s="1"/>
      <c r="AF64" s="1"/>
      <c r="AG64" s="1"/>
      <c r="AH64" s="1"/>
      <c r="AI64" s="1"/>
      <c r="AJ64" s="1"/>
      <c r="AK64" s="1"/>
      <c r="AL64" s="1"/>
      <c r="AM64" s="31"/>
      <c r="AN64" s="31"/>
      <c r="AO64" s="31"/>
      <c r="AP64" s="31"/>
      <c r="AQ64" s="31"/>
      <c r="AR64" s="31"/>
      <c r="AS64" s="31"/>
      <c r="AT64" s="31"/>
      <c r="AU64" s="31"/>
      <c r="AV64" s="31"/>
      <c r="AW64" s="31"/>
      <c r="AX64" s="31"/>
      <c r="AY64" s="31"/>
    </row>
    <row r="65" spans="1:51" ht="15.75" customHeight="1" x14ac:dyDescent="0.2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1"/>
      <c r="AC65" s="1"/>
      <c r="AD65" s="1"/>
      <c r="AE65" s="1"/>
      <c r="AF65" s="1"/>
      <c r="AG65" s="1"/>
      <c r="AH65" s="1"/>
      <c r="AI65" s="1"/>
      <c r="AJ65" s="1"/>
      <c r="AK65" s="1"/>
      <c r="AL65" s="1"/>
      <c r="AM65" s="31"/>
      <c r="AN65" s="31"/>
      <c r="AO65" s="31"/>
      <c r="AP65" s="31"/>
      <c r="AQ65" s="31"/>
      <c r="AR65" s="31"/>
      <c r="AS65" s="31"/>
      <c r="AT65" s="31"/>
      <c r="AU65" s="31"/>
      <c r="AV65" s="31"/>
      <c r="AW65" s="31"/>
      <c r="AX65" s="31"/>
      <c r="AY65" s="31"/>
    </row>
    <row r="66" spans="1:51" ht="15.75" customHeight="1" x14ac:dyDescent="0.2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1"/>
      <c r="AC66" s="1"/>
      <c r="AD66" s="1"/>
      <c r="AE66" s="1"/>
      <c r="AF66" s="1"/>
      <c r="AG66" s="1"/>
      <c r="AH66" s="1"/>
      <c r="AI66" s="1"/>
      <c r="AJ66" s="1"/>
      <c r="AK66" s="1"/>
      <c r="AL66" s="1"/>
      <c r="AM66" s="31"/>
      <c r="AN66" s="31"/>
      <c r="AO66" s="31"/>
      <c r="AP66" s="31"/>
      <c r="AQ66" s="31"/>
      <c r="AR66" s="31"/>
      <c r="AS66" s="31"/>
      <c r="AT66" s="31"/>
      <c r="AU66" s="31"/>
      <c r="AV66" s="31"/>
      <c r="AW66" s="31"/>
      <c r="AX66" s="31"/>
      <c r="AY66" s="31"/>
    </row>
    <row r="67" spans="1:51" ht="15.75" customHeight="1" x14ac:dyDescent="0.25">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1"/>
      <c r="AC67" s="1"/>
      <c r="AD67" s="1"/>
      <c r="AE67" s="1"/>
      <c r="AF67" s="1"/>
      <c r="AG67" s="1"/>
      <c r="AH67" s="1"/>
      <c r="AI67" s="1"/>
      <c r="AJ67" s="1"/>
      <c r="AK67" s="1"/>
      <c r="AL67" s="1"/>
      <c r="AM67" s="31"/>
      <c r="AN67" s="31"/>
      <c r="AO67" s="31"/>
      <c r="AP67" s="31"/>
      <c r="AQ67" s="31"/>
      <c r="AR67" s="31"/>
      <c r="AS67" s="31"/>
      <c r="AT67" s="31"/>
      <c r="AU67" s="31"/>
      <c r="AV67" s="31"/>
      <c r="AW67" s="31"/>
      <c r="AX67" s="31"/>
      <c r="AY67" s="31"/>
    </row>
    <row r="68" spans="1:51" ht="15.75" customHeight="1" x14ac:dyDescent="0.2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1"/>
      <c r="AC68" s="1"/>
      <c r="AD68" s="1"/>
      <c r="AE68" s="1"/>
      <c r="AF68" s="1"/>
      <c r="AG68" s="1"/>
      <c r="AH68" s="1"/>
      <c r="AI68" s="1"/>
      <c r="AJ68" s="1"/>
      <c r="AK68" s="1"/>
      <c r="AL68" s="1"/>
      <c r="AM68" s="31"/>
      <c r="AN68" s="31"/>
      <c r="AO68" s="31"/>
      <c r="AP68" s="31"/>
      <c r="AQ68" s="31"/>
      <c r="AR68" s="31"/>
      <c r="AS68" s="31"/>
      <c r="AT68" s="31"/>
      <c r="AU68" s="31"/>
      <c r="AV68" s="31"/>
      <c r="AW68" s="31"/>
      <c r="AX68" s="31"/>
      <c r="AY68" s="31"/>
    </row>
    <row r="69" spans="1:51" ht="15.75" customHeight="1" x14ac:dyDescent="0.2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1"/>
      <c r="AC69" s="1"/>
      <c r="AD69" s="1"/>
      <c r="AE69" s="1"/>
      <c r="AF69" s="1"/>
      <c r="AG69" s="1"/>
      <c r="AH69" s="1"/>
      <c r="AI69" s="1"/>
      <c r="AJ69" s="1"/>
      <c r="AK69" s="1"/>
      <c r="AL69" s="1"/>
      <c r="AM69" s="31"/>
      <c r="AN69" s="31"/>
      <c r="AO69" s="31"/>
      <c r="AP69" s="31"/>
      <c r="AQ69" s="31"/>
      <c r="AR69" s="31"/>
      <c r="AS69" s="31"/>
      <c r="AT69" s="31"/>
      <c r="AU69" s="31"/>
      <c r="AV69" s="31"/>
      <c r="AW69" s="31"/>
      <c r="AX69" s="31"/>
      <c r="AY69" s="31"/>
    </row>
    <row r="70" spans="1:51" ht="15.75" customHeight="1" x14ac:dyDescent="0.2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1"/>
      <c r="AC70" s="1"/>
      <c r="AD70" s="1"/>
      <c r="AE70" s="1"/>
      <c r="AF70" s="1"/>
      <c r="AG70" s="1"/>
      <c r="AH70" s="1"/>
      <c r="AI70" s="1"/>
      <c r="AJ70" s="1"/>
      <c r="AK70" s="1"/>
      <c r="AL70" s="1"/>
      <c r="AM70" s="31"/>
      <c r="AN70" s="31"/>
      <c r="AO70" s="31"/>
      <c r="AP70" s="31"/>
      <c r="AQ70" s="31"/>
      <c r="AR70" s="31"/>
      <c r="AS70" s="31"/>
      <c r="AT70" s="31"/>
      <c r="AU70" s="31"/>
      <c r="AV70" s="31"/>
      <c r="AW70" s="31"/>
      <c r="AX70" s="31"/>
      <c r="AY70" s="31"/>
    </row>
    <row r="71" spans="1:51" ht="15.75" customHeight="1" x14ac:dyDescent="0.25">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1"/>
      <c r="AC71" s="1"/>
      <c r="AD71" s="1"/>
      <c r="AE71" s="1"/>
      <c r="AF71" s="1"/>
      <c r="AG71" s="1"/>
      <c r="AH71" s="1"/>
      <c r="AI71" s="1"/>
      <c r="AJ71" s="1"/>
      <c r="AK71" s="1"/>
      <c r="AL71" s="1"/>
      <c r="AM71" s="31"/>
      <c r="AN71" s="31"/>
      <c r="AO71" s="31"/>
      <c r="AP71" s="31"/>
      <c r="AQ71" s="31"/>
      <c r="AR71" s="31"/>
      <c r="AS71" s="31"/>
      <c r="AT71" s="31"/>
      <c r="AU71" s="31"/>
      <c r="AV71" s="31"/>
      <c r="AW71" s="31"/>
      <c r="AX71" s="31"/>
      <c r="AY71" s="31"/>
    </row>
    <row r="72" spans="1:51" ht="15.75" customHeight="1" x14ac:dyDescent="0.2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1"/>
      <c r="AC72" s="1"/>
      <c r="AD72" s="1"/>
      <c r="AE72" s="1"/>
      <c r="AF72" s="1"/>
      <c r="AG72" s="1"/>
      <c r="AH72" s="1"/>
      <c r="AI72" s="1"/>
      <c r="AJ72" s="1"/>
      <c r="AK72" s="1"/>
      <c r="AL72" s="1"/>
      <c r="AM72" s="31"/>
      <c r="AN72" s="31"/>
      <c r="AO72" s="31"/>
      <c r="AP72" s="31"/>
      <c r="AQ72" s="31"/>
      <c r="AR72" s="31"/>
      <c r="AS72" s="31"/>
      <c r="AT72" s="31"/>
      <c r="AU72" s="31"/>
      <c r="AV72" s="31"/>
      <c r="AW72" s="31"/>
      <c r="AX72" s="31"/>
      <c r="AY72" s="31"/>
    </row>
    <row r="73" spans="1:51" ht="15.75" customHeight="1" x14ac:dyDescent="0.2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1"/>
      <c r="AC73" s="1"/>
      <c r="AD73" s="1"/>
      <c r="AE73" s="1"/>
      <c r="AF73" s="1"/>
      <c r="AG73" s="1"/>
      <c r="AH73" s="1"/>
      <c r="AI73" s="1"/>
      <c r="AJ73" s="1"/>
      <c r="AK73" s="1"/>
      <c r="AL73" s="1"/>
      <c r="AM73" s="31"/>
      <c r="AN73" s="31"/>
      <c r="AO73" s="31"/>
      <c r="AP73" s="31"/>
      <c r="AQ73" s="31"/>
      <c r="AR73" s="31"/>
      <c r="AS73" s="31"/>
      <c r="AT73" s="31"/>
      <c r="AU73" s="31"/>
      <c r="AV73" s="31"/>
      <c r="AW73" s="31"/>
      <c r="AX73" s="31"/>
      <c r="AY73" s="31"/>
    </row>
    <row r="74" spans="1:51" ht="15.75" customHeight="1" x14ac:dyDescent="0.2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1"/>
      <c r="AC74" s="1"/>
      <c r="AD74" s="1"/>
      <c r="AE74" s="1"/>
      <c r="AF74" s="1"/>
      <c r="AG74" s="1"/>
      <c r="AH74" s="1"/>
      <c r="AI74" s="1"/>
      <c r="AJ74" s="1"/>
      <c r="AK74" s="1"/>
      <c r="AL74" s="1"/>
      <c r="AM74" s="31"/>
      <c r="AN74" s="31"/>
      <c r="AO74" s="31"/>
      <c r="AP74" s="31"/>
      <c r="AQ74" s="31"/>
      <c r="AR74" s="31"/>
      <c r="AS74" s="31"/>
      <c r="AT74" s="31"/>
      <c r="AU74" s="31"/>
      <c r="AV74" s="31"/>
      <c r="AW74" s="31"/>
      <c r="AX74" s="31"/>
      <c r="AY74" s="31"/>
    </row>
    <row r="75" spans="1:51" ht="15.75" customHeight="1" x14ac:dyDescent="0.25">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1"/>
      <c r="AC75" s="1"/>
      <c r="AD75" s="1"/>
      <c r="AE75" s="1"/>
      <c r="AF75" s="1"/>
      <c r="AG75" s="1"/>
      <c r="AH75" s="1"/>
      <c r="AI75" s="1"/>
      <c r="AJ75" s="1"/>
      <c r="AK75" s="1"/>
      <c r="AL75" s="1"/>
      <c r="AM75" s="31"/>
      <c r="AN75" s="31"/>
      <c r="AO75" s="31"/>
      <c r="AP75" s="31"/>
      <c r="AQ75" s="31"/>
      <c r="AR75" s="31"/>
      <c r="AS75" s="31"/>
      <c r="AT75" s="31"/>
      <c r="AU75" s="31"/>
      <c r="AV75" s="31"/>
      <c r="AW75" s="31"/>
      <c r="AX75" s="31"/>
      <c r="AY75" s="31"/>
    </row>
    <row r="76" spans="1:51" ht="15.75" customHeight="1" x14ac:dyDescent="0.2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1"/>
      <c r="AC76" s="1"/>
      <c r="AD76" s="1"/>
      <c r="AE76" s="1"/>
      <c r="AF76" s="1"/>
      <c r="AG76" s="1"/>
      <c r="AH76" s="1"/>
      <c r="AI76" s="1"/>
      <c r="AJ76" s="1"/>
      <c r="AK76" s="1"/>
      <c r="AL76" s="1"/>
      <c r="AM76" s="31"/>
      <c r="AN76" s="31"/>
      <c r="AO76" s="31"/>
      <c r="AP76" s="31"/>
      <c r="AQ76" s="31"/>
      <c r="AR76" s="31"/>
      <c r="AS76" s="31"/>
      <c r="AT76" s="31"/>
      <c r="AU76" s="31"/>
      <c r="AV76" s="31"/>
      <c r="AW76" s="31"/>
      <c r="AX76" s="31"/>
      <c r="AY76" s="31"/>
    </row>
    <row r="77" spans="1:51" ht="15.75" customHeight="1" x14ac:dyDescent="0.2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1"/>
      <c r="AC77" s="1"/>
      <c r="AD77" s="1"/>
      <c r="AE77" s="1"/>
      <c r="AF77" s="1"/>
      <c r="AG77" s="1"/>
      <c r="AH77" s="1"/>
      <c r="AI77" s="1"/>
      <c r="AJ77" s="1"/>
      <c r="AK77" s="1"/>
      <c r="AL77" s="1"/>
      <c r="AM77" s="31"/>
      <c r="AN77" s="31"/>
      <c r="AO77" s="31"/>
      <c r="AP77" s="31"/>
      <c r="AQ77" s="31"/>
      <c r="AR77" s="31"/>
      <c r="AS77" s="31"/>
      <c r="AT77" s="31"/>
      <c r="AU77" s="31"/>
      <c r="AV77" s="31"/>
      <c r="AW77" s="31"/>
      <c r="AX77" s="31"/>
      <c r="AY77" s="31"/>
    </row>
    <row r="78" spans="1:51" ht="15.75" customHeight="1" x14ac:dyDescent="0.2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1"/>
      <c r="AC78" s="1"/>
      <c r="AD78" s="1"/>
      <c r="AE78" s="1"/>
      <c r="AF78" s="1"/>
      <c r="AG78" s="1"/>
      <c r="AH78" s="1"/>
      <c r="AI78" s="1"/>
      <c r="AJ78" s="1"/>
      <c r="AK78" s="1"/>
      <c r="AL78" s="1"/>
      <c r="AM78" s="31"/>
      <c r="AN78" s="31"/>
      <c r="AO78" s="31"/>
      <c r="AP78" s="31"/>
      <c r="AQ78" s="31"/>
      <c r="AR78" s="31"/>
      <c r="AS78" s="31"/>
      <c r="AT78" s="31"/>
      <c r="AU78" s="31"/>
      <c r="AV78" s="31"/>
      <c r="AW78" s="31"/>
      <c r="AX78" s="31"/>
      <c r="AY78" s="31"/>
    </row>
    <row r="79" spans="1:51" ht="15.75" customHeight="1" x14ac:dyDescent="0.25">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1"/>
      <c r="AC79" s="1"/>
      <c r="AD79" s="1"/>
      <c r="AE79" s="1"/>
      <c r="AF79" s="1"/>
      <c r="AG79" s="1"/>
      <c r="AH79" s="1"/>
      <c r="AI79" s="1"/>
      <c r="AJ79" s="1"/>
      <c r="AK79" s="1"/>
      <c r="AL79" s="1"/>
      <c r="AM79" s="31"/>
      <c r="AN79" s="31"/>
      <c r="AO79" s="31"/>
      <c r="AP79" s="31"/>
      <c r="AQ79" s="31"/>
      <c r="AR79" s="31"/>
      <c r="AS79" s="31"/>
      <c r="AT79" s="31"/>
      <c r="AU79" s="31"/>
      <c r="AV79" s="31"/>
      <c r="AW79" s="31"/>
      <c r="AX79" s="31"/>
      <c r="AY79" s="31"/>
    </row>
    <row r="80" spans="1:51" ht="15.75" customHeight="1" x14ac:dyDescent="0.2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1"/>
      <c r="AC80" s="1"/>
      <c r="AD80" s="1"/>
      <c r="AE80" s="1"/>
      <c r="AF80" s="1"/>
      <c r="AG80" s="1"/>
      <c r="AH80" s="1"/>
      <c r="AI80" s="1"/>
      <c r="AJ80" s="1"/>
      <c r="AK80" s="1"/>
      <c r="AL80" s="1"/>
      <c r="AM80" s="31"/>
      <c r="AN80" s="31"/>
      <c r="AO80" s="31"/>
      <c r="AP80" s="31"/>
      <c r="AQ80" s="31"/>
      <c r="AR80" s="31"/>
      <c r="AS80" s="31"/>
      <c r="AT80" s="31"/>
      <c r="AU80" s="31"/>
      <c r="AV80" s="31"/>
      <c r="AW80" s="31"/>
      <c r="AX80" s="31"/>
      <c r="AY80" s="31"/>
    </row>
    <row r="81" spans="1:51" ht="15.75" customHeight="1" x14ac:dyDescent="0.25">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1"/>
      <c r="AC81" s="1"/>
      <c r="AD81" s="1"/>
      <c r="AE81" s="1"/>
      <c r="AF81" s="1"/>
      <c r="AG81" s="1"/>
      <c r="AH81" s="1"/>
      <c r="AI81" s="1"/>
      <c r="AJ81" s="1"/>
      <c r="AK81" s="1"/>
      <c r="AL81" s="1"/>
      <c r="AM81" s="31"/>
      <c r="AN81" s="31"/>
      <c r="AO81" s="31"/>
      <c r="AP81" s="31"/>
      <c r="AQ81" s="31"/>
      <c r="AR81" s="31"/>
      <c r="AS81" s="31"/>
      <c r="AT81" s="31"/>
      <c r="AU81" s="31"/>
      <c r="AV81" s="31"/>
      <c r="AW81" s="31"/>
      <c r="AX81" s="31"/>
      <c r="AY81" s="31"/>
    </row>
    <row r="82" spans="1:51" ht="15.75" customHeight="1" x14ac:dyDescent="0.25">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1"/>
      <c r="AC82" s="1"/>
      <c r="AD82" s="1"/>
      <c r="AE82" s="1"/>
      <c r="AF82" s="1"/>
      <c r="AG82" s="1"/>
      <c r="AH82" s="1"/>
      <c r="AI82" s="1"/>
      <c r="AJ82" s="1"/>
      <c r="AK82" s="1"/>
      <c r="AL82" s="1"/>
      <c r="AM82" s="31"/>
      <c r="AN82" s="31"/>
      <c r="AO82" s="31"/>
      <c r="AP82" s="31"/>
      <c r="AQ82" s="31"/>
      <c r="AR82" s="31"/>
      <c r="AS82" s="31"/>
      <c r="AT82" s="31"/>
      <c r="AU82" s="31"/>
      <c r="AV82" s="31"/>
      <c r="AW82" s="31"/>
      <c r="AX82" s="31"/>
      <c r="AY82" s="31"/>
    </row>
    <row r="83" spans="1:51" ht="15.75" customHeight="1" x14ac:dyDescent="0.25">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1"/>
      <c r="AC83" s="1"/>
      <c r="AD83" s="1"/>
      <c r="AE83" s="1"/>
      <c r="AF83" s="1"/>
      <c r="AG83" s="1"/>
      <c r="AH83" s="1"/>
      <c r="AI83" s="1"/>
      <c r="AJ83" s="1"/>
      <c r="AK83" s="1"/>
      <c r="AL83" s="1"/>
      <c r="AM83" s="31"/>
      <c r="AN83" s="31"/>
      <c r="AO83" s="31"/>
      <c r="AP83" s="31"/>
      <c r="AQ83" s="31"/>
      <c r="AR83" s="31"/>
      <c r="AS83" s="31"/>
      <c r="AT83" s="31"/>
      <c r="AU83" s="31"/>
      <c r="AV83" s="31"/>
      <c r="AW83" s="31"/>
      <c r="AX83" s="31"/>
      <c r="AY83" s="31"/>
    </row>
    <row r="84" spans="1:51" ht="15.75" customHeight="1" x14ac:dyDescent="0.25">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1"/>
      <c r="AC84" s="1"/>
      <c r="AD84" s="1"/>
      <c r="AE84" s="1"/>
      <c r="AF84" s="1"/>
      <c r="AG84" s="1"/>
      <c r="AH84" s="1"/>
      <c r="AI84" s="1"/>
      <c r="AJ84" s="1"/>
      <c r="AK84" s="1"/>
      <c r="AL84" s="1"/>
      <c r="AM84" s="31"/>
      <c r="AN84" s="31"/>
      <c r="AO84" s="31"/>
      <c r="AP84" s="31"/>
      <c r="AQ84" s="31"/>
      <c r="AR84" s="31"/>
      <c r="AS84" s="31"/>
      <c r="AT84" s="31"/>
      <c r="AU84" s="31"/>
      <c r="AV84" s="31"/>
      <c r="AW84" s="31"/>
      <c r="AX84" s="31"/>
      <c r="AY84" s="31"/>
    </row>
    <row r="85" spans="1:51" ht="15.75" customHeight="1" x14ac:dyDescent="0.25">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1"/>
      <c r="AC85" s="1"/>
      <c r="AD85" s="1"/>
      <c r="AE85" s="1"/>
      <c r="AF85" s="1"/>
      <c r="AG85" s="1"/>
      <c r="AH85" s="1"/>
      <c r="AI85" s="1"/>
      <c r="AJ85" s="1"/>
      <c r="AK85" s="1"/>
      <c r="AL85" s="1"/>
      <c r="AM85" s="31"/>
      <c r="AN85" s="31"/>
      <c r="AO85" s="31"/>
      <c r="AP85" s="31"/>
      <c r="AQ85" s="31"/>
      <c r="AR85" s="31"/>
      <c r="AS85" s="31"/>
      <c r="AT85" s="31"/>
      <c r="AU85" s="31"/>
      <c r="AV85" s="31"/>
      <c r="AW85" s="31"/>
      <c r="AX85" s="31"/>
      <c r="AY85" s="31"/>
    </row>
    <row r="86" spans="1:51" ht="15.75" customHeight="1" x14ac:dyDescent="0.2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1"/>
      <c r="AC86" s="1"/>
      <c r="AD86" s="1"/>
      <c r="AE86" s="1"/>
      <c r="AF86" s="1"/>
      <c r="AG86" s="1"/>
      <c r="AH86" s="1"/>
      <c r="AI86" s="1"/>
      <c r="AJ86" s="1"/>
      <c r="AK86" s="1"/>
      <c r="AL86" s="1"/>
      <c r="AM86" s="31"/>
      <c r="AN86" s="31"/>
      <c r="AO86" s="31"/>
      <c r="AP86" s="31"/>
      <c r="AQ86" s="31"/>
      <c r="AR86" s="31"/>
      <c r="AS86" s="31"/>
      <c r="AT86" s="31"/>
      <c r="AU86" s="31"/>
      <c r="AV86" s="31"/>
      <c r="AW86" s="31"/>
      <c r="AX86" s="31"/>
      <c r="AY86" s="31"/>
    </row>
    <row r="87" spans="1:51" ht="15.75" customHeight="1" x14ac:dyDescent="0.25">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1"/>
      <c r="AC87" s="1"/>
      <c r="AD87" s="1"/>
      <c r="AE87" s="1"/>
      <c r="AF87" s="1"/>
      <c r="AG87" s="1"/>
      <c r="AH87" s="1"/>
      <c r="AI87" s="1"/>
      <c r="AJ87" s="1"/>
      <c r="AK87" s="1"/>
      <c r="AL87" s="1"/>
      <c r="AM87" s="31"/>
      <c r="AN87" s="31"/>
      <c r="AO87" s="31"/>
      <c r="AP87" s="31"/>
      <c r="AQ87" s="31"/>
      <c r="AR87" s="31"/>
      <c r="AS87" s="31"/>
      <c r="AT87" s="31"/>
      <c r="AU87" s="31"/>
      <c r="AV87" s="31"/>
      <c r="AW87" s="31"/>
      <c r="AX87" s="31"/>
      <c r="AY87" s="31"/>
    </row>
    <row r="88" spans="1:51" ht="15.75" customHeight="1" x14ac:dyDescent="0.25">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1"/>
      <c r="AC88" s="1"/>
      <c r="AD88" s="1"/>
      <c r="AE88" s="1"/>
      <c r="AF88" s="1"/>
      <c r="AG88" s="1"/>
      <c r="AH88" s="1"/>
      <c r="AI88" s="1"/>
      <c r="AJ88" s="1"/>
      <c r="AK88" s="1"/>
      <c r="AL88" s="1"/>
      <c r="AM88" s="31"/>
      <c r="AN88" s="31"/>
      <c r="AO88" s="31"/>
      <c r="AP88" s="31"/>
      <c r="AQ88" s="31"/>
      <c r="AR88" s="31"/>
      <c r="AS88" s="31"/>
      <c r="AT88" s="31"/>
      <c r="AU88" s="31"/>
      <c r="AV88" s="31"/>
      <c r="AW88" s="31"/>
      <c r="AX88" s="31"/>
      <c r="AY88" s="31"/>
    </row>
    <row r="89" spans="1:51" ht="15.75" customHeight="1" x14ac:dyDescent="0.25">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1"/>
      <c r="AC89" s="1"/>
      <c r="AD89" s="1"/>
      <c r="AE89" s="1"/>
      <c r="AF89" s="1"/>
      <c r="AG89" s="1"/>
      <c r="AH89" s="1"/>
      <c r="AI89" s="1"/>
      <c r="AJ89" s="1"/>
      <c r="AK89" s="1"/>
      <c r="AL89" s="1"/>
      <c r="AM89" s="31"/>
      <c r="AN89" s="31"/>
      <c r="AO89" s="31"/>
      <c r="AP89" s="31"/>
      <c r="AQ89" s="31"/>
      <c r="AR89" s="31"/>
      <c r="AS89" s="31"/>
      <c r="AT89" s="31"/>
      <c r="AU89" s="31"/>
      <c r="AV89" s="31"/>
      <c r="AW89" s="31"/>
      <c r="AX89" s="31"/>
      <c r="AY89" s="31"/>
    </row>
    <row r="90" spans="1:51" ht="15.75" customHeight="1" x14ac:dyDescent="0.2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1"/>
      <c r="AC90" s="1"/>
      <c r="AD90" s="1"/>
      <c r="AE90" s="1"/>
      <c r="AF90" s="1"/>
      <c r="AG90" s="1"/>
      <c r="AH90" s="1"/>
      <c r="AI90" s="1"/>
      <c r="AJ90" s="1"/>
      <c r="AK90" s="1"/>
      <c r="AL90" s="1"/>
      <c r="AM90" s="31"/>
      <c r="AN90" s="31"/>
      <c r="AO90" s="31"/>
      <c r="AP90" s="31"/>
      <c r="AQ90" s="31"/>
      <c r="AR90" s="31"/>
      <c r="AS90" s="31"/>
      <c r="AT90" s="31"/>
      <c r="AU90" s="31"/>
      <c r="AV90" s="31"/>
      <c r="AW90" s="31"/>
      <c r="AX90" s="31"/>
      <c r="AY90" s="31"/>
    </row>
    <row r="91" spans="1:51" ht="15.75" customHeight="1" x14ac:dyDescent="0.2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1"/>
      <c r="AC91" s="1"/>
      <c r="AD91" s="1"/>
      <c r="AE91" s="1"/>
      <c r="AF91" s="1"/>
      <c r="AG91" s="1"/>
      <c r="AH91" s="1"/>
      <c r="AI91" s="1"/>
      <c r="AJ91" s="1"/>
      <c r="AK91" s="1"/>
      <c r="AL91" s="1"/>
      <c r="AM91" s="31"/>
      <c r="AN91" s="31"/>
      <c r="AO91" s="31"/>
      <c r="AP91" s="31"/>
      <c r="AQ91" s="31"/>
      <c r="AR91" s="31"/>
      <c r="AS91" s="31"/>
      <c r="AT91" s="31"/>
      <c r="AU91" s="31"/>
      <c r="AV91" s="31"/>
      <c r="AW91" s="31"/>
      <c r="AX91" s="31"/>
      <c r="AY91" s="31"/>
    </row>
    <row r="92" spans="1:51" ht="15.75" customHeight="1" x14ac:dyDescent="0.2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1"/>
      <c r="AC92" s="1"/>
      <c r="AD92" s="1"/>
      <c r="AE92" s="1"/>
      <c r="AF92" s="1"/>
      <c r="AG92" s="1"/>
      <c r="AH92" s="1"/>
      <c r="AI92" s="1"/>
      <c r="AJ92" s="1"/>
      <c r="AK92" s="1"/>
      <c r="AL92" s="1"/>
      <c r="AM92" s="31"/>
      <c r="AN92" s="31"/>
      <c r="AO92" s="31"/>
      <c r="AP92" s="31"/>
      <c r="AQ92" s="31"/>
      <c r="AR92" s="31"/>
      <c r="AS92" s="31"/>
      <c r="AT92" s="31"/>
      <c r="AU92" s="31"/>
      <c r="AV92" s="31"/>
      <c r="AW92" s="31"/>
      <c r="AX92" s="31"/>
      <c r="AY92" s="31"/>
    </row>
    <row r="93" spans="1:51" ht="15.75" customHeight="1" x14ac:dyDescent="0.2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1"/>
      <c r="AC93" s="1"/>
      <c r="AD93" s="1"/>
      <c r="AE93" s="1"/>
      <c r="AF93" s="1"/>
      <c r="AG93" s="1"/>
      <c r="AH93" s="1"/>
      <c r="AI93" s="1"/>
      <c r="AJ93" s="1"/>
      <c r="AK93" s="1"/>
      <c r="AL93" s="1"/>
      <c r="AM93" s="31"/>
      <c r="AN93" s="31"/>
      <c r="AO93" s="31"/>
      <c r="AP93" s="31"/>
      <c r="AQ93" s="31"/>
      <c r="AR93" s="31"/>
      <c r="AS93" s="31"/>
      <c r="AT93" s="31"/>
      <c r="AU93" s="31"/>
      <c r="AV93" s="31"/>
      <c r="AW93" s="31"/>
      <c r="AX93" s="31"/>
      <c r="AY93" s="31"/>
    </row>
    <row r="94" spans="1:51" ht="15.75" customHeight="1" x14ac:dyDescent="0.2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1"/>
      <c r="AC94" s="1"/>
      <c r="AD94" s="1"/>
      <c r="AE94" s="1"/>
      <c r="AF94" s="1"/>
      <c r="AG94" s="1"/>
      <c r="AH94" s="1"/>
      <c r="AI94" s="1"/>
      <c r="AJ94" s="1"/>
      <c r="AK94" s="1"/>
      <c r="AL94" s="1"/>
      <c r="AM94" s="31"/>
      <c r="AN94" s="31"/>
      <c r="AO94" s="31"/>
      <c r="AP94" s="31"/>
      <c r="AQ94" s="31"/>
      <c r="AR94" s="31"/>
      <c r="AS94" s="31"/>
      <c r="AT94" s="31"/>
      <c r="AU94" s="31"/>
      <c r="AV94" s="31"/>
      <c r="AW94" s="31"/>
      <c r="AX94" s="31"/>
      <c r="AY94" s="31"/>
    </row>
    <row r="95" spans="1:51" ht="15.75" customHeight="1" x14ac:dyDescent="0.2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1"/>
      <c r="AC95" s="1"/>
      <c r="AD95" s="1"/>
      <c r="AE95" s="1"/>
      <c r="AF95" s="1"/>
      <c r="AG95" s="1"/>
      <c r="AH95" s="1"/>
      <c r="AI95" s="1"/>
      <c r="AJ95" s="1"/>
      <c r="AK95" s="1"/>
      <c r="AL95" s="1"/>
      <c r="AM95" s="31"/>
      <c r="AN95" s="31"/>
      <c r="AO95" s="31"/>
      <c r="AP95" s="31"/>
      <c r="AQ95" s="31"/>
      <c r="AR95" s="31"/>
      <c r="AS95" s="31"/>
      <c r="AT95" s="31"/>
      <c r="AU95" s="31"/>
      <c r="AV95" s="31"/>
      <c r="AW95" s="31"/>
      <c r="AX95" s="31"/>
      <c r="AY95" s="31"/>
    </row>
    <row r="96" spans="1:51" ht="15.75" customHeight="1" x14ac:dyDescent="0.25">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1"/>
      <c r="AC96" s="1"/>
      <c r="AD96" s="1"/>
      <c r="AE96" s="1"/>
      <c r="AF96" s="1"/>
      <c r="AG96" s="1"/>
      <c r="AH96" s="1"/>
      <c r="AI96" s="1"/>
      <c r="AJ96" s="1"/>
      <c r="AK96" s="1"/>
      <c r="AL96" s="1"/>
      <c r="AM96" s="31"/>
      <c r="AN96" s="31"/>
      <c r="AO96" s="31"/>
      <c r="AP96" s="31"/>
      <c r="AQ96" s="31"/>
      <c r="AR96" s="31"/>
      <c r="AS96" s="31"/>
      <c r="AT96" s="31"/>
      <c r="AU96" s="31"/>
      <c r="AV96" s="31"/>
      <c r="AW96" s="31"/>
      <c r="AX96" s="31"/>
      <c r="AY96" s="31"/>
    </row>
    <row r="97" spans="1:51" ht="15.75" customHeight="1" x14ac:dyDescent="0.25">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1"/>
      <c r="AC97" s="1"/>
      <c r="AD97" s="1"/>
      <c r="AE97" s="1"/>
      <c r="AF97" s="1"/>
      <c r="AG97" s="1"/>
      <c r="AH97" s="1"/>
      <c r="AI97" s="1"/>
      <c r="AJ97" s="1"/>
      <c r="AK97" s="1"/>
      <c r="AL97" s="1"/>
      <c r="AM97" s="31"/>
      <c r="AN97" s="31"/>
      <c r="AO97" s="31"/>
      <c r="AP97" s="31"/>
      <c r="AQ97" s="31"/>
      <c r="AR97" s="31"/>
      <c r="AS97" s="31"/>
      <c r="AT97" s="31"/>
      <c r="AU97" s="31"/>
      <c r="AV97" s="31"/>
      <c r="AW97" s="31"/>
      <c r="AX97" s="31"/>
      <c r="AY97" s="31"/>
    </row>
    <row r="98" spans="1:51" ht="15.75" customHeight="1" x14ac:dyDescent="0.25">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1"/>
      <c r="AC98" s="1"/>
      <c r="AD98" s="1"/>
      <c r="AE98" s="1"/>
      <c r="AF98" s="1"/>
      <c r="AG98" s="1"/>
      <c r="AH98" s="1"/>
      <c r="AI98" s="1"/>
      <c r="AJ98" s="1"/>
      <c r="AK98" s="1"/>
      <c r="AL98" s="1"/>
      <c r="AM98" s="31"/>
      <c r="AN98" s="31"/>
      <c r="AO98" s="31"/>
      <c r="AP98" s="31"/>
      <c r="AQ98" s="31"/>
      <c r="AR98" s="31"/>
      <c r="AS98" s="31"/>
      <c r="AT98" s="31"/>
      <c r="AU98" s="31"/>
      <c r="AV98" s="31"/>
      <c r="AW98" s="31"/>
      <c r="AX98" s="31"/>
      <c r="AY98" s="31"/>
    </row>
    <row r="99" spans="1:51" ht="15.75" customHeight="1" x14ac:dyDescent="0.2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1"/>
      <c r="AC99" s="1"/>
      <c r="AD99" s="1"/>
      <c r="AE99" s="1"/>
      <c r="AF99" s="1"/>
      <c r="AG99" s="1"/>
      <c r="AH99" s="1"/>
      <c r="AI99" s="1"/>
      <c r="AJ99" s="1"/>
      <c r="AK99" s="1"/>
      <c r="AL99" s="1"/>
      <c r="AM99" s="31"/>
      <c r="AN99" s="31"/>
      <c r="AO99" s="31"/>
      <c r="AP99" s="31"/>
      <c r="AQ99" s="31"/>
      <c r="AR99" s="31"/>
      <c r="AS99" s="31"/>
      <c r="AT99" s="31"/>
      <c r="AU99" s="31"/>
      <c r="AV99" s="31"/>
      <c r="AW99" s="31"/>
      <c r="AX99" s="31"/>
      <c r="AY99" s="31"/>
    </row>
    <row r="100" spans="1:51" ht="15.75" customHeight="1" x14ac:dyDescent="0.2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1"/>
      <c r="AC100" s="1"/>
      <c r="AD100" s="1"/>
      <c r="AE100" s="1"/>
      <c r="AF100" s="1"/>
      <c r="AG100" s="1"/>
      <c r="AH100" s="1"/>
      <c r="AI100" s="1"/>
      <c r="AJ100" s="1"/>
      <c r="AK100" s="1"/>
      <c r="AL100" s="1"/>
      <c r="AM100" s="31"/>
      <c r="AN100" s="31"/>
      <c r="AO100" s="31"/>
      <c r="AP100" s="31"/>
      <c r="AQ100" s="31"/>
      <c r="AR100" s="31"/>
      <c r="AS100" s="31"/>
      <c r="AT100" s="31"/>
      <c r="AU100" s="31"/>
      <c r="AV100" s="31"/>
      <c r="AW100" s="31"/>
      <c r="AX100" s="31"/>
      <c r="AY100" s="31"/>
    </row>
    <row r="101" spans="1:51" ht="15.75" customHeight="1" x14ac:dyDescent="0.2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1"/>
      <c r="AC101" s="1"/>
      <c r="AD101" s="1"/>
      <c r="AE101" s="1"/>
      <c r="AF101" s="1"/>
      <c r="AG101" s="1"/>
      <c r="AH101" s="1"/>
      <c r="AI101" s="1"/>
      <c r="AJ101" s="1"/>
      <c r="AK101" s="1"/>
      <c r="AL101" s="1"/>
      <c r="AM101" s="31"/>
      <c r="AN101" s="31"/>
      <c r="AO101" s="31"/>
      <c r="AP101" s="31"/>
      <c r="AQ101" s="31"/>
      <c r="AR101" s="31"/>
      <c r="AS101" s="31"/>
      <c r="AT101" s="31"/>
      <c r="AU101" s="31"/>
      <c r="AV101" s="31"/>
      <c r="AW101" s="31"/>
      <c r="AX101" s="31"/>
      <c r="AY101" s="31"/>
    </row>
    <row r="102" spans="1:51" ht="15.75" customHeight="1" x14ac:dyDescent="0.2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1"/>
      <c r="AC102" s="1"/>
      <c r="AD102" s="1"/>
      <c r="AE102" s="1"/>
      <c r="AF102" s="1"/>
      <c r="AG102" s="1"/>
      <c r="AH102" s="1"/>
      <c r="AI102" s="1"/>
      <c r="AJ102" s="1"/>
      <c r="AK102" s="1"/>
      <c r="AL102" s="1"/>
      <c r="AM102" s="31"/>
      <c r="AN102" s="31"/>
      <c r="AO102" s="31"/>
      <c r="AP102" s="31"/>
      <c r="AQ102" s="31"/>
      <c r="AR102" s="31"/>
      <c r="AS102" s="31"/>
      <c r="AT102" s="31"/>
      <c r="AU102" s="31"/>
      <c r="AV102" s="31"/>
      <c r="AW102" s="31"/>
      <c r="AX102" s="31"/>
      <c r="AY102" s="31"/>
    </row>
    <row r="103" spans="1:51" ht="15.75" customHeight="1" x14ac:dyDescent="0.2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1"/>
      <c r="AC103" s="1"/>
      <c r="AD103" s="1"/>
      <c r="AE103" s="1"/>
      <c r="AF103" s="1"/>
      <c r="AG103" s="1"/>
      <c r="AH103" s="1"/>
      <c r="AI103" s="1"/>
      <c r="AJ103" s="1"/>
      <c r="AK103" s="1"/>
      <c r="AL103" s="1"/>
      <c r="AM103" s="31"/>
      <c r="AN103" s="31"/>
      <c r="AO103" s="31"/>
      <c r="AP103" s="31"/>
      <c r="AQ103" s="31"/>
      <c r="AR103" s="31"/>
      <c r="AS103" s="31"/>
      <c r="AT103" s="31"/>
      <c r="AU103" s="31"/>
      <c r="AV103" s="31"/>
      <c r="AW103" s="31"/>
      <c r="AX103" s="31"/>
      <c r="AY103" s="31"/>
    </row>
    <row r="104" spans="1:51" ht="15.75" customHeight="1" x14ac:dyDescent="0.2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1"/>
      <c r="AC104" s="1"/>
      <c r="AD104" s="1"/>
      <c r="AE104" s="1"/>
      <c r="AF104" s="1"/>
      <c r="AG104" s="1"/>
      <c r="AH104" s="1"/>
      <c r="AI104" s="1"/>
      <c r="AJ104" s="1"/>
      <c r="AK104" s="1"/>
      <c r="AL104" s="1"/>
      <c r="AM104" s="31"/>
      <c r="AN104" s="31"/>
      <c r="AO104" s="31"/>
      <c r="AP104" s="31"/>
      <c r="AQ104" s="31"/>
      <c r="AR104" s="31"/>
      <c r="AS104" s="31"/>
      <c r="AT104" s="31"/>
      <c r="AU104" s="31"/>
      <c r="AV104" s="31"/>
      <c r="AW104" s="31"/>
      <c r="AX104" s="31"/>
      <c r="AY104" s="31"/>
    </row>
    <row r="105" spans="1:51" ht="15.75" customHeight="1" x14ac:dyDescent="0.2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1"/>
      <c r="AC105" s="1"/>
      <c r="AD105" s="1"/>
      <c r="AE105" s="1"/>
      <c r="AF105" s="1"/>
      <c r="AG105" s="1"/>
      <c r="AH105" s="1"/>
      <c r="AI105" s="1"/>
      <c r="AJ105" s="1"/>
      <c r="AK105" s="1"/>
      <c r="AL105" s="1"/>
      <c r="AM105" s="31"/>
      <c r="AN105" s="31"/>
      <c r="AO105" s="31"/>
      <c r="AP105" s="31"/>
      <c r="AQ105" s="31"/>
      <c r="AR105" s="31"/>
      <c r="AS105" s="31"/>
      <c r="AT105" s="31"/>
      <c r="AU105" s="31"/>
      <c r="AV105" s="31"/>
      <c r="AW105" s="31"/>
      <c r="AX105" s="31"/>
      <c r="AY105" s="31"/>
    </row>
    <row r="106" spans="1:51" ht="15.75" customHeight="1" x14ac:dyDescent="0.2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1"/>
      <c r="AC106" s="1"/>
      <c r="AD106" s="1"/>
      <c r="AE106" s="1"/>
      <c r="AF106" s="1"/>
      <c r="AG106" s="1"/>
      <c r="AH106" s="1"/>
      <c r="AI106" s="1"/>
      <c r="AJ106" s="1"/>
      <c r="AK106" s="1"/>
      <c r="AL106" s="1"/>
      <c r="AM106" s="31"/>
      <c r="AN106" s="31"/>
      <c r="AO106" s="31"/>
      <c r="AP106" s="31"/>
      <c r="AQ106" s="31"/>
      <c r="AR106" s="31"/>
      <c r="AS106" s="31"/>
      <c r="AT106" s="31"/>
      <c r="AU106" s="31"/>
      <c r="AV106" s="31"/>
      <c r="AW106" s="31"/>
      <c r="AX106" s="31"/>
      <c r="AY106" s="31"/>
    </row>
    <row r="107" spans="1:51" ht="15.75" customHeight="1" x14ac:dyDescent="0.2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1"/>
      <c r="AC107" s="1"/>
      <c r="AD107" s="1"/>
      <c r="AE107" s="1"/>
      <c r="AF107" s="1"/>
      <c r="AG107" s="1"/>
      <c r="AH107" s="1"/>
      <c r="AI107" s="1"/>
      <c r="AJ107" s="1"/>
      <c r="AK107" s="1"/>
      <c r="AL107" s="1"/>
      <c r="AM107" s="31"/>
      <c r="AN107" s="31"/>
      <c r="AO107" s="31"/>
      <c r="AP107" s="31"/>
      <c r="AQ107" s="31"/>
      <c r="AR107" s="31"/>
      <c r="AS107" s="31"/>
      <c r="AT107" s="31"/>
      <c r="AU107" s="31"/>
      <c r="AV107" s="31"/>
      <c r="AW107" s="31"/>
      <c r="AX107" s="31"/>
      <c r="AY107" s="31"/>
    </row>
    <row r="108" spans="1:51" ht="15.75" customHeight="1" x14ac:dyDescent="0.2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1"/>
      <c r="AC108" s="1"/>
      <c r="AD108" s="1"/>
      <c r="AE108" s="1"/>
      <c r="AF108" s="1"/>
      <c r="AG108" s="1"/>
      <c r="AH108" s="1"/>
      <c r="AI108" s="1"/>
      <c r="AJ108" s="1"/>
      <c r="AK108" s="1"/>
      <c r="AL108" s="1"/>
      <c r="AM108" s="31"/>
      <c r="AN108" s="31"/>
      <c r="AO108" s="31"/>
      <c r="AP108" s="31"/>
      <c r="AQ108" s="31"/>
      <c r="AR108" s="31"/>
      <c r="AS108" s="31"/>
      <c r="AT108" s="31"/>
      <c r="AU108" s="31"/>
      <c r="AV108" s="31"/>
      <c r="AW108" s="31"/>
      <c r="AX108" s="31"/>
      <c r="AY108" s="31"/>
    </row>
    <row r="109" spans="1:51" ht="15.75" customHeight="1" x14ac:dyDescent="0.2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1"/>
      <c r="AC109" s="1"/>
      <c r="AD109" s="1"/>
      <c r="AE109" s="1"/>
      <c r="AF109" s="1"/>
      <c r="AG109" s="1"/>
      <c r="AH109" s="1"/>
      <c r="AI109" s="1"/>
      <c r="AJ109" s="1"/>
      <c r="AK109" s="1"/>
      <c r="AL109" s="1"/>
      <c r="AM109" s="31"/>
      <c r="AN109" s="31"/>
      <c r="AO109" s="31"/>
      <c r="AP109" s="31"/>
      <c r="AQ109" s="31"/>
      <c r="AR109" s="31"/>
      <c r="AS109" s="31"/>
      <c r="AT109" s="31"/>
      <c r="AU109" s="31"/>
      <c r="AV109" s="31"/>
      <c r="AW109" s="31"/>
      <c r="AX109" s="31"/>
      <c r="AY109" s="31"/>
    </row>
    <row r="110" spans="1:51" ht="15.75" customHeight="1" x14ac:dyDescent="0.2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1"/>
      <c r="AC110" s="1"/>
      <c r="AD110" s="1"/>
      <c r="AE110" s="1"/>
      <c r="AF110" s="1"/>
      <c r="AG110" s="1"/>
      <c r="AH110" s="1"/>
      <c r="AI110" s="1"/>
      <c r="AJ110" s="1"/>
      <c r="AK110" s="1"/>
      <c r="AL110" s="1"/>
      <c r="AM110" s="31"/>
      <c r="AN110" s="31"/>
      <c r="AO110" s="31"/>
      <c r="AP110" s="31"/>
      <c r="AQ110" s="31"/>
      <c r="AR110" s="31"/>
      <c r="AS110" s="31"/>
      <c r="AT110" s="31"/>
      <c r="AU110" s="31"/>
      <c r="AV110" s="31"/>
      <c r="AW110" s="31"/>
      <c r="AX110" s="31"/>
      <c r="AY110" s="31"/>
    </row>
    <row r="111" spans="1:51" ht="15.75" customHeight="1" x14ac:dyDescent="0.2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1"/>
      <c r="AC111" s="1"/>
      <c r="AD111" s="1"/>
      <c r="AE111" s="1"/>
      <c r="AF111" s="1"/>
      <c r="AG111" s="1"/>
      <c r="AH111" s="1"/>
      <c r="AI111" s="1"/>
      <c r="AJ111" s="1"/>
      <c r="AK111" s="1"/>
      <c r="AL111" s="1"/>
      <c r="AM111" s="31"/>
      <c r="AN111" s="31"/>
      <c r="AO111" s="31"/>
      <c r="AP111" s="31"/>
      <c r="AQ111" s="31"/>
      <c r="AR111" s="31"/>
      <c r="AS111" s="31"/>
      <c r="AT111" s="31"/>
      <c r="AU111" s="31"/>
      <c r="AV111" s="31"/>
      <c r="AW111" s="31"/>
      <c r="AX111" s="31"/>
      <c r="AY111" s="31"/>
    </row>
    <row r="112" spans="1:51" ht="15.75" customHeight="1" x14ac:dyDescent="0.2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1"/>
      <c r="AC112" s="1"/>
      <c r="AD112" s="1"/>
      <c r="AE112" s="1"/>
      <c r="AF112" s="1"/>
      <c r="AG112" s="1"/>
      <c r="AH112" s="1"/>
      <c r="AI112" s="1"/>
      <c r="AJ112" s="1"/>
      <c r="AK112" s="1"/>
      <c r="AL112" s="1"/>
      <c r="AM112" s="31"/>
      <c r="AN112" s="31"/>
      <c r="AO112" s="31"/>
      <c r="AP112" s="31"/>
      <c r="AQ112" s="31"/>
      <c r="AR112" s="31"/>
      <c r="AS112" s="31"/>
      <c r="AT112" s="31"/>
      <c r="AU112" s="31"/>
      <c r="AV112" s="31"/>
      <c r="AW112" s="31"/>
      <c r="AX112" s="31"/>
      <c r="AY112" s="31"/>
    </row>
    <row r="113" spans="1:51" ht="15.75" customHeight="1" x14ac:dyDescent="0.2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1"/>
      <c r="AC113" s="1"/>
      <c r="AD113" s="1"/>
      <c r="AE113" s="1"/>
      <c r="AF113" s="1"/>
      <c r="AG113" s="1"/>
      <c r="AH113" s="1"/>
      <c r="AI113" s="1"/>
      <c r="AJ113" s="1"/>
      <c r="AK113" s="1"/>
      <c r="AL113" s="1"/>
      <c r="AM113" s="31"/>
      <c r="AN113" s="31"/>
      <c r="AO113" s="31"/>
      <c r="AP113" s="31"/>
      <c r="AQ113" s="31"/>
      <c r="AR113" s="31"/>
      <c r="AS113" s="31"/>
      <c r="AT113" s="31"/>
      <c r="AU113" s="31"/>
      <c r="AV113" s="31"/>
      <c r="AW113" s="31"/>
      <c r="AX113" s="31"/>
      <c r="AY113" s="31"/>
    </row>
    <row r="114" spans="1:51" ht="15.75" customHeight="1" x14ac:dyDescent="0.2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1"/>
      <c r="AC114" s="1"/>
      <c r="AD114" s="1"/>
      <c r="AE114" s="1"/>
      <c r="AF114" s="1"/>
      <c r="AG114" s="1"/>
      <c r="AH114" s="1"/>
      <c r="AI114" s="1"/>
      <c r="AJ114" s="1"/>
      <c r="AK114" s="1"/>
      <c r="AL114" s="1"/>
      <c r="AM114" s="31"/>
      <c r="AN114" s="31"/>
      <c r="AO114" s="31"/>
      <c r="AP114" s="31"/>
      <c r="AQ114" s="31"/>
      <c r="AR114" s="31"/>
      <c r="AS114" s="31"/>
      <c r="AT114" s="31"/>
      <c r="AU114" s="31"/>
      <c r="AV114" s="31"/>
      <c r="AW114" s="31"/>
      <c r="AX114" s="31"/>
      <c r="AY114" s="31"/>
    </row>
    <row r="115" spans="1:51" ht="15.75" customHeight="1" x14ac:dyDescent="0.2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1"/>
      <c r="AC115" s="1"/>
      <c r="AD115" s="1"/>
      <c r="AE115" s="1"/>
      <c r="AF115" s="1"/>
      <c r="AG115" s="1"/>
      <c r="AH115" s="1"/>
      <c r="AI115" s="1"/>
      <c r="AJ115" s="1"/>
      <c r="AK115" s="1"/>
      <c r="AL115" s="1"/>
      <c r="AM115" s="31"/>
      <c r="AN115" s="31"/>
      <c r="AO115" s="31"/>
      <c r="AP115" s="31"/>
      <c r="AQ115" s="31"/>
      <c r="AR115" s="31"/>
      <c r="AS115" s="31"/>
      <c r="AT115" s="31"/>
      <c r="AU115" s="31"/>
      <c r="AV115" s="31"/>
      <c r="AW115" s="31"/>
      <c r="AX115" s="31"/>
      <c r="AY115" s="31"/>
    </row>
    <row r="116" spans="1:51" ht="15.75" customHeight="1" x14ac:dyDescent="0.2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1"/>
      <c r="AC116" s="1"/>
      <c r="AD116" s="1"/>
      <c r="AE116" s="1"/>
      <c r="AF116" s="1"/>
      <c r="AG116" s="1"/>
      <c r="AH116" s="1"/>
      <c r="AI116" s="1"/>
      <c r="AJ116" s="1"/>
      <c r="AK116" s="1"/>
      <c r="AL116" s="1"/>
      <c r="AM116" s="31"/>
      <c r="AN116" s="31"/>
      <c r="AO116" s="31"/>
      <c r="AP116" s="31"/>
      <c r="AQ116" s="31"/>
      <c r="AR116" s="31"/>
      <c r="AS116" s="31"/>
      <c r="AT116" s="31"/>
      <c r="AU116" s="31"/>
      <c r="AV116" s="31"/>
      <c r="AW116" s="31"/>
      <c r="AX116" s="31"/>
      <c r="AY116" s="31"/>
    </row>
    <row r="117" spans="1:51" ht="15.75" customHeight="1" x14ac:dyDescent="0.2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1"/>
      <c r="AC117" s="1"/>
      <c r="AD117" s="1"/>
      <c r="AE117" s="1"/>
      <c r="AF117" s="1"/>
      <c r="AG117" s="1"/>
      <c r="AH117" s="1"/>
      <c r="AI117" s="1"/>
      <c r="AJ117" s="1"/>
      <c r="AK117" s="1"/>
      <c r="AL117" s="1"/>
      <c r="AM117" s="31"/>
      <c r="AN117" s="31"/>
      <c r="AO117" s="31"/>
      <c r="AP117" s="31"/>
      <c r="AQ117" s="31"/>
      <c r="AR117" s="31"/>
      <c r="AS117" s="31"/>
      <c r="AT117" s="31"/>
      <c r="AU117" s="31"/>
      <c r="AV117" s="31"/>
      <c r="AW117" s="31"/>
      <c r="AX117" s="31"/>
      <c r="AY117" s="31"/>
    </row>
    <row r="118" spans="1:51" ht="15.75" customHeight="1" x14ac:dyDescent="0.2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1"/>
      <c r="AC118" s="1"/>
      <c r="AD118" s="1"/>
      <c r="AE118" s="1"/>
      <c r="AF118" s="1"/>
      <c r="AG118" s="1"/>
      <c r="AH118" s="1"/>
      <c r="AI118" s="1"/>
      <c r="AJ118" s="1"/>
      <c r="AK118" s="1"/>
      <c r="AL118" s="1"/>
      <c r="AM118" s="31"/>
      <c r="AN118" s="31"/>
      <c r="AO118" s="31"/>
      <c r="AP118" s="31"/>
      <c r="AQ118" s="31"/>
      <c r="AR118" s="31"/>
      <c r="AS118" s="31"/>
      <c r="AT118" s="31"/>
      <c r="AU118" s="31"/>
      <c r="AV118" s="31"/>
      <c r="AW118" s="31"/>
      <c r="AX118" s="31"/>
      <c r="AY118" s="31"/>
    </row>
    <row r="119" spans="1:51" ht="15.75" customHeight="1" x14ac:dyDescent="0.2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1"/>
      <c r="AC119" s="1"/>
      <c r="AD119" s="1"/>
      <c r="AE119" s="1"/>
      <c r="AF119" s="1"/>
      <c r="AG119" s="1"/>
      <c r="AH119" s="1"/>
      <c r="AI119" s="1"/>
      <c r="AJ119" s="1"/>
      <c r="AK119" s="1"/>
      <c r="AL119" s="1"/>
      <c r="AM119" s="31"/>
      <c r="AN119" s="31"/>
      <c r="AO119" s="31"/>
      <c r="AP119" s="31"/>
      <c r="AQ119" s="31"/>
      <c r="AR119" s="31"/>
      <c r="AS119" s="31"/>
      <c r="AT119" s="31"/>
      <c r="AU119" s="31"/>
      <c r="AV119" s="31"/>
      <c r="AW119" s="31"/>
      <c r="AX119" s="31"/>
      <c r="AY119" s="31"/>
    </row>
    <row r="120" spans="1:51" ht="15.75" customHeight="1" x14ac:dyDescent="0.2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1"/>
      <c r="AC120" s="1"/>
      <c r="AD120" s="1"/>
      <c r="AE120" s="1"/>
      <c r="AF120" s="1"/>
      <c r="AG120" s="1"/>
      <c r="AH120" s="1"/>
      <c r="AI120" s="1"/>
      <c r="AJ120" s="1"/>
      <c r="AK120" s="1"/>
      <c r="AL120" s="1"/>
      <c r="AM120" s="31"/>
      <c r="AN120" s="31"/>
      <c r="AO120" s="31"/>
      <c r="AP120" s="31"/>
      <c r="AQ120" s="31"/>
      <c r="AR120" s="31"/>
      <c r="AS120" s="31"/>
      <c r="AT120" s="31"/>
      <c r="AU120" s="31"/>
      <c r="AV120" s="31"/>
      <c r="AW120" s="31"/>
      <c r="AX120" s="31"/>
      <c r="AY120" s="31"/>
    </row>
    <row r="121" spans="1:51" ht="15.75" customHeight="1" x14ac:dyDescent="0.2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1"/>
      <c r="AC121" s="1"/>
      <c r="AD121" s="1"/>
      <c r="AE121" s="1"/>
      <c r="AF121" s="1"/>
      <c r="AG121" s="1"/>
      <c r="AH121" s="1"/>
      <c r="AI121" s="1"/>
      <c r="AJ121" s="1"/>
      <c r="AK121" s="1"/>
      <c r="AL121" s="1"/>
      <c r="AM121" s="31"/>
      <c r="AN121" s="31"/>
      <c r="AO121" s="31"/>
      <c r="AP121" s="31"/>
      <c r="AQ121" s="31"/>
      <c r="AR121" s="31"/>
      <c r="AS121" s="31"/>
      <c r="AT121" s="31"/>
      <c r="AU121" s="31"/>
      <c r="AV121" s="31"/>
      <c r="AW121" s="31"/>
      <c r="AX121" s="31"/>
      <c r="AY121" s="31"/>
    </row>
    <row r="122" spans="1:51" ht="15.75" customHeight="1" x14ac:dyDescent="0.2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1"/>
      <c r="AC122" s="1"/>
      <c r="AD122" s="1"/>
      <c r="AE122" s="1"/>
      <c r="AF122" s="1"/>
      <c r="AG122" s="1"/>
      <c r="AH122" s="1"/>
      <c r="AI122" s="1"/>
      <c r="AJ122" s="1"/>
      <c r="AK122" s="1"/>
      <c r="AL122" s="1"/>
      <c r="AM122" s="31"/>
      <c r="AN122" s="31"/>
      <c r="AO122" s="31"/>
      <c r="AP122" s="31"/>
      <c r="AQ122" s="31"/>
      <c r="AR122" s="31"/>
      <c r="AS122" s="31"/>
      <c r="AT122" s="31"/>
      <c r="AU122" s="31"/>
      <c r="AV122" s="31"/>
      <c r="AW122" s="31"/>
      <c r="AX122" s="31"/>
      <c r="AY122" s="31"/>
    </row>
    <row r="123" spans="1:51" ht="15.75" customHeight="1" x14ac:dyDescent="0.2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1"/>
      <c r="AC123" s="1"/>
      <c r="AD123" s="1"/>
      <c r="AE123" s="1"/>
      <c r="AF123" s="1"/>
      <c r="AG123" s="1"/>
      <c r="AH123" s="1"/>
      <c r="AI123" s="1"/>
      <c r="AJ123" s="1"/>
      <c r="AK123" s="1"/>
      <c r="AL123" s="1"/>
      <c r="AM123" s="31"/>
      <c r="AN123" s="31"/>
      <c r="AO123" s="31"/>
      <c r="AP123" s="31"/>
      <c r="AQ123" s="31"/>
      <c r="AR123" s="31"/>
      <c r="AS123" s="31"/>
      <c r="AT123" s="31"/>
      <c r="AU123" s="31"/>
      <c r="AV123" s="31"/>
      <c r="AW123" s="31"/>
      <c r="AX123" s="31"/>
      <c r="AY123" s="31"/>
    </row>
    <row r="124" spans="1:51" ht="15.75" customHeight="1" x14ac:dyDescent="0.2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1"/>
      <c r="AC124" s="1"/>
      <c r="AD124" s="1"/>
      <c r="AE124" s="1"/>
      <c r="AF124" s="1"/>
      <c r="AG124" s="1"/>
      <c r="AH124" s="1"/>
      <c r="AI124" s="1"/>
      <c r="AJ124" s="1"/>
      <c r="AK124" s="1"/>
      <c r="AL124" s="1"/>
      <c r="AM124" s="31"/>
      <c r="AN124" s="31"/>
      <c r="AO124" s="31"/>
      <c r="AP124" s="31"/>
      <c r="AQ124" s="31"/>
      <c r="AR124" s="31"/>
      <c r="AS124" s="31"/>
      <c r="AT124" s="31"/>
      <c r="AU124" s="31"/>
      <c r="AV124" s="31"/>
      <c r="AW124" s="31"/>
      <c r="AX124" s="31"/>
      <c r="AY124" s="31"/>
    </row>
    <row r="125" spans="1:51" ht="15.75" customHeight="1" x14ac:dyDescent="0.2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1"/>
      <c r="AC125" s="1"/>
      <c r="AD125" s="1"/>
      <c r="AE125" s="1"/>
      <c r="AF125" s="1"/>
      <c r="AG125" s="1"/>
      <c r="AH125" s="1"/>
      <c r="AI125" s="1"/>
      <c r="AJ125" s="1"/>
      <c r="AK125" s="1"/>
      <c r="AL125" s="1"/>
      <c r="AM125" s="31"/>
      <c r="AN125" s="31"/>
      <c r="AO125" s="31"/>
      <c r="AP125" s="31"/>
      <c r="AQ125" s="31"/>
      <c r="AR125" s="31"/>
      <c r="AS125" s="31"/>
      <c r="AT125" s="31"/>
      <c r="AU125" s="31"/>
      <c r="AV125" s="31"/>
      <c r="AW125" s="31"/>
      <c r="AX125" s="31"/>
      <c r="AY125" s="31"/>
    </row>
    <row r="126" spans="1:51" ht="15.75" customHeight="1" x14ac:dyDescent="0.2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1"/>
      <c r="AC126" s="1"/>
      <c r="AD126" s="1"/>
      <c r="AE126" s="1"/>
      <c r="AF126" s="1"/>
      <c r="AG126" s="1"/>
      <c r="AH126" s="1"/>
      <c r="AI126" s="1"/>
      <c r="AJ126" s="1"/>
      <c r="AK126" s="1"/>
      <c r="AL126" s="1"/>
      <c r="AM126" s="31"/>
      <c r="AN126" s="31"/>
      <c r="AO126" s="31"/>
      <c r="AP126" s="31"/>
      <c r="AQ126" s="31"/>
      <c r="AR126" s="31"/>
      <c r="AS126" s="31"/>
      <c r="AT126" s="31"/>
      <c r="AU126" s="31"/>
      <c r="AV126" s="31"/>
      <c r="AW126" s="31"/>
      <c r="AX126" s="31"/>
      <c r="AY126" s="31"/>
    </row>
    <row r="127" spans="1:51" ht="15.75" customHeight="1" x14ac:dyDescent="0.2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1"/>
      <c r="AC127" s="1"/>
      <c r="AD127" s="1"/>
      <c r="AE127" s="1"/>
      <c r="AF127" s="1"/>
      <c r="AG127" s="1"/>
      <c r="AH127" s="1"/>
      <c r="AI127" s="1"/>
      <c r="AJ127" s="1"/>
      <c r="AK127" s="1"/>
      <c r="AL127" s="1"/>
      <c r="AM127" s="31"/>
      <c r="AN127" s="31"/>
      <c r="AO127" s="31"/>
      <c r="AP127" s="31"/>
      <c r="AQ127" s="31"/>
      <c r="AR127" s="31"/>
      <c r="AS127" s="31"/>
      <c r="AT127" s="31"/>
      <c r="AU127" s="31"/>
      <c r="AV127" s="31"/>
      <c r="AW127" s="31"/>
      <c r="AX127" s="31"/>
      <c r="AY127" s="31"/>
    </row>
    <row r="128" spans="1:51" ht="15.75" customHeight="1" x14ac:dyDescent="0.2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1"/>
      <c r="AC128" s="1"/>
      <c r="AD128" s="1"/>
      <c r="AE128" s="1"/>
      <c r="AF128" s="1"/>
      <c r="AG128" s="1"/>
      <c r="AH128" s="1"/>
      <c r="AI128" s="1"/>
      <c r="AJ128" s="1"/>
      <c r="AK128" s="1"/>
      <c r="AL128" s="1"/>
      <c r="AM128" s="31"/>
      <c r="AN128" s="31"/>
      <c r="AO128" s="31"/>
      <c r="AP128" s="31"/>
      <c r="AQ128" s="31"/>
      <c r="AR128" s="31"/>
      <c r="AS128" s="31"/>
      <c r="AT128" s="31"/>
      <c r="AU128" s="31"/>
      <c r="AV128" s="31"/>
      <c r="AW128" s="31"/>
      <c r="AX128" s="31"/>
      <c r="AY128" s="31"/>
    </row>
    <row r="129" spans="1:51" ht="15.75" customHeight="1" x14ac:dyDescent="0.2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1"/>
      <c r="AC129" s="1"/>
      <c r="AD129" s="1"/>
      <c r="AE129" s="1"/>
      <c r="AF129" s="1"/>
      <c r="AG129" s="1"/>
      <c r="AH129" s="1"/>
      <c r="AI129" s="1"/>
      <c r="AJ129" s="1"/>
      <c r="AK129" s="1"/>
      <c r="AL129" s="1"/>
      <c r="AM129" s="31"/>
      <c r="AN129" s="31"/>
      <c r="AO129" s="31"/>
      <c r="AP129" s="31"/>
      <c r="AQ129" s="31"/>
      <c r="AR129" s="31"/>
      <c r="AS129" s="31"/>
      <c r="AT129" s="31"/>
      <c r="AU129" s="31"/>
      <c r="AV129" s="31"/>
      <c r="AW129" s="31"/>
      <c r="AX129" s="31"/>
      <c r="AY129" s="31"/>
    </row>
    <row r="130" spans="1:51" ht="15.75" customHeight="1" x14ac:dyDescent="0.2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1"/>
      <c r="AC130" s="1"/>
      <c r="AD130" s="1"/>
      <c r="AE130" s="1"/>
      <c r="AF130" s="1"/>
      <c r="AG130" s="1"/>
      <c r="AH130" s="1"/>
      <c r="AI130" s="1"/>
      <c r="AJ130" s="1"/>
      <c r="AK130" s="1"/>
      <c r="AL130" s="1"/>
      <c r="AM130" s="31"/>
      <c r="AN130" s="31"/>
      <c r="AO130" s="31"/>
      <c r="AP130" s="31"/>
      <c r="AQ130" s="31"/>
      <c r="AR130" s="31"/>
      <c r="AS130" s="31"/>
      <c r="AT130" s="31"/>
      <c r="AU130" s="31"/>
      <c r="AV130" s="31"/>
      <c r="AW130" s="31"/>
      <c r="AX130" s="31"/>
      <c r="AY130" s="31"/>
    </row>
    <row r="131" spans="1:51" ht="15.75" customHeight="1" x14ac:dyDescent="0.2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1"/>
      <c r="AC131" s="1"/>
      <c r="AD131" s="1"/>
      <c r="AE131" s="1"/>
      <c r="AF131" s="1"/>
      <c r="AG131" s="1"/>
      <c r="AH131" s="1"/>
      <c r="AI131" s="1"/>
      <c r="AJ131" s="1"/>
      <c r="AK131" s="1"/>
      <c r="AL131" s="1"/>
      <c r="AM131" s="31"/>
      <c r="AN131" s="31"/>
      <c r="AO131" s="31"/>
      <c r="AP131" s="31"/>
      <c r="AQ131" s="31"/>
      <c r="AR131" s="31"/>
      <c r="AS131" s="31"/>
      <c r="AT131" s="31"/>
      <c r="AU131" s="31"/>
      <c r="AV131" s="31"/>
      <c r="AW131" s="31"/>
      <c r="AX131" s="31"/>
      <c r="AY131" s="31"/>
    </row>
    <row r="132" spans="1:51" ht="15.75" customHeight="1" x14ac:dyDescent="0.2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1"/>
      <c r="AC132" s="1"/>
      <c r="AD132" s="1"/>
      <c r="AE132" s="1"/>
      <c r="AF132" s="1"/>
      <c r="AG132" s="1"/>
      <c r="AH132" s="1"/>
      <c r="AI132" s="1"/>
      <c r="AJ132" s="1"/>
      <c r="AK132" s="1"/>
      <c r="AL132" s="1"/>
      <c r="AM132" s="31"/>
      <c r="AN132" s="31"/>
      <c r="AO132" s="31"/>
      <c r="AP132" s="31"/>
      <c r="AQ132" s="31"/>
      <c r="AR132" s="31"/>
      <c r="AS132" s="31"/>
      <c r="AT132" s="31"/>
      <c r="AU132" s="31"/>
      <c r="AV132" s="31"/>
      <c r="AW132" s="31"/>
      <c r="AX132" s="31"/>
      <c r="AY132" s="31"/>
    </row>
    <row r="133" spans="1:51" ht="15.75" customHeight="1" x14ac:dyDescent="0.2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1"/>
      <c r="AC133" s="1"/>
      <c r="AD133" s="1"/>
      <c r="AE133" s="1"/>
      <c r="AF133" s="1"/>
      <c r="AG133" s="1"/>
      <c r="AH133" s="1"/>
      <c r="AI133" s="1"/>
      <c r="AJ133" s="1"/>
      <c r="AK133" s="1"/>
      <c r="AL133" s="1"/>
      <c r="AM133" s="31"/>
      <c r="AN133" s="31"/>
      <c r="AO133" s="31"/>
      <c r="AP133" s="31"/>
      <c r="AQ133" s="31"/>
      <c r="AR133" s="31"/>
      <c r="AS133" s="31"/>
      <c r="AT133" s="31"/>
      <c r="AU133" s="31"/>
      <c r="AV133" s="31"/>
      <c r="AW133" s="31"/>
      <c r="AX133" s="31"/>
      <c r="AY133" s="31"/>
    </row>
    <row r="134" spans="1:51" ht="15.75" customHeight="1" x14ac:dyDescent="0.2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1"/>
      <c r="AC134" s="1"/>
      <c r="AD134" s="1"/>
      <c r="AE134" s="1"/>
      <c r="AF134" s="1"/>
      <c r="AG134" s="1"/>
      <c r="AH134" s="1"/>
      <c r="AI134" s="1"/>
      <c r="AJ134" s="1"/>
      <c r="AK134" s="1"/>
      <c r="AL134" s="1"/>
      <c r="AM134" s="31"/>
      <c r="AN134" s="31"/>
      <c r="AO134" s="31"/>
      <c r="AP134" s="31"/>
      <c r="AQ134" s="31"/>
      <c r="AR134" s="31"/>
      <c r="AS134" s="31"/>
      <c r="AT134" s="31"/>
      <c r="AU134" s="31"/>
      <c r="AV134" s="31"/>
      <c r="AW134" s="31"/>
      <c r="AX134" s="31"/>
      <c r="AY134" s="31"/>
    </row>
    <row r="135" spans="1:51" ht="15.75" customHeight="1" x14ac:dyDescent="0.2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1"/>
      <c r="AC135" s="1"/>
      <c r="AD135" s="1"/>
      <c r="AE135" s="1"/>
      <c r="AF135" s="1"/>
      <c r="AG135" s="1"/>
      <c r="AH135" s="1"/>
      <c r="AI135" s="1"/>
      <c r="AJ135" s="1"/>
      <c r="AK135" s="1"/>
      <c r="AL135" s="1"/>
      <c r="AM135" s="31"/>
      <c r="AN135" s="31"/>
      <c r="AO135" s="31"/>
      <c r="AP135" s="31"/>
      <c r="AQ135" s="31"/>
      <c r="AR135" s="31"/>
      <c r="AS135" s="31"/>
      <c r="AT135" s="31"/>
      <c r="AU135" s="31"/>
      <c r="AV135" s="31"/>
      <c r="AW135" s="31"/>
      <c r="AX135" s="31"/>
      <c r="AY135" s="31"/>
    </row>
    <row r="136" spans="1:51" ht="15.75" customHeight="1" x14ac:dyDescent="0.2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1"/>
      <c r="AC136" s="1"/>
      <c r="AD136" s="1"/>
      <c r="AE136" s="1"/>
      <c r="AF136" s="1"/>
      <c r="AG136" s="1"/>
      <c r="AH136" s="1"/>
      <c r="AI136" s="1"/>
      <c r="AJ136" s="1"/>
      <c r="AK136" s="1"/>
      <c r="AL136" s="1"/>
      <c r="AM136" s="31"/>
      <c r="AN136" s="31"/>
      <c r="AO136" s="31"/>
      <c r="AP136" s="31"/>
      <c r="AQ136" s="31"/>
      <c r="AR136" s="31"/>
      <c r="AS136" s="31"/>
      <c r="AT136" s="31"/>
      <c r="AU136" s="31"/>
      <c r="AV136" s="31"/>
      <c r="AW136" s="31"/>
      <c r="AX136" s="31"/>
      <c r="AY136" s="31"/>
    </row>
    <row r="137" spans="1:51" ht="15.75" customHeight="1" x14ac:dyDescent="0.2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1"/>
      <c r="AC137" s="1"/>
      <c r="AD137" s="1"/>
      <c r="AE137" s="1"/>
      <c r="AF137" s="1"/>
      <c r="AG137" s="1"/>
      <c r="AH137" s="1"/>
      <c r="AI137" s="1"/>
      <c r="AJ137" s="1"/>
      <c r="AK137" s="1"/>
      <c r="AL137" s="1"/>
      <c r="AM137" s="31"/>
      <c r="AN137" s="31"/>
      <c r="AO137" s="31"/>
      <c r="AP137" s="31"/>
      <c r="AQ137" s="31"/>
      <c r="AR137" s="31"/>
      <c r="AS137" s="31"/>
      <c r="AT137" s="31"/>
      <c r="AU137" s="31"/>
      <c r="AV137" s="31"/>
      <c r="AW137" s="31"/>
      <c r="AX137" s="31"/>
      <c r="AY137" s="31"/>
    </row>
    <row r="138" spans="1:51" ht="15.75" customHeight="1" x14ac:dyDescent="0.2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1"/>
      <c r="AC138" s="1"/>
      <c r="AD138" s="1"/>
      <c r="AE138" s="1"/>
      <c r="AF138" s="1"/>
      <c r="AG138" s="1"/>
      <c r="AH138" s="1"/>
      <c r="AI138" s="1"/>
      <c r="AJ138" s="1"/>
      <c r="AK138" s="1"/>
      <c r="AL138" s="1"/>
      <c r="AM138" s="31"/>
      <c r="AN138" s="31"/>
      <c r="AO138" s="31"/>
      <c r="AP138" s="31"/>
      <c r="AQ138" s="31"/>
      <c r="AR138" s="31"/>
      <c r="AS138" s="31"/>
      <c r="AT138" s="31"/>
      <c r="AU138" s="31"/>
      <c r="AV138" s="31"/>
      <c r="AW138" s="31"/>
      <c r="AX138" s="31"/>
      <c r="AY138" s="31"/>
    </row>
    <row r="139" spans="1:51" ht="15.75" customHeight="1" x14ac:dyDescent="0.2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1"/>
      <c r="AC139" s="1"/>
      <c r="AD139" s="1"/>
      <c r="AE139" s="1"/>
      <c r="AF139" s="1"/>
      <c r="AG139" s="1"/>
      <c r="AH139" s="1"/>
      <c r="AI139" s="1"/>
      <c r="AJ139" s="1"/>
      <c r="AK139" s="1"/>
      <c r="AL139" s="1"/>
      <c r="AM139" s="31"/>
      <c r="AN139" s="31"/>
      <c r="AO139" s="31"/>
      <c r="AP139" s="31"/>
      <c r="AQ139" s="31"/>
      <c r="AR139" s="31"/>
      <c r="AS139" s="31"/>
      <c r="AT139" s="31"/>
      <c r="AU139" s="31"/>
      <c r="AV139" s="31"/>
      <c r="AW139" s="31"/>
      <c r="AX139" s="31"/>
      <c r="AY139" s="31"/>
    </row>
    <row r="140" spans="1:51" ht="15.75" customHeight="1" x14ac:dyDescent="0.2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1"/>
      <c r="AC140" s="1"/>
      <c r="AD140" s="1"/>
      <c r="AE140" s="1"/>
      <c r="AF140" s="1"/>
      <c r="AG140" s="1"/>
      <c r="AH140" s="1"/>
      <c r="AI140" s="1"/>
      <c r="AJ140" s="1"/>
      <c r="AK140" s="1"/>
      <c r="AL140" s="1"/>
      <c r="AM140" s="31"/>
      <c r="AN140" s="31"/>
      <c r="AO140" s="31"/>
      <c r="AP140" s="31"/>
      <c r="AQ140" s="31"/>
      <c r="AR140" s="31"/>
      <c r="AS140" s="31"/>
      <c r="AT140" s="31"/>
      <c r="AU140" s="31"/>
      <c r="AV140" s="31"/>
      <c r="AW140" s="31"/>
      <c r="AX140" s="31"/>
      <c r="AY140" s="31"/>
    </row>
    <row r="141" spans="1:51" ht="15.75" customHeight="1" x14ac:dyDescent="0.2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1"/>
      <c r="AC141" s="1"/>
      <c r="AD141" s="1"/>
      <c r="AE141" s="1"/>
      <c r="AF141" s="1"/>
      <c r="AG141" s="1"/>
      <c r="AH141" s="1"/>
      <c r="AI141" s="1"/>
      <c r="AJ141" s="1"/>
      <c r="AK141" s="1"/>
      <c r="AL141" s="1"/>
      <c r="AM141" s="31"/>
      <c r="AN141" s="31"/>
      <c r="AO141" s="31"/>
      <c r="AP141" s="31"/>
      <c r="AQ141" s="31"/>
      <c r="AR141" s="31"/>
      <c r="AS141" s="31"/>
      <c r="AT141" s="31"/>
      <c r="AU141" s="31"/>
      <c r="AV141" s="31"/>
      <c r="AW141" s="31"/>
      <c r="AX141" s="31"/>
      <c r="AY141" s="31"/>
    </row>
    <row r="142" spans="1:51" ht="15.75" customHeight="1" x14ac:dyDescent="0.2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1"/>
      <c r="AC142" s="1"/>
      <c r="AD142" s="1"/>
      <c r="AE142" s="1"/>
      <c r="AF142" s="1"/>
      <c r="AG142" s="1"/>
      <c r="AH142" s="1"/>
      <c r="AI142" s="1"/>
      <c r="AJ142" s="1"/>
      <c r="AK142" s="1"/>
      <c r="AL142" s="1"/>
      <c r="AM142" s="31"/>
      <c r="AN142" s="31"/>
      <c r="AO142" s="31"/>
      <c r="AP142" s="31"/>
      <c r="AQ142" s="31"/>
      <c r="AR142" s="31"/>
      <c r="AS142" s="31"/>
      <c r="AT142" s="31"/>
      <c r="AU142" s="31"/>
      <c r="AV142" s="31"/>
      <c r="AW142" s="31"/>
      <c r="AX142" s="31"/>
      <c r="AY142" s="31"/>
    </row>
    <row r="143" spans="1:51" ht="15.75" customHeight="1" x14ac:dyDescent="0.2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1"/>
      <c r="AC143" s="1"/>
      <c r="AD143" s="1"/>
      <c r="AE143" s="1"/>
      <c r="AF143" s="1"/>
      <c r="AG143" s="1"/>
      <c r="AH143" s="1"/>
      <c r="AI143" s="1"/>
      <c r="AJ143" s="1"/>
      <c r="AK143" s="1"/>
      <c r="AL143" s="1"/>
      <c r="AM143" s="31"/>
      <c r="AN143" s="31"/>
      <c r="AO143" s="31"/>
      <c r="AP143" s="31"/>
      <c r="AQ143" s="31"/>
      <c r="AR143" s="31"/>
      <c r="AS143" s="31"/>
      <c r="AT143" s="31"/>
      <c r="AU143" s="31"/>
      <c r="AV143" s="31"/>
      <c r="AW143" s="31"/>
      <c r="AX143" s="31"/>
      <c r="AY143" s="31"/>
    </row>
    <row r="144" spans="1:51" ht="15.75" customHeight="1" x14ac:dyDescent="0.2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1"/>
      <c r="AC144" s="1"/>
      <c r="AD144" s="1"/>
      <c r="AE144" s="1"/>
      <c r="AF144" s="1"/>
      <c r="AG144" s="1"/>
      <c r="AH144" s="1"/>
      <c r="AI144" s="1"/>
      <c r="AJ144" s="1"/>
      <c r="AK144" s="1"/>
      <c r="AL144" s="1"/>
      <c r="AM144" s="31"/>
      <c r="AN144" s="31"/>
      <c r="AO144" s="31"/>
      <c r="AP144" s="31"/>
      <c r="AQ144" s="31"/>
      <c r="AR144" s="31"/>
      <c r="AS144" s="31"/>
      <c r="AT144" s="31"/>
      <c r="AU144" s="31"/>
      <c r="AV144" s="31"/>
      <c r="AW144" s="31"/>
      <c r="AX144" s="31"/>
      <c r="AY144" s="31"/>
    </row>
    <row r="145" spans="1:51" ht="15.75" customHeight="1" x14ac:dyDescent="0.2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1"/>
      <c r="AC145" s="1"/>
      <c r="AD145" s="1"/>
      <c r="AE145" s="1"/>
      <c r="AF145" s="1"/>
      <c r="AG145" s="1"/>
      <c r="AH145" s="1"/>
      <c r="AI145" s="1"/>
      <c r="AJ145" s="1"/>
      <c r="AK145" s="1"/>
      <c r="AL145" s="1"/>
      <c r="AM145" s="31"/>
      <c r="AN145" s="31"/>
      <c r="AO145" s="31"/>
      <c r="AP145" s="31"/>
      <c r="AQ145" s="31"/>
      <c r="AR145" s="31"/>
      <c r="AS145" s="31"/>
      <c r="AT145" s="31"/>
      <c r="AU145" s="31"/>
      <c r="AV145" s="31"/>
      <c r="AW145" s="31"/>
      <c r="AX145" s="31"/>
      <c r="AY145" s="31"/>
    </row>
    <row r="146" spans="1:51" ht="15.75" customHeight="1" x14ac:dyDescent="0.2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1"/>
      <c r="AC146" s="1"/>
      <c r="AD146" s="1"/>
      <c r="AE146" s="1"/>
      <c r="AF146" s="1"/>
      <c r="AG146" s="1"/>
      <c r="AH146" s="1"/>
      <c r="AI146" s="1"/>
      <c r="AJ146" s="1"/>
      <c r="AK146" s="1"/>
      <c r="AL146" s="1"/>
      <c r="AM146" s="31"/>
      <c r="AN146" s="31"/>
      <c r="AO146" s="31"/>
      <c r="AP146" s="31"/>
      <c r="AQ146" s="31"/>
      <c r="AR146" s="31"/>
      <c r="AS146" s="31"/>
      <c r="AT146" s="31"/>
      <c r="AU146" s="31"/>
      <c r="AV146" s="31"/>
      <c r="AW146" s="31"/>
      <c r="AX146" s="31"/>
      <c r="AY146" s="31"/>
    </row>
    <row r="147" spans="1:51" ht="15.75" customHeight="1" x14ac:dyDescent="0.2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1"/>
      <c r="AC147" s="1"/>
      <c r="AD147" s="1"/>
      <c r="AE147" s="1"/>
      <c r="AF147" s="1"/>
      <c r="AG147" s="1"/>
      <c r="AH147" s="1"/>
      <c r="AI147" s="1"/>
      <c r="AJ147" s="1"/>
      <c r="AK147" s="1"/>
      <c r="AL147" s="1"/>
      <c r="AM147" s="31"/>
      <c r="AN147" s="31"/>
      <c r="AO147" s="31"/>
      <c r="AP147" s="31"/>
      <c r="AQ147" s="31"/>
      <c r="AR147" s="31"/>
      <c r="AS147" s="31"/>
      <c r="AT147" s="31"/>
      <c r="AU147" s="31"/>
      <c r="AV147" s="31"/>
      <c r="AW147" s="31"/>
      <c r="AX147" s="31"/>
      <c r="AY147" s="31"/>
    </row>
    <row r="148" spans="1:51" ht="15.75" customHeight="1" x14ac:dyDescent="0.2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1"/>
      <c r="AC148" s="1"/>
      <c r="AD148" s="1"/>
      <c r="AE148" s="1"/>
      <c r="AF148" s="1"/>
      <c r="AG148" s="1"/>
      <c r="AH148" s="1"/>
      <c r="AI148" s="1"/>
      <c r="AJ148" s="1"/>
      <c r="AK148" s="1"/>
      <c r="AL148" s="1"/>
      <c r="AM148" s="31"/>
      <c r="AN148" s="31"/>
      <c r="AO148" s="31"/>
      <c r="AP148" s="31"/>
      <c r="AQ148" s="31"/>
      <c r="AR148" s="31"/>
      <c r="AS148" s="31"/>
      <c r="AT148" s="31"/>
      <c r="AU148" s="31"/>
      <c r="AV148" s="31"/>
      <c r="AW148" s="31"/>
      <c r="AX148" s="31"/>
      <c r="AY148" s="31"/>
    </row>
    <row r="149" spans="1:51" ht="15.75" customHeight="1" x14ac:dyDescent="0.25">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1"/>
      <c r="AC149" s="1"/>
      <c r="AD149" s="1"/>
      <c r="AE149" s="1"/>
      <c r="AF149" s="1"/>
      <c r="AG149" s="1"/>
      <c r="AH149" s="1"/>
      <c r="AI149" s="1"/>
      <c r="AJ149" s="1"/>
      <c r="AK149" s="1"/>
      <c r="AL149" s="1"/>
      <c r="AM149" s="31"/>
      <c r="AN149" s="31"/>
      <c r="AO149" s="31"/>
      <c r="AP149" s="31"/>
      <c r="AQ149" s="31"/>
      <c r="AR149" s="31"/>
      <c r="AS149" s="31"/>
      <c r="AT149" s="31"/>
      <c r="AU149" s="31"/>
      <c r="AV149" s="31"/>
      <c r="AW149" s="31"/>
      <c r="AX149" s="31"/>
      <c r="AY149" s="31"/>
    </row>
    <row r="150" spans="1:51" ht="15.75" customHeight="1" x14ac:dyDescent="0.2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1"/>
      <c r="AC150" s="1"/>
      <c r="AD150" s="1"/>
      <c r="AE150" s="1"/>
      <c r="AF150" s="1"/>
      <c r="AG150" s="1"/>
      <c r="AH150" s="1"/>
      <c r="AI150" s="1"/>
      <c r="AJ150" s="1"/>
      <c r="AK150" s="1"/>
      <c r="AL150" s="1"/>
      <c r="AM150" s="31"/>
      <c r="AN150" s="31"/>
      <c r="AO150" s="31"/>
      <c r="AP150" s="31"/>
      <c r="AQ150" s="31"/>
      <c r="AR150" s="31"/>
      <c r="AS150" s="31"/>
      <c r="AT150" s="31"/>
      <c r="AU150" s="31"/>
      <c r="AV150" s="31"/>
      <c r="AW150" s="31"/>
      <c r="AX150" s="31"/>
      <c r="AY150" s="31"/>
    </row>
    <row r="151" spans="1:51" ht="15.75" customHeight="1" x14ac:dyDescent="0.2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1"/>
      <c r="AC151" s="1"/>
      <c r="AD151" s="1"/>
      <c r="AE151" s="1"/>
      <c r="AF151" s="1"/>
      <c r="AG151" s="1"/>
      <c r="AH151" s="1"/>
      <c r="AI151" s="1"/>
      <c r="AJ151" s="1"/>
      <c r="AK151" s="1"/>
      <c r="AL151" s="1"/>
      <c r="AM151" s="31"/>
      <c r="AN151" s="31"/>
      <c r="AO151" s="31"/>
      <c r="AP151" s="31"/>
      <c r="AQ151" s="31"/>
      <c r="AR151" s="31"/>
      <c r="AS151" s="31"/>
      <c r="AT151" s="31"/>
      <c r="AU151" s="31"/>
      <c r="AV151" s="31"/>
      <c r="AW151" s="31"/>
      <c r="AX151" s="31"/>
      <c r="AY151" s="31"/>
    </row>
    <row r="152" spans="1:51" ht="15.75" customHeight="1" x14ac:dyDescent="0.2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1"/>
      <c r="AC152" s="1"/>
      <c r="AD152" s="1"/>
      <c r="AE152" s="1"/>
      <c r="AF152" s="1"/>
      <c r="AG152" s="1"/>
      <c r="AH152" s="1"/>
      <c r="AI152" s="1"/>
      <c r="AJ152" s="1"/>
      <c r="AK152" s="1"/>
      <c r="AL152" s="1"/>
      <c r="AM152" s="31"/>
      <c r="AN152" s="31"/>
      <c r="AO152" s="31"/>
      <c r="AP152" s="31"/>
      <c r="AQ152" s="31"/>
      <c r="AR152" s="31"/>
      <c r="AS152" s="31"/>
      <c r="AT152" s="31"/>
      <c r="AU152" s="31"/>
      <c r="AV152" s="31"/>
      <c r="AW152" s="31"/>
      <c r="AX152" s="31"/>
      <c r="AY152" s="31"/>
    </row>
    <row r="153" spans="1:51" ht="15.75" customHeight="1" x14ac:dyDescent="0.25">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1"/>
      <c r="AC153" s="1"/>
      <c r="AD153" s="1"/>
      <c r="AE153" s="1"/>
      <c r="AF153" s="1"/>
      <c r="AG153" s="1"/>
      <c r="AH153" s="1"/>
      <c r="AI153" s="1"/>
      <c r="AJ153" s="1"/>
      <c r="AK153" s="1"/>
      <c r="AL153" s="1"/>
      <c r="AM153" s="31"/>
      <c r="AN153" s="31"/>
      <c r="AO153" s="31"/>
      <c r="AP153" s="31"/>
      <c r="AQ153" s="31"/>
      <c r="AR153" s="31"/>
      <c r="AS153" s="31"/>
      <c r="AT153" s="31"/>
      <c r="AU153" s="31"/>
      <c r="AV153" s="31"/>
      <c r="AW153" s="31"/>
      <c r="AX153" s="31"/>
      <c r="AY153" s="31"/>
    </row>
    <row r="154" spans="1:51" ht="15.75" customHeight="1" x14ac:dyDescent="0.2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1"/>
      <c r="AC154" s="1"/>
      <c r="AD154" s="1"/>
      <c r="AE154" s="1"/>
      <c r="AF154" s="1"/>
      <c r="AG154" s="1"/>
      <c r="AH154" s="1"/>
      <c r="AI154" s="1"/>
      <c r="AJ154" s="1"/>
      <c r="AK154" s="1"/>
      <c r="AL154" s="1"/>
      <c r="AM154" s="31"/>
      <c r="AN154" s="31"/>
      <c r="AO154" s="31"/>
      <c r="AP154" s="31"/>
      <c r="AQ154" s="31"/>
      <c r="AR154" s="31"/>
      <c r="AS154" s="31"/>
      <c r="AT154" s="31"/>
      <c r="AU154" s="31"/>
      <c r="AV154" s="31"/>
      <c r="AW154" s="31"/>
      <c r="AX154" s="31"/>
      <c r="AY154" s="31"/>
    </row>
    <row r="155" spans="1:51" ht="15.75" customHeight="1" x14ac:dyDescent="0.25">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1"/>
      <c r="AC155" s="1"/>
      <c r="AD155" s="1"/>
      <c r="AE155" s="1"/>
      <c r="AF155" s="1"/>
      <c r="AG155" s="1"/>
      <c r="AH155" s="1"/>
      <c r="AI155" s="1"/>
      <c r="AJ155" s="1"/>
      <c r="AK155" s="1"/>
      <c r="AL155" s="1"/>
      <c r="AM155" s="31"/>
      <c r="AN155" s="31"/>
      <c r="AO155" s="31"/>
      <c r="AP155" s="31"/>
      <c r="AQ155" s="31"/>
      <c r="AR155" s="31"/>
      <c r="AS155" s="31"/>
      <c r="AT155" s="31"/>
      <c r="AU155" s="31"/>
      <c r="AV155" s="31"/>
      <c r="AW155" s="31"/>
      <c r="AX155" s="31"/>
      <c r="AY155" s="31"/>
    </row>
    <row r="156" spans="1:51" ht="15.75" customHeight="1" x14ac:dyDescent="0.25">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1"/>
      <c r="AC156" s="1"/>
      <c r="AD156" s="1"/>
      <c r="AE156" s="1"/>
      <c r="AF156" s="1"/>
      <c r="AG156" s="1"/>
      <c r="AH156" s="1"/>
      <c r="AI156" s="1"/>
      <c r="AJ156" s="1"/>
      <c r="AK156" s="1"/>
      <c r="AL156" s="1"/>
      <c r="AM156" s="31"/>
      <c r="AN156" s="31"/>
      <c r="AO156" s="31"/>
      <c r="AP156" s="31"/>
      <c r="AQ156" s="31"/>
      <c r="AR156" s="31"/>
      <c r="AS156" s="31"/>
      <c r="AT156" s="31"/>
      <c r="AU156" s="31"/>
      <c r="AV156" s="31"/>
      <c r="AW156" s="31"/>
      <c r="AX156" s="31"/>
      <c r="AY156" s="31"/>
    </row>
    <row r="157" spans="1:51" ht="15.75" customHeight="1" x14ac:dyDescent="0.25">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1"/>
      <c r="AC157" s="1"/>
      <c r="AD157" s="1"/>
      <c r="AE157" s="1"/>
      <c r="AF157" s="1"/>
      <c r="AG157" s="1"/>
      <c r="AH157" s="1"/>
      <c r="AI157" s="1"/>
      <c r="AJ157" s="1"/>
      <c r="AK157" s="1"/>
      <c r="AL157" s="1"/>
      <c r="AM157" s="31"/>
      <c r="AN157" s="31"/>
      <c r="AO157" s="31"/>
      <c r="AP157" s="31"/>
      <c r="AQ157" s="31"/>
      <c r="AR157" s="31"/>
      <c r="AS157" s="31"/>
      <c r="AT157" s="31"/>
      <c r="AU157" s="31"/>
      <c r="AV157" s="31"/>
      <c r="AW157" s="31"/>
      <c r="AX157" s="31"/>
      <c r="AY157" s="31"/>
    </row>
    <row r="158" spans="1:51" ht="15.75" customHeight="1" x14ac:dyDescent="0.25">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1"/>
      <c r="AC158" s="1"/>
      <c r="AD158" s="1"/>
      <c r="AE158" s="1"/>
      <c r="AF158" s="1"/>
      <c r="AG158" s="1"/>
      <c r="AH158" s="1"/>
      <c r="AI158" s="1"/>
      <c r="AJ158" s="1"/>
      <c r="AK158" s="1"/>
      <c r="AL158" s="1"/>
      <c r="AM158" s="31"/>
      <c r="AN158" s="31"/>
      <c r="AO158" s="31"/>
      <c r="AP158" s="31"/>
      <c r="AQ158" s="31"/>
      <c r="AR158" s="31"/>
      <c r="AS158" s="31"/>
      <c r="AT158" s="31"/>
      <c r="AU158" s="31"/>
      <c r="AV158" s="31"/>
      <c r="AW158" s="31"/>
      <c r="AX158" s="31"/>
      <c r="AY158" s="31"/>
    </row>
    <row r="159" spans="1:51" ht="15.75" customHeight="1" x14ac:dyDescent="0.25">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1"/>
      <c r="AC159" s="1"/>
      <c r="AD159" s="1"/>
      <c r="AE159" s="1"/>
      <c r="AF159" s="1"/>
      <c r="AG159" s="1"/>
      <c r="AH159" s="1"/>
      <c r="AI159" s="1"/>
      <c r="AJ159" s="1"/>
      <c r="AK159" s="1"/>
      <c r="AL159" s="1"/>
      <c r="AM159" s="31"/>
      <c r="AN159" s="31"/>
      <c r="AO159" s="31"/>
      <c r="AP159" s="31"/>
      <c r="AQ159" s="31"/>
      <c r="AR159" s="31"/>
      <c r="AS159" s="31"/>
      <c r="AT159" s="31"/>
      <c r="AU159" s="31"/>
      <c r="AV159" s="31"/>
      <c r="AW159" s="31"/>
      <c r="AX159" s="31"/>
      <c r="AY159" s="31"/>
    </row>
    <row r="160" spans="1:51" ht="15.75" customHeight="1" x14ac:dyDescent="0.25">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1"/>
      <c r="AC160" s="1"/>
      <c r="AD160" s="1"/>
      <c r="AE160" s="1"/>
      <c r="AF160" s="1"/>
      <c r="AG160" s="1"/>
      <c r="AH160" s="1"/>
      <c r="AI160" s="1"/>
      <c r="AJ160" s="1"/>
      <c r="AK160" s="1"/>
      <c r="AL160" s="1"/>
      <c r="AM160" s="31"/>
      <c r="AN160" s="31"/>
      <c r="AO160" s="31"/>
      <c r="AP160" s="31"/>
      <c r="AQ160" s="31"/>
      <c r="AR160" s="31"/>
      <c r="AS160" s="31"/>
      <c r="AT160" s="31"/>
      <c r="AU160" s="31"/>
      <c r="AV160" s="31"/>
      <c r="AW160" s="31"/>
      <c r="AX160" s="31"/>
      <c r="AY160" s="31"/>
    </row>
    <row r="161" spans="1:51" ht="15.75" customHeight="1" x14ac:dyDescent="0.25">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1"/>
      <c r="AC161" s="1"/>
      <c r="AD161" s="1"/>
      <c r="AE161" s="1"/>
      <c r="AF161" s="1"/>
      <c r="AG161" s="1"/>
      <c r="AH161" s="1"/>
      <c r="AI161" s="1"/>
      <c r="AJ161" s="1"/>
      <c r="AK161" s="1"/>
      <c r="AL161" s="1"/>
      <c r="AM161" s="31"/>
      <c r="AN161" s="31"/>
      <c r="AO161" s="31"/>
      <c r="AP161" s="31"/>
      <c r="AQ161" s="31"/>
      <c r="AR161" s="31"/>
      <c r="AS161" s="31"/>
      <c r="AT161" s="31"/>
      <c r="AU161" s="31"/>
      <c r="AV161" s="31"/>
      <c r="AW161" s="31"/>
      <c r="AX161" s="31"/>
      <c r="AY161" s="31"/>
    </row>
    <row r="162" spans="1:51" ht="15.75" customHeight="1" x14ac:dyDescent="0.25">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1"/>
      <c r="AC162" s="1"/>
      <c r="AD162" s="1"/>
      <c r="AE162" s="1"/>
      <c r="AF162" s="1"/>
      <c r="AG162" s="1"/>
      <c r="AH162" s="1"/>
      <c r="AI162" s="1"/>
      <c r="AJ162" s="1"/>
      <c r="AK162" s="1"/>
      <c r="AL162" s="1"/>
      <c r="AM162" s="31"/>
      <c r="AN162" s="31"/>
      <c r="AO162" s="31"/>
      <c r="AP162" s="31"/>
      <c r="AQ162" s="31"/>
      <c r="AR162" s="31"/>
      <c r="AS162" s="31"/>
      <c r="AT162" s="31"/>
      <c r="AU162" s="31"/>
      <c r="AV162" s="31"/>
      <c r="AW162" s="31"/>
      <c r="AX162" s="31"/>
      <c r="AY162" s="31"/>
    </row>
    <row r="163" spans="1:51" ht="15.75" customHeight="1" x14ac:dyDescent="0.25">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1"/>
      <c r="AC163" s="1"/>
      <c r="AD163" s="1"/>
      <c r="AE163" s="1"/>
      <c r="AF163" s="1"/>
      <c r="AG163" s="1"/>
      <c r="AH163" s="1"/>
      <c r="AI163" s="1"/>
      <c r="AJ163" s="1"/>
      <c r="AK163" s="1"/>
      <c r="AL163" s="1"/>
      <c r="AM163" s="31"/>
      <c r="AN163" s="31"/>
      <c r="AO163" s="31"/>
      <c r="AP163" s="31"/>
      <c r="AQ163" s="31"/>
      <c r="AR163" s="31"/>
      <c r="AS163" s="31"/>
      <c r="AT163" s="31"/>
      <c r="AU163" s="31"/>
      <c r="AV163" s="31"/>
      <c r="AW163" s="31"/>
      <c r="AX163" s="31"/>
      <c r="AY163" s="31"/>
    </row>
    <row r="164" spans="1:51" ht="15.75" customHeight="1" x14ac:dyDescent="0.25">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1"/>
      <c r="AC164" s="1"/>
      <c r="AD164" s="1"/>
      <c r="AE164" s="1"/>
      <c r="AF164" s="1"/>
      <c r="AG164" s="1"/>
      <c r="AH164" s="1"/>
      <c r="AI164" s="1"/>
      <c r="AJ164" s="1"/>
      <c r="AK164" s="1"/>
      <c r="AL164" s="1"/>
      <c r="AM164" s="31"/>
      <c r="AN164" s="31"/>
      <c r="AO164" s="31"/>
      <c r="AP164" s="31"/>
      <c r="AQ164" s="31"/>
      <c r="AR164" s="31"/>
      <c r="AS164" s="31"/>
      <c r="AT164" s="31"/>
      <c r="AU164" s="31"/>
      <c r="AV164" s="31"/>
      <c r="AW164" s="31"/>
      <c r="AX164" s="31"/>
      <c r="AY164" s="31"/>
    </row>
    <row r="165" spans="1:51" ht="15.75" customHeight="1" x14ac:dyDescent="0.25">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1"/>
      <c r="AC165" s="1"/>
      <c r="AD165" s="1"/>
      <c r="AE165" s="1"/>
      <c r="AF165" s="1"/>
      <c r="AG165" s="1"/>
      <c r="AH165" s="1"/>
      <c r="AI165" s="1"/>
      <c r="AJ165" s="1"/>
      <c r="AK165" s="1"/>
      <c r="AL165" s="1"/>
      <c r="AM165" s="31"/>
      <c r="AN165" s="31"/>
      <c r="AO165" s="31"/>
      <c r="AP165" s="31"/>
      <c r="AQ165" s="31"/>
      <c r="AR165" s="31"/>
      <c r="AS165" s="31"/>
      <c r="AT165" s="31"/>
      <c r="AU165" s="31"/>
      <c r="AV165" s="31"/>
      <c r="AW165" s="31"/>
      <c r="AX165" s="31"/>
      <c r="AY165" s="31"/>
    </row>
    <row r="166" spans="1:51" ht="15.75" customHeight="1" x14ac:dyDescent="0.25">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1"/>
      <c r="AC166" s="1"/>
      <c r="AD166" s="1"/>
      <c r="AE166" s="1"/>
      <c r="AF166" s="1"/>
      <c r="AG166" s="1"/>
      <c r="AH166" s="1"/>
      <c r="AI166" s="1"/>
      <c r="AJ166" s="1"/>
      <c r="AK166" s="1"/>
      <c r="AL166" s="1"/>
      <c r="AM166" s="31"/>
      <c r="AN166" s="31"/>
      <c r="AO166" s="31"/>
      <c r="AP166" s="31"/>
      <c r="AQ166" s="31"/>
      <c r="AR166" s="31"/>
      <c r="AS166" s="31"/>
      <c r="AT166" s="31"/>
      <c r="AU166" s="31"/>
      <c r="AV166" s="31"/>
      <c r="AW166" s="31"/>
      <c r="AX166" s="31"/>
      <c r="AY166" s="31"/>
    </row>
    <row r="167" spans="1:51" ht="15.75" customHeight="1" x14ac:dyDescent="0.25">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1"/>
      <c r="AC167" s="1"/>
      <c r="AD167" s="1"/>
      <c r="AE167" s="1"/>
      <c r="AF167" s="1"/>
      <c r="AG167" s="1"/>
      <c r="AH167" s="1"/>
      <c r="AI167" s="1"/>
      <c r="AJ167" s="1"/>
      <c r="AK167" s="1"/>
      <c r="AL167" s="1"/>
      <c r="AM167" s="31"/>
      <c r="AN167" s="31"/>
      <c r="AO167" s="31"/>
      <c r="AP167" s="31"/>
      <c r="AQ167" s="31"/>
      <c r="AR167" s="31"/>
      <c r="AS167" s="31"/>
      <c r="AT167" s="31"/>
      <c r="AU167" s="31"/>
      <c r="AV167" s="31"/>
      <c r="AW167" s="31"/>
      <c r="AX167" s="31"/>
      <c r="AY167" s="31"/>
    </row>
    <row r="168" spans="1:51" ht="15.75" customHeight="1" x14ac:dyDescent="0.25">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1"/>
      <c r="AC168" s="1"/>
      <c r="AD168" s="1"/>
      <c r="AE168" s="1"/>
      <c r="AF168" s="1"/>
      <c r="AG168" s="1"/>
      <c r="AH168" s="1"/>
      <c r="AI168" s="1"/>
      <c r="AJ168" s="1"/>
      <c r="AK168" s="1"/>
      <c r="AL168" s="1"/>
      <c r="AM168" s="31"/>
      <c r="AN168" s="31"/>
      <c r="AO168" s="31"/>
      <c r="AP168" s="31"/>
      <c r="AQ168" s="31"/>
      <c r="AR168" s="31"/>
      <c r="AS168" s="31"/>
      <c r="AT168" s="31"/>
      <c r="AU168" s="31"/>
      <c r="AV168" s="31"/>
      <c r="AW168" s="31"/>
      <c r="AX168" s="31"/>
      <c r="AY168" s="31"/>
    </row>
    <row r="169" spans="1:51" ht="15.75" customHeight="1" x14ac:dyDescent="0.25">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1"/>
      <c r="AC169" s="1"/>
      <c r="AD169" s="1"/>
      <c r="AE169" s="1"/>
      <c r="AF169" s="1"/>
      <c r="AG169" s="1"/>
      <c r="AH169" s="1"/>
      <c r="AI169" s="1"/>
      <c r="AJ169" s="1"/>
      <c r="AK169" s="1"/>
      <c r="AL169" s="1"/>
      <c r="AM169" s="31"/>
      <c r="AN169" s="31"/>
      <c r="AO169" s="31"/>
      <c r="AP169" s="31"/>
      <c r="AQ169" s="31"/>
      <c r="AR169" s="31"/>
      <c r="AS169" s="31"/>
      <c r="AT169" s="31"/>
      <c r="AU169" s="31"/>
      <c r="AV169" s="31"/>
      <c r="AW169" s="31"/>
      <c r="AX169" s="31"/>
      <c r="AY169" s="31"/>
    </row>
    <row r="170" spans="1:51" ht="15.75" customHeight="1" x14ac:dyDescent="0.25">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1"/>
      <c r="AC170" s="1"/>
      <c r="AD170" s="1"/>
      <c r="AE170" s="1"/>
      <c r="AF170" s="1"/>
      <c r="AG170" s="1"/>
      <c r="AH170" s="1"/>
      <c r="AI170" s="1"/>
      <c r="AJ170" s="1"/>
      <c r="AK170" s="1"/>
      <c r="AL170" s="1"/>
      <c r="AM170" s="31"/>
      <c r="AN170" s="31"/>
      <c r="AO170" s="31"/>
      <c r="AP170" s="31"/>
      <c r="AQ170" s="31"/>
      <c r="AR170" s="31"/>
      <c r="AS170" s="31"/>
      <c r="AT170" s="31"/>
      <c r="AU170" s="31"/>
      <c r="AV170" s="31"/>
      <c r="AW170" s="31"/>
      <c r="AX170" s="31"/>
      <c r="AY170" s="31"/>
    </row>
    <row r="171" spans="1:51" ht="15.75" customHeight="1" x14ac:dyDescent="0.25">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1"/>
      <c r="AC171" s="1"/>
      <c r="AD171" s="1"/>
      <c r="AE171" s="1"/>
      <c r="AF171" s="1"/>
      <c r="AG171" s="1"/>
      <c r="AH171" s="1"/>
      <c r="AI171" s="1"/>
      <c r="AJ171" s="1"/>
      <c r="AK171" s="1"/>
      <c r="AL171" s="1"/>
      <c r="AM171" s="31"/>
      <c r="AN171" s="31"/>
      <c r="AO171" s="31"/>
      <c r="AP171" s="31"/>
      <c r="AQ171" s="31"/>
      <c r="AR171" s="31"/>
      <c r="AS171" s="31"/>
      <c r="AT171" s="31"/>
      <c r="AU171" s="31"/>
      <c r="AV171" s="31"/>
      <c r="AW171" s="31"/>
      <c r="AX171" s="31"/>
      <c r="AY171" s="31"/>
    </row>
    <row r="172" spans="1:51" ht="15.75" customHeight="1" x14ac:dyDescent="0.25">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1"/>
      <c r="AC172" s="1"/>
      <c r="AD172" s="1"/>
      <c r="AE172" s="1"/>
      <c r="AF172" s="1"/>
      <c r="AG172" s="1"/>
      <c r="AH172" s="1"/>
      <c r="AI172" s="1"/>
      <c r="AJ172" s="1"/>
      <c r="AK172" s="1"/>
      <c r="AL172" s="1"/>
      <c r="AM172" s="31"/>
      <c r="AN172" s="31"/>
      <c r="AO172" s="31"/>
      <c r="AP172" s="31"/>
      <c r="AQ172" s="31"/>
      <c r="AR172" s="31"/>
      <c r="AS172" s="31"/>
      <c r="AT172" s="31"/>
      <c r="AU172" s="31"/>
      <c r="AV172" s="31"/>
      <c r="AW172" s="31"/>
      <c r="AX172" s="31"/>
      <c r="AY172" s="31"/>
    </row>
    <row r="173" spans="1:51" ht="15.75" customHeight="1" x14ac:dyDescent="0.25">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1"/>
      <c r="AC173" s="1"/>
      <c r="AD173" s="1"/>
      <c r="AE173" s="1"/>
      <c r="AF173" s="1"/>
      <c r="AG173" s="1"/>
      <c r="AH173" s="1"/>
      <c r="AI173" s="1"/>
      <c r="AJ173" s="1"/>
      <c r="AK173" s="1"/>
      <c r="AL173" s="1"/>
      <c r="AM173" s="31"/>
      <c r="AN173" s="31"/>
      <c r="AO173" s="31"/>
      <c r="AP173" s="31"/>
      <c r="AQ173" s="31"/>
      <c r="AR173" s="31"/>
      <c r="AS173" s="31"/>
      <c r="AT173" s="31"/>
      <c r="AU173" s="31"/>
      <c r="AV173" s="31"/>
      <c r="AW173" s="31"/>
      <c r="AX173" s="31"/>
      <c r="AY173" s="31"/>
    </row>
    <row r="174" spans="1:51" ht="15.75" customHeight="1" x14ac:dyDescent="0.25">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1"/>
      <c r="AC174" s="1"/>
      <c r="AD174" s="1"/>
      <c r="AE174" s="1"/>
      <c r="AF174" s="1"/>
      <c r="AG174" s="1"/>
      <c r="AH174" s="1"/>
      <c r="AI174" s="1"/>
      <c r="AJ174" s="1"/>
      <c r="AK174" s="1"/>
      <c r="AL174" s="1"/>
      <c r="AM174" s="31"/>
      <c r="AN174" s="31"/>
      <c r="AO174" s="31"/>
      <c r="AP174" s="31"/>
      <c r="AQ174" s="31"/>
      <c r="AR174" s="31"/>
      <c r="AS174" s="31"/>
      <c r="AT174" s="31"/>
      <c r="AU174" s="31"/>
      <c r="AV174" s="31"/>
      <c r="AW174" s="31"/>
      <c r="AX174" s="31"/>
      <c r="AY174" s="31"/>
    </row>
    <row r="175" spans="1:51" ht="15.75" customHeight="1" x14ac:dyDescent="0.25">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1"/>
      <c r="AC175" s="1"/>
      <c r="AD175" s="1"/>
      <c r="AE175" s="1"/>
      <c r="AF175" s="1"/>
      <c r="AG175" s="1"/>
      <c r="AH175" s="1"/>
      <c r="AI175" s="1"/>
      <c r="AJ175" s="1"/>
      <c r="AK175" s="1"/>
      <c r="AL175" s="1"/>
      <c r="AM175" s="31"/>
      <c r="AN175" s="31"/>
      <c r="AO175" s="31"/>
      <c r="AP175" s="31"/>
      <c r="AQ175" s="31"/>
      <c r="AR175" s="31"/>
      <c r="AS175" s="31"/>
      <c r="AT175" s="31"/>
      <c r="AU175" s="31"/>
      <c r="AV175" s="31"/>
      <c r="AW175" s="31"/>
      <c r="AX175" s="31"/>
      <c r="AY175" s="31"/>
    </row>
    <row r="176" spans="1:51" ht="15.75" customHeight="1" x14ac:dyDescent="0.25">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1"/>
      <c r="AC176" s="1"/>
      <c r="AD176" s="1"/>
      <c r="AE176" s="1"/>
      <c r="AF176" s="1"/>
      <c r="AG176" s="1"/>
      <c r="AH176" s="1"/>
      <c r="AI176" s="1"/>
      <c r="AJ176" s="1"/>
      <c r="AK176" s="1"/>
      <c r="AL176" s="1"/>
      <c r="AM176" s="31"/>
      <c r="AN176" s="31"/>
      <c r="AO176" s="31"/>
      <c r="AP176" s="31"/>
      <c r="AQ176" s="31"/>
      <c r="AR176" s="31"/>
      <c r="AS176" s="31"/>
      <c r="AT176" s="31"/>
      <c r="AU176" s="31"/>
      <c r="AV176" s="31"/>
      <c r="AW176" s="31"/>
      <c r="AX176" s="31"/>
      <c r="AY176" s="31"/>
    </row>
    <row r="177" spans="1:51" ht="15.75" customHeight="1" x14ac:dyDescent="0.25">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1"/>
      <c r="AC177" s="1"/>
      <c r="AD177" s="1"/>
      <c r="AE177" s="1"/>
      <c r="AF177" s="1"/>
      <c r="AG177" s="1"/>
      <c r="AH177" s="1"/>
      <c r="AI177" s="1"/>
      <c r="AJ177" s="1"/>
      <c r="AK177" s="1"/>
      <c r="AL177" s="1"/>
      <c r="AM177" s="31"/>
      <c r="AN177" s="31"/>
      <c r="AO177" s="31"/>
      <c r="AP177" s="31"/>
      <c r="AQ177" s="31"/>
      <c r="AR177" s="31"/>
      <c r="AS177" s="31"/>
      <c r="AT177" s="31"/>
      <c r="AU177" s="31"/>
      <c r="AV177" s="31"/>
      <c r="AW177" s="31"/>
      <c r="AX177" s="31"/>
      <c r="AY177" s="31"/>
    </row>
    <row r="178" spans="1:51" ht="15.75" customHeight="1" x14ac:dyDescent="0.25">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1"/>
      <c r="AC178" s="1"/>
      <c r="AD178" s="1"/>
      <c r="AE178" s="1"/>
      <c r="AF178" s="1"/>
      <c r="AG178" s="1"/>
      <c r="AH178" s="1"/>
      <c r="AI178" s="1"/>
      <c r="AJ178" s="1"/>
      <c r="AK178" s="1"/>
      <c r="AL178" s="1"/>
      <c r="AM178" s="31"/>
      <c r="AN178" s="31"/>
      <c r="AO178" s="31"/>
      <c r="AP178" s="31"/>
      <c r="AQ178" s="31"/>
      <c r="AR178" s="31"/>
      <c r="AS178" s="31"/>
      <c r="AT178" s="31"/>
      <c r="AU178" s="31"/>
      <c r="AV178" s="31"/>
      <c r="AW178" s="31"/>
      <c r="AX178" s="31"/>
      <c r="AY178" s="31"/>
    </row>
    <row r="179" spans="1:51" ht="15.75" customHeight="1" x14ac:dyDescent="0.25">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1"/>
      <c r="AC179" s="1"/>
      <c r="AD179" s="1"/>
      <c r="AE179" s="1"/>
      <c r="AF179" s="1"/>
      <c r="AG179" s="1"/>
      <c r="AH179" s="1"/>
      <c r="AI179" s="1"/>
      <c r="AJ179" s="1"/>
      <c r="AK179" s="1"/>
      <c r="AL179" s="1"/>
      <c r="AM179" s="31"/>
      <c r="AN179" s="31"/>
      <c r="AO179" s="31"/>
      <c r="AP179" s="31"/>
      <c r="AQ179" s="31"/>
      <c r="AR179" s="31"/>
      <c r="AS179" s="31"/>
      <c r="AT179" s="31"/>
      <c r="AU179" s="31"/>
      <c r="AV179" s="31"/>
      <c r="AW179" s="31"/>
      <c r="AX179" s="31"/>
      <c r="AY179" s="31"/>
    </row>
    <row r="180" spans="1:51" ht="15.75" customHeight="1" x14ac:dyDescent="0.25">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1"/>
      <c r="AC180" s="1"/>
      <c r="AD180" s="1"/>
      <c r="AE180" s="1"/>
      <c r="AF180" s="1"/>
      <c r="AG180" s="1"/>
      <c r="AH180" s="1"/>
      <c r="AI180" s="1"/>
      <c r="AJ180" s="1"/>
      <c r="AK180" s="1"/>
      <c r="AL180" s="1"/>
      <c r="AM180" s="31"/>
      <c r="AN180" s="31"/>
      <c r="AO180" s="31"/>
      <c r="AP180" s="31"/>
      <c r="AQ180" s="31"/>
      <c r="AR180" s="31"/>
      <c r="AS180" s="31"/>
      <c r="AT180" s="31"/>
      <c r="AU180" s="31"/>
      <c r="AV180" s="31"/>
      <c r="AW180" s="31"/>
      <c r="AX180" s="31"/>
      <c r="AY180" s="31"/>
    </row>
    <row r="181" spans="1:51" ht="15.75" customHeight="1" x14ac:dyDescent="0.25">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1"/>
      <c r="AC181" s="1"/>
      <c r="AD181" s="1"/>
      <c r="AE181" s="1"/>
      <c r="AF181" s="1"/>
      <c r="AG181" s="1"/>
      <c r="AH181" s="1"/>
      <c r="AI181" s="1"/>
      <c r="AJ181" s="1"/>
      <c r="AK181" s="1"/>
      <c r="AL181" s="1"/>
      <c r="AM181" s="31"/>
      <c r="AN181" s="31"/>
      <c r="AO181" s="31"/>
      <c r="AP181" s="31"/>
      <c r="AQ181" s="31"/>
      <c r="AR181" s="31"/>
      <c r="AS181" s="31"/>
      <c r="AT181" s="31"/>
      <c r="AU181" s="31"/>
      <c r="AV181" s="31"/>
      <c r="AW181" s="31"/>
      <c r="AX181" s="31"/>
      <c r="AY181" s="31"/>
    </row>
    <row r="182" spans="1:51" ht="15.75" customHeight="1" x14ac:dyDescent="0.25">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1"/>
      <c r="AC182" s="1"/>
      <c r="AD182" s="1"/>
      <c r="AE182" s="1"/>
      <c r="AF182" s="1"/>
      <c r="AG182" s="1"/>
      <c r="AH182" s="1"/>
      <c r="AI182" s="1"/>
      <c r="AJ182" s="1"/>
      <c r="AK182" s="1"/>
      <c r="AL182" s="1"/>
      <c r="AM182" s="31"/>
      <c r="AN182" s="31"/>
      <c r="AO182" s="31"/>
      <c r="AP182" s="31"/>
      <c r="AQ182" s="31"/>
      <c r="AR182" s="31"/>
      <c r="AS182" s="31"/>
      <c r="AT182" s="31"/>
      <c r="AU182" s="31"/>
      <c r="AV182" s="31"/>
      <c r="AW182" s="31"/>
      <c r="AX182" s="31"/>
      <c r="AY182" s="31"/>
    </row>
    <row r="183" spans="1:51" ht="15.75" customHeight="1" x14ac:dyDescent="0.25">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1"/>
      <c r="AC183" s="1"/>
      <c r="AD183" s="1"/>
      <c r="AE183" s="1"/>
      <c r="AF183" s="1"/>
      <c r="AG183" s="1"/>
      <c r="AH183" s="1"/>
      <c r="AI183" s="1"/>
      <c r="AJ183" s="1"/>
      <c r="AK183" s="1"/>
      <c r="AL183" s="1"/>
      <c r="AM183" s="31"/>
      <c r="AN183" s="31"/>
      <c r="AO183" s="31"/>
      <c r="AP183" s="31"/>
      <c r="AQ183" s="31"/>
      <c r="AR183" s="31"/>
      <c r="AS183" s="31"/>
      <c r="AT183" s="31"/>
      <c r="AU183" s="31"/>
      <c r="AV183" s="31"/>
      <c r="AW183" s="31"/>
      <c r="AX183" s="31"/>
      <c r="AY183" s="31"/>
    </row>
    <row r="184" spans="1:51" ht="15.75" customHeight="1" x14ac:dyDescent="0.25">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1"/>
      <c r="AC184" s="1"/>
      <c r="AD184" s="1"/>
      <c r="AE184" s="1"/>
      <c r="AF184" s="1"/>
      <c r="AG184" s="1"/>
      <c r="AH184" s="1"/>
      <c r="AI184" s="1"/>
      <c r="AJ184" s="1"/>
      <c r="AK184" s="1"/>
      <c r="AL184" s="1"/>
      <c r="AM184" s="31"/>
      <c r="AN184" s="31"/>
      <c r="AO184" s="31"/>
      <c r="AP184" s="31"/>
      <c r="AQ184" s="31"/>
      <c r="AR184" s="31"/>
      <c r="AS184" s="31"/>
      <c r="AT184" s="31"/>
      <c r="AU184" s="31"/>
      <c r="AV184" s="31"/>
      <c r="AW184" s="31"/>
      <c r="AX184" s="31"/>
      <c r="AY184" s="31"/>
    </row>
    <row r="185" spans="1:51" ht="15.75" customHeight="1" x14ac:dyDescent="0.25">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1"/>
      <c r="AC185" s="1"/>
      <c r="AD185" s="1"/>
      <c r="AE185" s="1"/>
      <c r="AF185" s="1"/>
      <c r="AG185" s="1"/>
      <c r="AH185" s="1"/>
      <c r="AI185" s="1"/>
      <c r="AJ185" s="1"/>
      <c r="AK185" s="1"/>
      <c r="AL185" s="1"/>
      <c r="AM185" s="31"/>
      <c r="AN185" s="31"/>
      <c r="AO185" s="31"/>
      <c r="AP185" s="31"/>
      <c r="AQ185" s="31"/>
      <c r="AR185" s="31"/>
      <c r="AS185" s="31"/>
      <c r="AT185" s="31"/>
      <c r="AU185" s="31"/>
      <c r="AV185" s="31"/>
      <c r="AW185" s="31"/>
      <c r="AX185" s="31"/>
      <c r="AY185" s="31"/>
    </row>
    <row r="186" spans="1:51" ht="15.75" customHeight="1" x14ac:dyDescent="0.25">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1"/>
      <c r="AC186" s="1"/>
      <c r="AD186" s="1"/>
      <c r="AE186" s="1"/>
      <c r="AF186" s="1"/>
      <c r="AG186" s="1"/>
      <c r="AH186" s="1"/>
      <c r="AI186" s="1"/>
      <c r="AJ186" s="1"/>
      <c r="AK186" s="1"/>
      <c r="AL186" s="1"/>
      <c r="AM186" s="31"/>
      <c r="AN186" s="31"/>
      <c r="AO186" s="31"/>
      <c r="AP186" s="31"/>
      <c r="AQ186" s="31"/>
      <c r="AR186" s="31"/>
      <c r="AS186" s="31"/>
      <c r="AT186" s="31"/>
      <c r="AU186" s="31"/>
      <c r="AV186" s="31"/>
      <c r="AW186" s="31"/>
      <c r="AX186" s="31"/>
      <c r="AY186" s="31"/>
    </row>
    <row r="187" spans="1:51" ht="15.75" customHeight="1" x14ac:dyDescent="0.25">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1"/>
      <c r="AC187" s="1"/>
      <c r="AD187" s="1"/>
      <c r="AE187" s="1"/>
      <c r="AF187" s="1"/>
      <c r="AG187" s="1"/>
      <c r="AH187" s="1"/>
      <c r="AI187" s="1"/>
      <c r="AJ187" s="1"/>
      <c r="AK187" s="1"/>
      <c r="AL187" s="1"/>
      <c r="AM187" s="31"/>
      <c r="AN187" s="31"/>
      <c r="AO187" s="31"/>
      <c r="AP187" s="31"/>
      <c r="AQ187" s="31"/>
      <c r="AR187" s="31"/>
      <c r="AS187" s="31"/>
      <c r="AT187" s="31"/>
      <c r="AU187" s="31"/>
      <c r="AV187" s="31"/>
      <c r="AW187" s="31"/>
      <c r="AX187" s="31"/>
      <c r="AY187" s="31"/>
    </row>
    <row r="188" spans="1:51" ht="15.75" customHeight="1" x14ac:dyDescent="0.25">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1"/>
      <c r="AC188" s="1"/>
      <c r="AD188" s="1"/>
      <c r="AE188" s="1"/>
      <c r="AF188" s="1"/>
      <c r="AG188" s="1"/>
      <c r="AH188" s="1"/>
      <c r="AI188" s="1"/>
      <c r="AJ188" s="1"/>
      <c r="AK188" s="1"/>
      <c r="AL188" s="1"/>
      <c r="AM188" s="31"/>
      <c r="AN188" s="31"/>
      <c r="AO188" s="31"/>
      <c r="AP188" s="31"/>
      <c r="AQ188" s="31"/>
      <c r="AR188" s="31"/>
      <c r="AS188" s="31"/>
      <c r="AT188" s="31"/>
      <c r="AU188" s="31"/>
      <c r="AV188" s="31"/>
      <c r="AW188" s="31"/>
      <c r="AX188" s="31"/>
      <c r="AY188" s="31"/>
    </row>
    <row r="189" spans="1:51" ht="15.75" customHeight="1" x14ac:dyDescent="0.25">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1"/>
      <c r="AC189" s="1"/>
      <c r="AD189" s="1"/>
      <c r="AE189" s="1"/>
      <c r="AF189" s="1"/>
      <c r="AG189" s="1"/>
      <c r="AH189" s="1"/>
      <c r="AI189" s="1"/>
      <c r="AJ189" s="1"/>
      <c r="AK189" s="1"/>
      <c r="AL189" s="1"/>
      <c r="AM189" s="31"/>
      <c r="AN189" s="31"/>
      <c r="AO189" s="31"/>
      <c r="AP189" s="31"/>
      <c r="AQ189" s="31"/>
      <c r="AR189" s="31"/>
      <c r="AS189" s="31"/>
      <c r="AT189" s="31"/>
      <c r="AU189" s="31"/>
      <c r="AV189" s="31"/>
      <c r="AW189" s="31"/>
      <c r="AX189" s="31"/>
      <c r="AY189" s="31"/>
    </row>
    <row r="190" spans="1:51" ht="15.75" customHeight="1" x14ac:dyDescent="0.25">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1"/>
      <c r="AC190" s="1"/>
      <c r="AD190" s="1"/>
      <c r="AE190" s="1"/>
      <c r="AF190" s="1"/>
      <c r="AG190" s="1"/>
      <c r="AH190" s="1"/>
      <c r="AI190" s="1"/>
      <c r="AJ190" s="1"/>
      <c r="AK190" s="1"/>
      <c r="AL190" s="1"/>
      <c r="AM190" s="31"/>
      <c r="AN190" s="31"/>
      <c r="AO190" s="31"/>
      <c r="AP190" s="31"/>
      <c r="AQ190" s="31"/>
      <c r="AR190" s="31"/>
      <c r="AS190" s="31"/>
      <c r="AT190" s="31"/>
      <c r="AU190" s="31"/>
      <c r="AV190" s="31"/>
      <c r="AW190" s="31"/>
      <c r="AX190" s="31"/>
      <c r="AY190" s="31"/>
    </row>
    <row r="191" spans="1:51" ht="15.75" customHeight="1" x14ac:dyDescent="0.25">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1"/>
      <c r="AC191" s="1"/>
      <c r="AD191" s="1"/>
      <c r="AE191" s="1"/>
      <c r="AF191" s="1"/>
      <c r="AG191" s="1"/>
      <c r="AH191" s="1"/>
      <c r="AI191" s="1"/>
      <c r="AJ191" s="1"/>
      <c r="AK191" s="1"/>
      <c r="AL191" s="1"/>
      <c r="AM191" s="31"/>
      <c r="AN191" s="31"/>
      <c r="AO191" s="31"/>
      <c r="AP191" s="31"/>
      <c r="AQ191" s="31"/>
      <c r="AR191" s="31"/>
      <c r="AS191" s="31"/>
      <c r="AT191" s="31"/>
      <c r="AU191" s="31"/>
      <c r="AV191" s="31"/>
      <c r="AW191" s="31"/>
      <c r="AX191" s="31"/>
      <c r="AY191" s="31"/>
    </row>
    <row r="192" spans="1:51" ht="15.75" customHeight="1" x14ac:dyDescent="0.25">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1"/>
      <c r="AC192" s="1"/>
      <c r="AD192" s="1"/>
      <c r="AE192" s="1"/>
      <c r="AF192" s="1"/>
      <c r="AG192" s="1"/>
      <c r="AH192" s="1"/>
      <c r="AI192" s="1"/>
      <c r="AJ192" s="1"/>
      <c r="AK192" s="1"/>
      <c r="AL192" s="1"/>
      <c r="AM192" s="31"/>
      <c r="AN192" s="31"/>
      <c r="AO192" s="31"/>
      <c r="AP192" s="31"/>
      <c r="AQ192" s="31"/>
      <c r="AR192" s="31"/>
      <c r="AS192" s="31"/>
      <c r="AT192" s="31"/>
      <c r="AU192" s="31"/>
      <c r="AV192" s="31"/>
      <c r="AW192" s="31"/>
      <c r="AX192" s="31"/>
      <c r="AY192" s="31"/>
    </row>
    <row r="193" spans="1:51" ht="15.75" customHeight="1" x14ac:dyDescent="0.25">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1"/>
      <c r="AC193" s="1"/>
      <c r="AD193" s="1"/>
      <c r="AE193" s="1"/>
      <c r="AF193" s="1"/>
      <c r="AG193" s="1"/>
      <c r="AH193" s="1"/>
      <c r="AI193" s="1"/>
      <c r="AJ193" s="1"/>
      <c r="AK193" s="1"/>
      <c r="AL193" s="1"/>
      <c r="AM193" s="31"/>
      <c r="AN193" s="31"/>
      <c r="AO193" s="31"/>
      <c r="AP193" s="31"/>
      <c r="AQ193" s="31"/>
      <c r="AR193" s="31"/>
      <c r="AS193" s="31"/>
      <c r="AT193" s="31"/>
      <c r="AU193" s="31"/>
      <c r="AV193" s="31"/>
      <c r="AW193" s="31"/>
      <c r="AX193" s="31"/>
      <c r="AY193" s="31"/>
    </row>
    <row r="194" spans="1:51" ht="15.75" customHeight="1" x14ac:dyDescent="0.25">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1"/>
      <c r="AC194" s="1"/>
      <c r="AD194" s="1"/>
      <c r="AE194" s="1"/>
      <c r="AF194" s="1"/>
      <c r="AG194" s="1"/>
      <c r="AH194" s="1"/>
      <c r="AI194" s="1"/>
      <c r="AJ194" s="1"/>
      <c r="AK194" s="1"/>
      <c r="AL194" s="1"/>
      <c r="AM194" s="31"/>
      <c r="AN194" s="31"/>
      <c r="AO194" s="31"/>
      <c r="AP194" s="31"/>
      <c r="AQ194" s="31"/>
      <c r="AR194" s="31"/>
      <c r="AS194" s="31"/>
      <c r="AT194" s="31"/>
      <c r="AU194" s="31"/>
      <c r="AV194" s="31"/>
      <c r="AW194" s="31"/>
      <c r="AX194" s="31"/>
      <c r="AY194" s="31"/>
    </row>
    <row r="195" spans="1:51" ht="15.75" customHeight="1" x14ac:dyDescent="0.25">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1"/>
      <c r="AC195" s="1"/>
      <c r="AD195" s="1"/>
      <c r="AE195" s="1"/>
      <c r="AF195" s="1"/>
      <c r="AG195" s="1"/>
      <c r="AH195" s="1"/>
      <c r="AI195" s="1"/>
      <c r="AJ195" s="1"/>
      <c r="AK195" s="1"/>
      <c r="AL195" s="1"/>
      <c r="AM195" s="31"/>
      <c r="AN195" s="31"/>
      <c r="AO195" s="31"/>
      <c r="AP195" s="31"/>
      <c r="AQ195" s="31"/>
      <c r="AR195" s="31"/>
      <c r="AS195" s="31"/>
      <c r="AT195" s="31"/>
      <c r="AU195" s="31"/>
      <c r="AV195" s="31"/>
      <c r="AW195" s="31"/>
      <c r="AX195" s="31"/>
      <c r="AY195" s="31"/>
    </row>
    <row r="196" spans="1:51" ht="15.75" customHeight="1" x14ac:dyDescent="0.25">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1"/>
      <c r="AC196" s="1"/>
      <c r="AD196" s="1"/>
      <c r="AE196" s="1"/>
      <c r="AF196" s="1"/>
      <c r="AG196" s="1"/>
      <c r="AH196" s="1"/>
      <c r="AI196" s="1"/>
      <c r="AJ196" s="1"/>
      <c r="AK196" s="1"/>
      <c r="AL196" s="1"/>
      <c r="AM196" s="31"/>
      <c r="AN196" s="31"/>
      <c r="AO196" s="31"/>
      <c r="AP196" s="31"/>
      <c r="AQ196" s="31"/>
      <c r="AR196" s="31"/>
      <c r="AS196" s="31"/>
      <c r="AT196" s="31"/>
      <c r="AU196" s="31"/>
      <c r="AV196" s="31"/>
      <c r="AW196" s="31"/>
      <c r="AX196" s="31"/>
      <c r="AY196" s="31"/>
    </row>
    <row r="197" spans="1:51" ht="15.75" customHeight="1" x14ac:dyDescent="0.25">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1"/>
      <c r="AC197" s="1"/>
      <c r="AD197" s="1"/>
      <c r="AE197" s="1"/>
      <c r="AF197" s="1"/>
      <c r="AG197" s="1"/>
      <c r="AH197" s="1"/>
      <c r="AI197" s="1"/>
      <c r="AJ197" s="1"/>
      <c r="AK197" s="1"/>
      <c r="AL197" s="1"/>
      <c r="AM197" s="31"/>
      <c r="AN197" s="31"/>
      <c r="AO197" s="31"/>
      <c r="AP197" s="31"/>
      <c r="AQ197" s="31"/>
      <c r="AR197" s="31"/>
      <c r="AS197" s="31"/>
      <c r="AT197" s="31"/>
      <c r="AU197" s="31"/>
      <c r="AV197" s="31"/>
      <c r="AW197" s="31"/>
      <c r="AX197" s="31"/>
      <c r="AY197" s="31"/>
    </row>
    <row r="198" spans="1:51" ht="15.75" customHeight="1" x14ac:dyDescent="0.25">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1"/>
      <c r="AC198" s="1"/>
      <c r="AD198" s="1"/>
      <c r="AE198" s="1"/>
      <c r="AF198" s="1"/>
      <c r="AG198" s="1"/>
      <c r="AH198" s="1"/>
      <c r="AI198" s="1"/>
      <c r="AJ198" s="1"/>
      <c r="AK198" s="1"/>
      <c r="AL198" s="1"/>
      <c r="AM198" s="31"/>
      <c r="AN198" s="31"/>
      <c r="AO198" s="31"/>
      <c r="AP198" s="31"/>
      <c r="AQ198" s="31"/>
      <c r="AR198" s="31"/>
      <c r="AS198" s="31"/>
      <c r="AT198" s="31"/>
      <c r="AU198" s="31"/>
      <c r="AV198" s="31"/>
      <c r="AW198" s="31"/>
      <c r="AX198" s="31"/>
      <c r="AY198" s="31"/>
    </row>
    <row r="199" spans="1:51" ht="15.75" customHeight="1" x14ac:dyDescent="0.25">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1"/>
      <c r="AC199" s="1"/>
      <c r="AD199" s="1"/>
      <c r="AE199" s="1"/>
      <c r="AF199" s="1"/>
      <c r="AG199" s="1"/>
      <c r="AH199" s="1"/>
      <c r="AI199" s="1"/>
      <c r="AJ199" s="1"/>
      <c r="AK199" s="1"/>
      <c r="AL199" s="1"/>
      <c r="AM199" s="31"/>
      <c r="AN199" s="31"/>
      <c r="AO199" s="31"/>
      <c r="AP199" s="31"/>
      <c r="AQ199" s="31"/>
      <c r="AR199" s="31"/>
      <c r="AS199" s="31"/>
      <c r="AT199" s="31"/>
      <c r="AU199" s="31"/>
      <c r="AV199" s="31"/>
      <c r="AW199" s="31"/>
      <c r="AX199" s="31"/>
      <c r="AY199" s="31"/>
    </row>
    <row r="200" spans="1:51" ht="15.75" customHeight="1" x14ac:dyDescent="0.25">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1"/>
      <c r="AC200" s="1"/>
      <c r="AD200" s="1"/>
      <c r="AE200" s="1"/>
      <c r="AF200" s="1"/>
      <c r="AG200" s="1"/>
      <c r="AH200" s="1"/>
      <c r="AI200" s="1"/>
      <c r="AJ200" s="1"/>
      <c r="AK200" s="1"/>
      <c r="AL200" s="1"/>
      <c r="AM200" s="31"/>
      <c r="AN200" s="31"/>
      <c r="AO200" s="31"/>
      <c r="AP200" s="31"/>
      <c r="AQ200" s="31"/>
      <c r="AR200" s="31"/>
      <c r="AS200" s="31"/>
      <c r="AT200" s="31"/>
      <c r="AU200" s="31"/>
      <c r="AV200" s="31"/>
      <c r="AW200" s="31"/>
      <c r="AX200" s="31"/>
      <c r="AY200" s="31"/>
    </row>
    <row r="201" spans="1:51" ht="15.75" customHeight="1" x14ac:dyDescent="0.25">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1"/>
      <c r="AC201" s="1"/>
      <c r="AD201" s="1"/>
      <c r="AE201" s="1"/>
      <c r="AF201" s="1"/>
      <c r="AG201" s="1"/>
      <c r="AH201" s="1"/>
      <c r="AI201" s="1"/>
      <c r="AJ201" s="1"/>
      <c r="AK201" s="1"/>
      <c r="AL201" s="1"/>
      <c r="AM201" s="31"/>
      <c r="AN201" s="31"/>
      <c r="AO201" s="31"/>
      <c r="AP201" s="31"/>
      <c r="AQ201" s="31"/>
      <c r="AR201" s="31"/>
      <c r="AS201" s="31"/>
      <c r="AT201" s="31"/>
      <c r="AU201" s="31"/>
      <c r="AV201" s="31"/>
      <c r="AW201" s="31"/>
      <c r="AX201" s="31"/>
      <c r="AY201" s="31"/>
    </row>
    <row r="202" spans="1:51" ht="15.75" customHeight="1" x14ac:dyDescent="0.25">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1"/>
      <c r="AC202" s="1"/>
      <c r="AD202" s="1"/>
      <c r="AE202" s="1"/>
      <c r="AF202" s="1"/>
      <c r="AG202" s="1"/>
      <c r="AH202" s="1"/>
      <c r="AI202" s="1"/>
      <c r="AJ202" s="1"/>
      <c r="AK202" s="1"/>
      <c r="AL202" s="1"/>
      <c r="AM202" s="31"/>
      <c r="AN202" s="31"/>
      <c r="AO202" s="31"/>
      <c r="AP202" s="31"/>
      <c r="AQ202" s="31"/>
      <c r="AR202" s="31"/>
      <c r="AS202" s="31"/>
      <c r="AT202" s="31"/>
      <c r="AU202" s="31"/>
      <c r="AV202" s="31"/>
      <c r="AW202" s="31"/>
      <c r="AX202" s="31"/>
      <c r="AY202" s="31"/>
    </row>
    <row r="203" spans="1:51" ht="15.75" customHeight="1" x14ac:dyDescent="0.25">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1"/>
      <c r="AC203" s="1"/>
      <c r="AD203" s="1"/>
      <c r="AE203" s="1"/>
      <c r="AF203" s="1"/>
      <c r="AG203" s="1"/>
      <c r="AH203" s="1"/>
      <c r="AI203" s="1"/>
      <c r="AJ203" s="1"/>
      <c r="AK203" s="1"/>
      <c r="AL203" s="1"/>
      <c r="AM203" s="31"/>
      <c r="AN203" s="31"/>
      <c r="AO203" s="31"/>
      <c r="AP203" s="31"/>
      <c r="AQ203" s="31"/>
      <c r="AR203" s="31"/>
      <c r="AS203" s="31"/>
      <c r="AT203" s="31"/>
      <c r="AU203" s="31"/>
      <c r="AV203" s="31"/>
      <c r="AW203" s="31"/>
      <c r="AX203" s="31"/>
      <c r="AY203" s="31"/>
    </row>
    <row r="204" spans="1:51" ht="15.75" customHeight="1" x14ac:dyDescent="0.25">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1"/>
      <c r="AC204" s="1"/>
      <c r="AD204" s="1"/>
      <c r="AE204" s="1"/>
      <c r="AF204" s="1"/>
      <c r="AG204" s="1"/>
      <c r="AH204" s="1"/>
      <c r="AI204" s="1"/>
      <c r="AJ204" s="1"/>
      <c r="AK204" s="1"/>
      <c r="AL204" s="1"/>
      <c r="AM204" s="31"/>
      <c r="AN204" s="31"/>
      <c r="AO204" s="31"/>
      <c r="AP204" s="31"/>
      <c r="AQ204" s="31"/>
      <c r="AR204" s="31"/>
      <c r="AS204" s="31"/>
      <c r="AT204" s="31"/>
      <c r="AU204" s="31"/>
      <c r="AV204" s="31"/>
      <c r="AW204" s="31"/>
      <c r="AX204" s="31"/>
      <c r="AY204" s="31"/>
    </row>
    <row r="205" spans="1:51" ht="15.75" customHeight="1" x14ac:dyDescent="0.25">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1"/>
      <c r="AC205" s="1"/>
      <c r="AD205" s="1"/>
      <c r="AE205" s="1"/>
      <c r="AF205" s="1"/>
      <c r="AG205" s="1"/>
      <c r="AH205" s="1"/>
      <c r="AI205" s="1"/>
      <c r="AJ205" s="1"/>
      <c r="AK205" s="1"/>
      <c r="AL205" s="1"/>
      <c r="AM205" s="31"/>
      <c r="AN205" s="31"/>
      <c r="AO205" s="31"/>
      <c r="AP205" s="31"/>
      <c r="AQ205" s="31"/>
      <c r="AR205" s="31"/>
      <c r="AS205" s="31"/>
      <c r="AT205" s="31"/>
      <c r="AU205" s="31"/>
      <c r="AV205" s="31"/>
      <c r="AW205" s="31"/>
      <c r="AX205" s="31"/>
      <c r="AY205" s="31"/>
    </row>
    <row r="206" spans="1:51" ht="15.75" customHeight="1" x14ac:dyDescent="0.25">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1"/>
      <c r="AC206" s="1"/>
      <c r="AD206" s="1"/>
      <c r="AE206" s="1"/>
      <c r="AF206" s="1"/>
      <c r="AG206" s="1"/>
      <c r="AH206" s="1"/>
      <c r="AI206" s="1"/>
      <c r="AJ206" s="1"/>
      <c r="AK206" s="1"/>
      <c r="AL206" s="1"/>
      <c r="AM206" s="31"/>
      <c r="AN206" s="31"/>
      <c r="AO206" s="31"/>
      <c r="AP206" s="31"/>
      <c r="AQ206" s="31"/>
      <c r="AR206" s="31"/>
      <c r="AS206" s="31"/>
      <c r="AT206" s="31"/>
      <c r="AU206" s="31"/>
      <c r="AV206" s="31"/>
      <c r="AW206" s="31"/>
      <c r="AX206" s="31"/>
      <c r="AY206" s="31"/>
    </row>
    <row r="207" spans="1:51" ht="15.75" customHeight="1" x14ac:dyDescent="0.25">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1"/>
      <c r="AC207" s="1"/>
      <c r="AD207" s="1"/>
      <c r="AE207" s="1"/>
      <c r="AF207" s="1"/>
      <c r="AG207" s="1"/>
      <c r="AH207" s="1"/>
      <c r="AI207" s="1"/>
      <c r="AJ207" s="1"/>
      <c r="AK207" s="1"/>
      <c r="AL207" s="1"/>
      <c r="AM207" s="31"/>
      <c r="AN207" s="31"/>
      <c r="AO207" s="31"/>
      <c r="AP207" s="31"/>
      <c r="AQ207" s="31"/>
      <c r="AR207" s="31"/>
      <c r="AS207" s="31"/>
      <c r="AT207" s="31"/>
      <c r="AU207" s="31"/>
      <c r="AV207" s="31"/>
      <c r="AW207" s="31"/>
      <c r="AX207" s="31"/>
      <c r="AY207" s="31"/>
    </row>
    <row r="208" spans="1:51" ht="15.75" customHeight="1" x14ac:dyDescent="0.25">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1"/>
      <c r="AC208" s="1"/>
      <c r="AD208" s="1"/>
      <c r="AE208" s="1"/>
      <c r="AF208" s="1"/>
      <c r="AG208" s="1"/>
      <c r="AH208" s="1"/>
      <c r="AI208" s="1"/>
      <c r="AJ208" s="1"/>
      <c r="AK208" s="1"/>
      <c r="AL208" s="1"/>
      <c r="AM208" s="31"/>
      <c r="AN208" s="31"/>
      <c r="AO208" s="31"/>
      <c r="AP208" s="31"/>
      <c r="AQ208" s="31"/>
      <c r="AR208" s="31"/>
      <c r="AS208" s="31"/>
      <c r="AT208" s="31"/>
      <c r="AU208" s="31"/>
      <c r="AV208" s="31"/>
      <c r="AW208" s="31"/>
      <c r="AX208" s="31"/>
      <c r="AY208" s="31"/>
    </row>
    <row r="209" spans="1:51" ht="15.75" customHeight="1" x14ac:dyDescent="0.25">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1"/>
      <c r="AC209" s="1"/>
      <c r="AD209" s="1"/>
      <c r="AE209" s="1"/>
      <c r="AF209" s="1"/>
      <c r="AG209" s="1"/>
      <c r="AH209" s="1"/>
      <c r="AI209" s="1"/>
      <c r="AJ209" s="1"/>
      <c r="AK209" s="1"/>
      <c r="AL209" s="1"/>
      <c r="AM209" s="31"/>
      <c r="AN209" s="31"/>
      <c r="AO209" s="31"/>
      <c r="AP209" s="31"/>
      <c r="AQ209" s="31"/>
      <c r="AR209" s="31"/>
      <c r="AS209" s="31"/>
      <c r="AT209" s="31"/>
      <c r="AU209" s="31"/>
      <c r="AV209" s="31"/>
      <c r="AW209" s="31"/>
      <c r="AX209" s="31"/>
      <c r="AY209" s="31"/>
    </row>
    <row r="210" spans="1:51" ht="15.75" customHeight="1" x14ac:dyDescent="0.25">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1"/>
      <c r="AC210" s="1"/>
      <c r="AD210" s="1"/>
      <c r="AE210" s="1"/>
      <c r="AF210" s="1"/>
      <c r="AG210" s="1"/>
      <c r="AH210" s="1"/>
      <c r="AI210" s="1"/>
      <c r="AJ210" s="1"/>
      <c r="AK210" s="1"/>
      <c r="AL210" s="1"/>
      <c r="AM210" s="31"/>
      <c r="AN210" s="31"/>
      <c r="AO210" s="31"/>
      <c r="AP210" s="31"/>
      <c r="AQ210" s="31"/>
      <c r="AR210" s="31"/>
      <c r="AS210" s="31"/>
      <c r="AT210" s="31"/>
      <c r="AU210" s="31"/>
      <c r="AV210" s="31"/>
      <c r="AW210" s="31"/>
      <c r="AX210" s="31"/>
      <c r="AY210" s="31"/>
    </row>
    <row r="211" spans="1:51" ht="15.75" customHeight="1" x14ac:dyDescent="0.25">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1"/>
      <c r="AC211" s="1"/>
      <c r="AD211" s="1"/>
      <c r="AE211" s="1"/>
      <c r="AF211" s="1"/>
      <c r="AG211" s="1"/>
      <c r="AH211" s="1"/>
      <c r="AI211" s="1"/>
      <c r="AJ211" s="1"/>
      <c r="AK211" s="1"/>
      <c r="AL211" s="1"/>
      <c r="AM211" s="31"/>
      <c r="AN211" s="31"/>
      <c r="AO211" s="31"/>
      <c r="AP211" s="31"/>
      <c r="AQ211" s="31"/>
      <c r="AR211" s="31"/>
      <c r="AS211" s="31"/>
      <c r="AT211" s="31"/>
      <c r="AU211" s="31"/>
      <c r="AV211" s="31"/>
      <c r="AW211" s="31"/>
      <c r="AX211" s="31"/>
      <c r="AY211" s="31"/>
    </row>
    <row r="212" spans="1:51" ht="15.75" customHeight="1" x14ac:dyDescent="0.25">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1"/>
      <c r="AC212" s="1"/>
      <c r="AD212" s="1"/>
      <c r="AE212" s="1"/>
      <c r="AF212" s="1"/>
      <c r="AG212" s="1"/>
      <c r="AH212" s="1"/>
      <c r="AI212" s="1"/>
      <c r="AJ212" s="1"/>
      <c r="AK212" s="1"/>
      <c r="AL212" s="1"/>
      <c r="AM212" s="31"/>
      <c r="AN212" s="31"/>
      <c r="AO212" s="31"/>
      <c r="AP212" s="31"/>
      <c r="AQ212" s="31"/>
      <c r="AR212" s="31"/>
      <c r="AS212" s="31"/>
      <c r="AT212" s="31"/>
      <c r="AU212" s="31"/>
      <c r="AV212" s="31"/>
      <c r="AW212" s="31"/>
      <c r="AX212" s="31"/>
      <c r="AY212" s="31"/>
    </row>
    <row r="213" spans="1:51" ht="15.75" customHeight="1" x14ac:dyDescent="0.25">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1"/>
      <c r="AC213" s="1"/>
      <c r="AD213" s="1"/>
      <c r="AE213" s="1"/>
      <c r="AF213" s="1"/>
      <c r="AG213" s="1"/>
      <c r="AH213" s="1"/>
      <c r="AI213" s="1"/>
      <c r="AJ213" s="1"/>
      <c r="AK213" s="1"/>
      <c r="AL213" s="1"/>
      <c r="AM213" s="31"/>
      <c r="AN213" s="31"/>
      <c r="AO213" s="31"/>
      <c r="AP213" s="31"/>
      <c r="AQ213" s="31"/>
      <c r="AR213" s="31"/>
      <c r="AS213" s="31"/>
      <c r="AT213" s="31"/>
      <c r="AU213" s="31"/>
      <c r="AV213" s="31"/>
      <c r="AW213" s="31"/>
      <c r="AX213" s="31"/>
      <c r="AY213" s="31"/>
    </row>
    <row r="214" spans="1:51" ht="15.75" customHeight="1" x14ac:dyDescent="0.25">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1"/>
      <c r="AC214" s="1"/>
      <c r="AD214" s="1"/>
      <c r="AE214" s="1"/>
      <c r="AF214" s="1"/>
      <c r="AG214" s="1"/>
      <c r="AH214" s="1"/>
      <c r="AI214" s="1"/>
      <c r="AJ214" s="1"/>
      <c r="AK214" s="1"/>
      <c r="AL214" s="1"/>
      <c r="AM214" s="31"/>
      <c r="AN214" s="31"/>
      <c r="AO214" s="31"/>
      <c r="AP214" s="31"/>
      <c r="AQ214" s="31"/>
      <c r="AR214" s="31"/>
      <c r="AS214" s="31"/>
      <c r="AT214" s="31"/>
      <c r="AU214" s="31"/>
      <c r="AV214" s="31"/>
      <c r="AW214" s="31"/>
      <c r="AX214" s="31"/>
      <c r="AY214" s="31"/>
    </row>
    <row r="215" spans="1:51" ht="15.75" customHeight="1" x14ac:dyDescent="0.25">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1"/>
      <c r="AC215" s="1"/>
      <c r="AD215" s="1"/>
      <c r="AE215" s="1"/>
      <c r="AF215" s="1"/>
      <c r="AG215" s="1"/>
      <c r="AH215" s="1"/>
      <c r="AI215" s="1"/>
      <c r="AJ215" s="1"/>
      <c r="AK215" s="1"/>
      <c r="AL215" s="1"/>
      <c r="AM215" s="31"/>
      <c r="AN215" s="31"/>
      <c r="AO215" s="31"/>
      <c r="AP215" s="31"/>
      <c r="AQ215" s="31"/>
      <c r="AR215" s="31"/>
      <c r="AS215" s="31"/>
      <c r="AT215" s="31"/>
      <c r="AU215" s="31"/>
      <c r="AV215" s="31"/>
      <c r="AW215" s="31"/>
      <c r="AX215" s="31"/>
      <c r="AY215" s="31"/>
    </row>
    <row r="216" spans="1:51" ht="15.75" customHeight="1" x14ac:dyDescent="0.25">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1"/>
      <c r="AC216" s="1"/>
      <c r="AD216" s="1"/>
      <c r="AE216" s="1"/>
      <c r="AF216" s="1"/>
      <c r="AG216" s="1"/>
      <c r="AH216" s="1"/>
      <c r="AI216" s="1"/>
      <c r="AJ216" s="1"/>
      <c r="AK216" s="1"/>
      <c r="AL216" s="1"/>
      <c r="AM216" s="31"/>
      <c r="AN216" s="31"/>
      <c r="AO216" s="31"/>
      <c r="AP216" s="31"/>
      <c r="AQ216" s="31"/>
      <c r="AR216" s="31"/>
      <c r="AS216" s="31"/>
      <c r="AT216" s="31"/>
      <c r="AU216" s="31"/>
      <c r="AV216" s="31"/>
      <c r="AW216" s="31"/>
      <c r="AX216" s="31"/>
      <c r="AY216" s="31"/>
    </row>
    <row r="217" spans="1:51" ht="15.75" customHeight="1" x14ac:dyDescent="0.25">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1"/>
      <c r="AC217" s="1"/>
      <c r="AD217" s="1"/>
      <c r="AE217" s="1"/>
      <c r="AF217" s="1"/>
      <c r="AG217" s="1"/>
      <c r="AH217" s="1"/>
      <c r="AI217" s="1"/>
      <c r="AJ217" s="1"/>
      <c r="AK217" s="1"/>
      <c r="AL217" s="1"/>
      <c r="AM217" s="31"/>
      <c r="AN217" s="31"/>
      <c r="AO217" s="31"/>
      <c r="AP217" s="31"/>
      <c r="AQ217" s="31"/>
      <c r="AR217" s="31"/>
      <c r="AS217" s="31"/>
      <c r="AT217" s="31"/>
      <c r="AU217" s="31"/>
      <c r="AV217" s="31"/>
      <c r="AW217" s="31"/>
      <c r="AX217" s="31"/>
      <c r="AY217" s="31"/>
    </row>
    <row r="218" spans="1:51" ht="15.75" customHeight="1" x14ac:dyDescent="0.25">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1"/>
      <c r="AC218" s="1"/>
      <c r="AD218" s="1"/>
      <c r="AE218" s="1"/>
      <c r="AF218" s="1"/>
      <c r="AG218" s="1"/>
      <c r="AH218" s="1"/>
      <c r="AI218" s="1"/>
      <c r="AJ218" s="1"/>
      <c r="AK218" s="1"/>
      <c r="AL218" s="1"/>
      <c r="AM218" s="31"/>
      <c r="AN218" s="31"/>
      <c r="AO218" s="31"/>
      <c r="AP218" s="31"/>
      <c r="AQ218" s="31"/>
      <c r="AR218" s="31"/>
      <c r="AS218" s="31"/>
      <c r="AT218" s="31"/>
      <c r="AU218" s="31"/>
      <c r="AV218" s="31"/>
      <c r="AW218" s="31"/>
      <c r="AX218" s="31"/>
      <c r="AY218" s="31"/>
    </row>
    <row r="219" spans="1:51" ht="15.75" customHeight="1" x14ac:dyDescent="0.25">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1"/>
      <c r="AC219" s="1"/>
      <c r="AD219" s="1"/>
      <c r="AE219" s="1"/>
      <c r="AF219" s="1"/>
      <c r="AG219" s="1"/>
      <c r="AH219" s="1"/>
      <c r="AI219" s="1"/>
      <c r="AJ219" s="1"/>
      <c r="AK219" s="1"/>
      <c r="AL219" s="1"/>
      <c r="AM219" s="31"/>
      <c r="AN219" s="31"/>
      <c r="AO219" s="31"/>
      <c r="AP219" s="31"/>
      <c r="AQ219" s="31"/>
      <c r="AR219" s="31"/>
      <c r="AS219" s="31"/>
      <c r="AT219" s="31"/>
      <c r="AU219" s="31"/>
      <c r="AV219" s="31"/>
      <c r="AW219" s="31"/>
      <c r="AX219" s="31"/>
      <c r="AY219" s="31"/>
    </row>
    <row r="220" spans="1:51" ht="15.75" customHeight="1" x14ac:dyDescent="0.25">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1"/>
      <c r="AC220" s="1"/>
      <c r="AD220" s="1"/>
      <c r="AE220" s="1"/>
      <c r="AF220" s="1"/>
      <c r="AG220" s="1"/>
      <c r="AH220" s="1"/>
      <c r="AI220" s="1"/>
      <c r="AJ220" s="1"/>
      <c r="AK220" s="1"/>
      <c r="AL220" s="1"/>
      <c r="AM220" s="31"/>
      <c r="AN220" s="31"/>
      <c r="AO220" s="31"/>
      <c r="AP220" s="31"/>
      <c r="AQ220" s="31"/>
      <c r="AR220" s="31"/>
      <c r="AS220" s="31"/>
      <c r="AT220" s="31"/>
      <c r="AU220" s="31"/>
      <c r="AV220" s="31"/>
      <c r="AW220" s="31"/>
      <c r="AX220" s="31"/>
      <c r="AY220" s="31"/>
    </row>
    <row r="221" spans="1:51" ht="15.75" customHeight="1" x14ac:dyDescent="0.25">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1"/>
      <c r="AC221" s="1"/>
      <c r="AD221" s="1"/>
      <c r="AE221" s="1"/>
      <c r="AF221" s="1"/>
      <c r="AG221" s="1"/>
      <c r="AH221" s="1"/>
      <c r="AI221" s="1"/>
      <c r="AJ221" s="1"/>
      <c r="AK221" s="1"/>
      <c r="AL221" s="1"/>
      <c r="AM221" s="31"/>
      <c r="AN221" s="31"/>
      <c r="AO221" s="31"/>
      <c r="AP221" s="31"/>
      <c r="AQ221" s="31"/>
      <c r="AR221" s="31"/>
      <c r="AS221" s="31"/>
      <c r="AT221" s="31"/>
      <c r="AU221" s="31"/>
      <c r="AV221" s="31"/>
      <c r="AW221" s="31"/>
      <c r="AX221" s="31"/>
      <c r="AY221" s="31"/>
    </row>
    <row r="222" spans="1:51" ht="15.75" customHeight="1" x14ac:dyDescent="0.25">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1"/>
      <c r="AC222" s="1"/>
      <c r="AD222" s="1"/>
      <c r="AE222" s="1"/>
      <c r="AF222" s="1"/>
      <c r="AG222" s="1"/>
      <c r="AH222" s="1"/>
      <c r="AI222" s="1"/>
      <c r="AJ222" s="1"/>
      <c r="AK222" s="1"/>
      <c r="AL222" s="1"/>
      <c r="AM222" s="31"/>
      <c r="AN222" s="31"/>
      <c r="AO222" s="31"/>
      <c r="AP222" s="31"/>
      <c r="AQ222" s="31"/>
      <c r="AR222" s="31"/>
      <c r="AS222" s="31"/>
      <c r="AT222" s="31"/>
      <c r="AU222" s="31"/>
      <c r="AV222" s="31"/>
      <c r="AW222" s="31"/>
      <c r="AX222" s="31"/>
      <c r="AY222" s="31"/>
    </row>
    <row r="223" spans="1:51" ht="15.75" customHeight="1" x14ac:dyDescent="0.25">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1"/>
      <c r="AC223" s="1"/>
      <c r="AD223" s="1"/>
      <c r="AE223" s="1"/>
      <c r="AF223" s="1"/>
      <c r="AG223" s="1"/>
      <c r="AH223" s="1"/>
      <c r="AI223" s="1"/>
      <c r="AJ223" s="1"/>
      <c r="AK223" s="1"/>
      <c r="AL223" s="1"/>
      <c r="AM223" s="31"/>
      <c r="AN223" s="31"/>
      <c r="AO223" s="31"/>
      <c r="AP223" s="31"/>
      <c r="AQ223" s="31"/>
      <c r="AR223" s="31"/>
      <c r="AS223" s="31"/>
      <c r="AT223" s="31"/>
      <c r="AU223" s="31"/>
      <c r="AV223" s="31"/>
      <c r="AW223" s="31"/>
      <c r="AX223" s="31"/>
      <c r="AY223" s="31"/>
    </row>
    <row r="224" spans="1:51" ht="15.75" customHeight="1" x14ac:dyDescent="0.25">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1"/>
      <c r="AC224" s="1"/>
      <c r="AD224" s="1"/>
      <c r="AE224" s="1"/>
      <c r="AF224" s="1"/>
      <c r="AG224" s="1"/>
      <c r="AH224" s="1"/>
      <c r="AI224" s="1"/>
      <c r="AJ224" s="1"/>
      <c r="AK224" s="1"/>
      <c r="AL224" s="1"/>
      <c r="AM224" s="31"/>
      <c r="AN224" s="31"/>
      <c r="AO224" s="31"/>
      <c r="AP224" s="31"/>
      <c r="AQ224" s="31"/>
      <c r="AR224" s="31"/>
      <c r="AS224" s="31"/>
      <c r="AT224" s="31"/>
      <c r="AU224" s="31"/>
      <c r="AV224" s="31"/>
      <c r="AW224" s="31"/>
      <c r="AX224" s="31"/>
      <c r="AY224" s="31"/>
    </row>
    <row r="225" spans="1:51" ht="15.75" customHeight="1" x14ac:dyDescent="0.25">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1"/>
      <c r="AC225" s="1"/>
      <c r="AD225" s="1"/>
      <c r="AE225" s="1"/>
      <c r="AF225" s="1"/>
      <c r="AG225" s="1"/>
      <c r="AH225" s="1"/>
      <c r="AI225" s="1"/>
      <c r="AJ225" s="1"/>
      <c r="AK225" s="1"/>
      <c r="AL225" s="1"/>
      <c r="AM225" s="31"/>
      <c r="AN225" s="31"/>
      <c r="AO225" s="31"/>
      <c r="AP225" s="31"/>
      <c r="AQ225" s="31"/>
      <c r="AR225" s="31"/>
      <c r="AS225" s="31"/>
      <c r="AT225" s="31"/>
      <c r="AU225" s="31"/>
      <c r="AV225" s="31"/>
      <c r="AW225" s="31"/>
      <c r="AX225" s="31"/>
      <c r="AY225" s="31"/>
    </row>
    <row r="226" spans="1:51" ht="15.75" customHeight="1" x14ac:dyDescent="0.25">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1"/>
      <c r="AC226" s="1"/>
      <c r="AD226" s="1"/>
      <c r="AE226" s="1"/>
      <c r="AF226" s="1"/>
      <c r="AG226" s="1"/>
      <c r="AH226" s="1"/>
      <c r="AI226" s="1"/>
      <c r="AJ226" s="1"/>
      <c r="AK226" s="1"/>
      <c r="AL226" s="1"/>
      <c r="AM226" s="31"/>
      <c r="AN226" s="31"/>
      <c r="AO226" s="31"/>
      <c r="AP226" s="31"/>
      <c r="AQ226" s="31"/>
      <c r="AR226" s="31"/>
      <c r="AS226" s="31"/>
      <c r="AT226" s="31"/>
      <c r="AU226" s="31"/>
      <c r="AV226" s="31"/>
      <c r="AW226" s="31"/>
      <c r="AX226" s="31"/>
      <c r="AY226" s="31"/>
    </row>
    <row r="227" spans="1:51" ht="15.75" customHeight="1" x14ac:dyDescent="0.25">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1"/>
      <c r="AC227" s="1"/>
      <c r="AD227" s="1"/>
      <c r="AE227" s="1"/>
      <c r="AF227" s="1"/>
      <c r="AG227" s="1"/>
      <c r="AH227" s="1"/>
      <c r="AI227" s="1"/>
      <c r="AJ227" s="1"/>
      <c r="AK227" s="1"/>
      <c r="AL227" s="1"/>
      <c r="AM227" s="31"/>
      <c r="AN227" s="31"/>
      <c r="AO227" s="31"/>
      <c r="AP227" s="31"/>
      <c r="AQ227" s="31"/>
      <c r="AR227" s="31"/>
      <c r="AS227" s="31"/>
      <c r="AT227" s="31"/>
      <c r="AU227" s="31"/>
      <c r="AV227" s="31"/>
      <c r="AW227" s="31"/>
      <c r="AX227" s="31"/>
      <c r="AY227" s="31"/>
    </row>
    <row r="228" spans="1:51" ht="15.75" customHeight="1" x14ac:dyDescent="0.25">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1"/>
      <c r="AC228" s="1"/>
      <c r="AD228" s="1"/>
      <c r="AE228" s="1"/>
      <c r="AF228" s="1"/>
      <c r="AG228" s="1"/>
      <c r="AH228" s="1"/>
      <c r="AI228" s="1"/>
      <c r="AJ228" s="1"/>
      <c r="AK228" s="1"/>
      <c r="AL228" s="1"/>
      <c r="AM228" s="31"/>
      <c r="AN228" s="31"/>
      <c r="AO228" s="31"/>
      <c r="AP228" s="31"/>
      <c r="AQ228" s="31"/>
      <c r="AR228" s="31"/>
      <c r="AS228" s="31"/>
      <c r="AT228" s="31"/>
      <c r="AU228" s="31"/>
      <c r="AV228" s="31"/>
      <c r="AW228" s="31"/>
      <c r="AX228" s="31"/>
      <c r="AY228" s="31"/>
    </row>
    <row r="229" spans="1:51" ht="15.75" customHeight="1" x14ac:dyDescent="0.25">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1"/>
      <c r="AC229" s="1"/>
      <c r="AD229" s="1"/>
      <c r="AE229" s="1"/>
      <c r="AF229" s="1"/>
      <c r="AG229" s="1"/>
      <c r="AH229" s="1"/>
      <c r="AI229" s="1"/>
      <c r="AJ229" s="1"/>
      <c r="AK229" s="1"/>
      <c r="AL229" s="1"/>
      <c r="AM229" s="31"/>
      <c r="AN229" s="31"/>
      <c r="AO229" s="31"/>
      <c r="AP229" s="31"/>
      <c r="AQ229" s="31"/>
      <c r="AR229" s="31"/>
      <c r="AS229" s="31"/>
      <c r="AT229" s="31"/>
      <c r="AU229" s="31"/>
      <c r="AV229" s="31"/>
      <c r="AW229" s="31"/>
      <c r="AX229" s="31"/>
      <c r="AY229" s="31"/>
    </row>
    <row r="230" spans="1:51" ht="15.75" customHeight="1" x14ac:dyDescent="0.25">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1"/>
      <c r="AC230" s="1"/>
      <c r="AD230" s="1"/>
      <c r="AE230" s="1"/>
      <c r="AF230" s="1"/>
      <c r="AG230" s="1"/>
      <c r="AH230" s="1"/>
      <c r="AI230" s="1"/>
      <c r="AJ230" s="1"/>
      <c r="AK230" s="1"/>
      <c r="AL230" s="1"/>
      <c r="AM230" s="31"/>
      <c r="AN230" s="31"/>
      <c r="AO230" s="31"/>
      <c r="AP230" s="31"/>
      <c r="AQ230" s="31"/>
      <c r="AR230" s="31"/>
      <c r="AS230" s="31"/>
      <c r="AT230" s="31"/>
      <c r="AU230" s="31"/>
      <c r="AV230" s="31"/>
      <c r="AW230" s="31"/>
      <c r="AX230" s="31"/>
      <c r="AY230" s="31"/>
    </row>
    <row r="231" spans="1:51" ht="15.75" customHeight="1" x14ac:dyDescent="0.25">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1"/>
      <c r="AC231" s="1"/>
      <c r="AD231" s="1"/>
      <c r="AE231" s="1"/>
      <c r="AF231" s="1"/>
      <c r="AG231" s="1"/>
      <c r="AH231" s="1"/>
      <c r="AI231" s="1"/>
      <c r="AJ231" s="1"/>
      <c r="AK231" s="1"/>
      <c r="AL231" s="1"/>
      <c r="AM231" s="31"/>
      <c r="AN231" s="31"/>
      <c r="AO231" s="31"/>
      <c r="AP231" s="31"/>
      <c r="AQ231" s="31"/>
      <c r="AR231" s="31"/>
      <c r="AS231" s="31"/>
      <c r="AT231" s="31"/>
      <c r="AU231" s="31"/>
      <c r="AV231" s="31"/>
      <c r="AW231" s="31"/>
      <c r="AX231" s="31"/>
      <c r="AY231" s="31"/>
    </row>
    <row r="232" spans="1:51" ht="15.75" customHeight="1" x14ac:dyDescent="0.25">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1"/>
      <c r="AC232" s="1"/>
      <c r="AD232" s="1"/>
      <c r="AE232" s="1"/>
      <c r="AF232" s="1"/>
      <c r="AG232" s="1"/>
      <c r="AH232" s="1"/>
      <c r="AI232" s="1"/>
      <c r="AJ232" s="1"/>
      <c r="AK232" s="1"/>
      <c r="AL232" s="1"/>
      <c r="AM232" s="31"/>
      <c r="AN232" s="31"/>
      <c r="AO232" s="31"/>
      <c r="AP232" s="31"/>
      <c r="AQ232" s="31"/>
      <c r="AR232" s="31"/>
      <c r="AS232" s="31"/>
      <c r="AT232" s="31"/>
      <c r="AU232" s="31"/>
      <c r="AV232" s="31"/>
      <c r="AW232" s="31"/>
      <c r="AX232" s="31"/>
      <c r="AY232" s="31"/>
    </row>
    <row r="233" spans="1:51" ht="15.75" customHeight="1" x14ac:dyDescent="0.25">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1"/>
      <c r="AC233" s="1"/>
      <c r="AD233" s="1"/>
      <c r="AE233" s="1"/>
      <c r="AF233" s="1"/>
      <c r="AG233" s="1"/>
      <c r="AH233" s="1"/>
      <c r="AI233" s="1"/>
      <c r="AJ233" s="1"/>
      <c r="AK233" s="1"/>
      <c r="AL233" s="1"/>
      <c r="AM233" s="31"/>
      <c r="AN233" s="31"/>
      <c r="AO233" s="31"/>
      <c r="AP233" s="31"/>
      <c r="AQ233" s="31"/>
      <c r="AR233" s="31"/>
      <c r="AS233" s="31"/>
      <c r="AT233" s="31"/>
      <c r="AU233" s="31"/>
      <c r="AV233" s="31"/>
      <c r="AW233" s="31"/>
      <c r="AX233" s="31"/>
      <c r="AY233" s="31"/>
    </row>
    <row r="234" spans="1:51" ht="15.75" customHeight="1" x14ac:dyDescent="0.25">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1"/>
      <c r="AC234" s="1"/>
      <c r="AD234" s="1"/>
      <c r="AE234" s="1"/>
      <c r="AF234" s="1"/>
      <c r="AG234" s="1"/>
      <c r="AH234" s="1"/>
      <c r="AI234" s="1"/>
      <c r="AJ234" s="1"/>
      <c r="AK234" s="1"/>
      <c r="AL234" s="1"/>
      <c r="AM234" s="31"/>
      <c r="AN234" s="31"/>
      <c r="AO234" s="31"/>
      <c r="AP234" s="31"/>
      <c r="AQ234" s="31"/>
      <c r="AR234" s="31"/>
      <c r="AS234" s="31"/>
      <c r="AT234" s="31"/>
      <c r="AU234" s="31"/>
      <c r="AV234" s="31"/>
      <c r="AW234" s="31"/>
      <c r="AX234" s="31"/>
      <c r="AY234" s="31"/>
    </row>
    <row r="235" spans="1:51" ht="15.75" customHeight="1" x14ac:dyDescent="0.25">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1"/>
      <c r="AC235" s="1"/>
      <c r="AD235" s="1"/>
      <c r="AE235" s="1"/>
      <c r="AF235" s="1"/>
      <c r="AG235" s="1"/>
      <c r="AH235" s="1"/>
      <c r="AI235" s="1"/>
      <c r="AJ235" s="1"/>
      <c r="AK235" s="1"/>
      <c r="AL235" s="1"/>
      <c r="AM235" s="31"/>
      <c r="AN235" s="31"/>
      <c r="AO235" s="31"/>
      <c r="AP235" s="31"/>
      <c r="AQ235" s="31"/>
      <c r="AR235" s="31"/>
      <c r="AS235" s="31"/>
      <c r="AT235" s="31"/>
      <c r="AU235" s="31"/>
      <c r="AV235" s="31"/>
      <c r="AW235" s="31"/>
      <c r="AX235" s="31"/>
      <c r="AY235" s="31"/>
    </row>
    <row r="236" spans="1:51" ht="15.75" customHeight="1" x14ac:dyDescent="0.25">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1"/>
      <c r="AC236" s="1"/>
      <c r="AD236" s="1"/>
      <c r="AE236" s="1"/>
      <c r="AF236" s="1"/>
      <c r="AG236" s="1"/>
      <c r="AH236" s="1"/>
      <c r="AI236" s="1"/>
      <c r="AJ236" s="1"/>
      <c r="AK236" s="1"/>
      <c r="AL236" s="1"/>
      <c r="AM236" s="31"/>
      <c r="AN236" s="31"/>
      <c r="AO236" s="31"/>
      <c r="AP236" s="31"/>
      <c r="AQ236" s="31"/>
      <c r="AR236" s="31"/>
      <c r="AS236" s="31"/>
      <c r="AT236" s="31"/>
      <c r="AU236" s="31"/>
      <c r="AV236" s="31"/>
      <c r="AW236" s="31"/>
      <c r="AX236" s="31"/>
      <c r="AY236" s="31"/>
    </row>
    <row r="237" spans="1:51" ht="15.75" customHeight="1" x14ac:dyDescent="0.25">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1"/>
      <c r="AC237" s="1"/>
      <c r="AD237" s="1"/>
      <c r="AE237" s="1"/>
      <c r="AF237" s="1"/>
      <c r="AG237" s="1"/>
      <c r="AH237" s="1"/>
      <c r="AI237" s="1"/>
      <c r="AJ237" s="1"/>
      <c r="AK237" s="1"/>
      <c r="AL237" s="1"/>
      <c r="AM237" s="31"/>
      <c r="AN237" s="31"/>
      <c r="AO237" s="31"/>
      <c r="AP237" s="31"/>
      <c r="AQ237" s="31"/>
      <c r="AR237" s="31"/>
      <c r="AS237" s="31"/>
      <c r="AT237" s="31"/>
      <c r="AU237" s="31"/>
      <c r="AV237" s="31"/>
      <c r="AW237" s="31"/>
      <c r="AX237" s="31"/>
      <c r="AY237" s="31"/>
    </row>
    <row r="238" spans="1:51" ht="15.75" customHeight="1" x14ac:dyDescent="0.25">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1"/>
      <c r="AC238" s="1"/>
      <c r="AD238" s="1"/>
      <c r="AE238" s="1"/>
      <c r="AF238" s="1"/>
      <c r="AG238" s="1"/>
      <c r="AH238" s="1"/>
      <c r="AI238" s="1"/>
      <c r="AJ238" s="1"/>
      <c r="AK238" s="1"/>
      <c r="AL238" s="1"/>
      <c r="AM238" s="31"/>
      <c r="AN238" s="31"/>
      <c r="AO238" s="31"/>
      <c r="AP238" s="31"/>
      <c r="AQ238" s="31"/>
      <c r="AR238" s="31"/>
      <c r="AS238" s="31"/>
      <c r="AT238" s="31"/>
      <c r="AU238" s="31"/>
      <c r="AV238" s="31"/>
      <c r="AW238" s="31"/>
      <c r="AX238" s="31"/>
      <c r="AY238" s="31"/>
    </row>
    <row r="239" spans="1:51" ht="15.75" customHeight="1" x14ac:dyDescent="0.25">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1"/>
      <c r="AC239" s="1"/>
      <c r="AD239" s="1"/>
      <c r="AE239" s="1"/>
      <c r="AF239" s="1"/>
      <c r="AG239" s="1"/>
      <c r="AH239" s="1"/>
      <c r="AI239" s="1"/>
      <c r="AJ239" s="1"/>
      <c r="AK239" s="1"/>
      <c r="AL239" s="1"/>
      <c r="AM239" s="31"/>
      <c r="AN239" s="31"/>
      <c r="AO239" s="31"/>
      <c r="AP239" s="31"/>
      <c r="AQ239" s="31"/>
      <c r="AR239" s="31"/>
      <c r="AS239" s="31"/>
      <c r="AT239" s="31"/>
      <c r="AU239" s="31"/>
      <c r="AV239" s="31"/>
      <c r="AW239" s="31"/>
      <c r="AX239" s="31"/>
      <c r="AY239" s="31"/>
    </row>
    <row r="240" spans="1:51" ht="15.75" customHeight="1" x14ac:dyDescent="0.25">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1"/>
      <c r="AC240" s="1"/>
      <c r="AD240" s="1"/>
      <c r="AE240" s="1"/>
      <c r="AF240" s="1"/>
      <c r="AG240" s="1"/>
      <c r="AH240" s="1"/>
      <c r="AI240" s="1"/>
      <c r="AJ240" s="1"/>
      <c r="AK240" s="1"/>
      <c r="AL240" s="1"/>
      <c r="AM240" s="31"/>
      <c r="AN240" s="31"/>
      <c r="AO240" s="31"/>
      <c r="AP240" s="31"/>
      <c r="AQ240" s="31"/>
      <c r="AR240" s="31"/>
      <c r="AS240" s="31"/>
      <c r="AT240" s="31"/>
      <c r="AU240" s="31"/>
      <c r="AV240" s="31"/>
      <c r="AW240" s="31"/>
      <c r="AX240" s="31"/>
      <c r="AY240" s="31"/>
    </row>
    <row r="241" spans="1:51" ht="15.75" customHeight="1" x14ac:dyDescent="0.25">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1"/>
      <c r="AC241" s="1"/>
      <c r="AD241" s="1"/>
      <c r="AE241" s="1"/>
      <c r="AF241" s="1"/>
      <c r="AG241" s="1"/>
      <c r="AH241" s="1"/>
      <c r="AI241" s="1"/>
      <c r="AJ241" s="1"/>
      <c r="AK241" s="1"/>
      <c r="AL241" s="1"/>
      <c r="AM241" s="31"/>
      <c r="AN241" s="31"/>
      <c r="AO241" s="31"/>
      <c r="AP241" s="31"/>
      <c r="AQ241" s="31"/>
      <c r="AR241" s="31"/>
      <c r="AS241" s="31"/>
      <c r="AT241" s="31"/>
      <c r="AU241" s="31"/>
      <c r="AV241" s="31"/>
      <c r="AW241" s="31"/>
      <c r="AX241" s="31"/>
      <c r="AY241" s="31"/>
    </row>
    <row r="242" spans="1:51" ht="15.75" customHeight="1" x14ac:dyDescent="0.25">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1"/>
      <c r="AC242" s="1"/>
      <c r="AD242" s="1"/>
      <c r="AE242" s="1"/>
      <c r="AF242" s="1"/>
      <c r="AG242" s="1"/>
      <c r="AH242" s="1"/>
      <c r="AI242" s="1"/>
      <c r="AJ242" s="1"/>
      <c r="AK242" s="1"/>
      <c r="AL242" s="1"/>
      <c r="AM242" s="31"/>
      <c r="AN242" s="31"/>
      <c r="AO242" s="31"/>
      <c r="AP242" s="31"/>
      <c r="AQ242" s="31"/>
      <c r="AR242" s="31"/>
      <c r="AS242" s="31"/>
      <c r="AT242" s="31"/>
      <c r="AU242" s="31"/>
      <c r="AV242" s="31"/>
      <c r="AW242" s="31"/>
      <c r="AX242" s="31"/>
      <c r="AY242" s="31"/>
    </row>
    <row r="243" spans="1:51" ht="15.75" customHeight="1" x14ac:dyDescent="0.25">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1"/>
      <c r="AC243" s="1"/>
      <c r="AD243" s="1"/>
      <c r="AE243" s="1"/>
      <c r="AF243" s="1"/>
      <c r="AG243" s="1"/>
      <c r="AH243" s="1"/>
      <c r="AI243" s="1"/>
      <c r="AJ243" s="1"/>
      <c r="AK243" s="1"/>
      <c r="AL243" s="1"/>
      <c r="AM243" s="31"/>
      <c r="AN243" s="31"/>
      <c r="AO243" s="31"/>
      <c r="AP243" s="31"/>
      <c r="AQ243" s="31"/>
      <c r="AR243" s="31"/>
      <c r="AS243" s="31"/>
      <c r="AT243" s="31"/>
      <c r="AU243" s="31"/>
      <c r="AV243" s="31"/>
      <c r="AW243" s="31"/>
      <c r="AX243" s="31"/>
      <c r="AY243" s="31"/>
    </row>
    <row r="244" spans="1:51" ht="15.75" customHeight="1" x14ac:dyDescent="0.25">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1"/>
      <c r="AC244" s="1"/>
      <c r="AD244" s="1"/>
      <c r="AE244" s="1"/>
      <c r="AF244" s="1"/>
      <c r="AG244" s="1"/>
      <c r="AH244" s="1"/>
      <c r="AI244" s="1"/>
      <c r="AJ244" s="1"/>
      <c r="AK244" s="1"/>
      <c r="AL244" s="1"/>
      <c r="AM244" s="31"/>
      <c r="AN244" s="31"/>
      <c r="AO244" s="31"/>
      <c r="AP244" s="31"/>
      <c r="AQ244" s="31"/>
      <c r="AR244" s="31"/>
      <c r="AS244" s="31"/>
      <c r="AT244" s="31"/>
      <c r="AU244" s="31"/>
      <c r="AV244" s="31"/>
      <c r="AW244" s="31"/>
      <c r="AX244" s="31"/>
      <c r="AY244" s="31"/>
    </row>
    <row r="245" spans="1:51" ht="15.75" customHeight="1" x14ac:dyDescent="0.25">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1"/>
      <c r="AC245" s="1"/>
      <c r="AD245" s="1"/>
      <c r="AE245" s="1"/>
      <c r="AF245" s="1"/>
      <c r="AG245" s="1"/>
      <c r="AH245" s="1"/>
      <c r="AI245" s="1"/>
      <c r="AJ245" s="1"/>
      <c r="AK245" s="1"/>
      <c r="AL245" s="1"/>
      <c r="AM245" s="31"/>
      <c r="AN245" s="31"/>
      <c r="AO245" s="31"/>
      <c r="AP245" s="31"/>
      <c r="AQ245" s="31"/>
      <c r="AR245" s="31"/>
      <c r="AS245" s="31"/>
      <c r="AT245" s="31"/>
      <c r="AU245" s="31"/>
      <c r="AV245" s="31"/>
      <c r="AW245" s="31"/>
      <c r="AX245" s="31"/>
      <c r="AY245" s="31"/>
    </row>
    <row r="246" spans="1:51" ht="15.75" customHeight="1" x14ac:dyDescent="0.25">
      <c r="AB246" s="6"/>
      <c r="AC246" s="6"/>
      <c r="AD246" s="6"/>
      <c r="AE246" s="6"/>
      <c r="AF246" s="6"/>
      <c r="AG246" s="6"/>
      <c r="AH246" s="6"/>
      <c r="AI246" s="6"/>
      <c r="AJ246" s="6"/>
      <c r="AK246" s="6"/>
      <c r="AL246" s="6"/>
    </row>
    <row r="247" spans="1:51" ht="15.75" customHeight="1" x14ac:dyDescent="0.25">
      <c r="AB247" s="6"/>
      <c r="AC247" s="6"/>
      <c r="AD247" s="6"/>
      <c r="AE247" s="6"/>
      <c r="AF247" s="6"/>
      <c r="AG247" s="6"/>
      <c r="AH247" s="6"/>
      <c r="AI247" s="6"/>
      <c r="AJ247" s="6"/>
      <c r="AK247" s="6"/>
      <c r="AL247" s="6"/>
    </row>
    <row r="248" spans="1:51" ht="15.75" customHeight="1" x14ac:dyDescent="0.25">
      <c r="AB248" s="6"/>
      <c r="AC248" s="6"/>
      <c r="AD248" s="6"/>
      <c r="AE248" s="6"/>
      <c r="AF248" s="6"/>
      <c r="AG248" s="6"/>
      <c r="AH248" s="6"/>
      <c r="AI248" s="6"/>
      <c r="AJ248" s="6"/>
      <c r="AK248" s="6"/>
      <c r="AL248" s="6"/>
    </row>
    <row r="249" spans="1:51" ht="15.75" customHeight="1" x14ac:dyDescent="0.25">
      <c r="AB249" s="6"/>
      <c r="AC249" s="6"/>
      <c r="AD249" s="6"/>
      <c r="AE249" s="6"/>
      <c r="AF249" s="6"/>
      <c r="AG249" s="6"/>
      <c r="AH249" s="6"/>
      <c r="AI249" s="6"/>
      <c r="AJ249" s="6"/>
      <c r="AK249" s="6"/>
      <c r="AL249" s="6"/>
    </row>
    <row r="250" spans="1:51" ht="15.75" customHeight="1" x14ac:dyDescent="0.25">
      <c r="AB250" s="6"/>
      <c r="AC250" s="6"/>
      <c r="AD250" s="6"/>
      <c r="AE250" s="6"/>
      <c r="AF250" s="6"/>
      <c r="AG250" s="6"/>
      <c r="AH250" s="6"/>
      <c r="AI250" s="6"/>
      <c r="AJ250" s="6"/>
      <c r="AK250" s="6"/>
      <c r="AL250" s="6"/>
    </row>
    <row r="251" spans="1:51" ht="15.75" customHeight="1" x14ac:dyDescent="0.25">
      <c r="AB251" s="6"/>
      <c r="AC251" s="6"/>
      <c r="AD251" s="6"/>
      <c r="AE251" s="6"/>
      <c r="AF251" s="6"/>
      <c r="AG251" s="6"/>
      <c r="AH251" s="6"/>
      <c r="AI251" s="6"/>
      <c r="AJ251" s="6"/>
      <c r="AK251" s="6"/>
      <c r="AL251" s="6"/>
    </row>
    <row r="252" spans="1:51" ht="15.75" customHeight="1" x14ac:dyDescent="0.25">
      <c r="AB252" s="6"/>
      <c r="AC252" s="6"/>
      <c r="AD252" s="6"/>
      <c r="AE252" s="6"/>
      <c r="AF252" s="6"/>
      <c r="AG252" s="6"/>
      <c r="AH252" s="6"/>
      <c r="AI252" s="6"/>
      <c r="AJ252" s="6"/>
      <c r="AK252" s="6"/>
      <c r="AL252" s="6"/>
    </row>
    <row r="253" spans="1:51" ht="15.75" customHeight="1" x14ac:dyDescent="0.25">
      <c r="AB253" s="6"/>
      <c r="AC253" s="6"/>
      <c r="AD253" s="6"/>
      <c r="AE253" s="6"/>
      <c r="AF253" s="6"/>
      <c r="AG253" s="6"/>
      <c r="AH253" s="6"/>
      <c r="AI253" s="6"/>
      <c r="AJ253" s="6"/>
      <c r="AK253" s="6"/>
      <c r="AL253" s="6"/>
    </row>
    <row r="254" spans="1:51" ht="15.75" customHeight="1" x14ac:dyDescent="0.25">
      <c r="AB254" s="6"/>
      <c r="AC254" s="6"/>
      <c r="AD254" s="6"/>
      <c r="AE254" s="6"/>
      <c r="AF254" s="6"/>
      <c r="AG254" s="6"/>
      <c r="AH254" s="6"/>
      <c r="AI254" s="6"/>
      <c r="AJ254" s="6"/>
      <c r="AK254" s="6"/>
      <c r="AL254" s="6"/>
    </row>
    <row r="255" spans="1:51" ht="15.75" customHeight="1" x14ac:dyDescent="0.25">
      <c r="AB255" s="6"/>
      <c r="AC255" s="6"/>
      <c r="AD255" s="6"/>
      <c r="AE255" s="6"/>
      <c r="AF255" s="6"/>
      <c r="AG255" s="6"/>
      <c r="AH255" s="6"/>
      <c r="AI255" s="6"/>
      <c r="AJ255" s="6"/>
      <c r="AK255" s="6"/>
      <c r="AL255" s="6"/>
    </row>
    <row r="256" spans="1:51" ht="15.75" customHeight="1" x14ac:dyDescent="0.25">
      <c r="AB256" s="6"/>
      <c r="AC256" s="6"/>
      <c r="AD256" s="6"/>
      <c r="AE256" s="6"/>
      <c r="AF256" s="6"/>
      <c r="AG256" s="6"/>
      <c r="AH256" s="6"/>
      <c r="AI256" s="6"/>
      <c r="AJ256" s="6"/>
      <c r="AK256" s="6"/>
      <c r="AL256" s="6"/>
    </row>
    <row r="257" spans="28:38" ht="15.75" customHeight="1" x14ac:dyDescent="0.25">
      <c r="AB257" s="6"/>
      <c r="AC257" s="6"/>
      <c r="AD257" s="6"/>
      <c r="AE257" s="6"/>
      <c r="AF257" s="6"/>
      <c r="AG257" s="6"/>
      <c r="AH257" s="6"/>
      <c r="AI257" s="6"/>
      <c r="AJ257" s="6"/>
      <c r="AK257" s="6"/>
      <c r="AL257" s="6"/>
    </row>
    <row r="258" spans="28:38" ht="15.75" customHeight="1" x14ac:dyDescent="0.25">
      <c r="AB258" s="6"/>
      <c r="AC258" s="6"/>
      <c r="AD258" s="6"/>
      <c r="AE258" s="6"/>
      <c r="AF258" s="6"/>
      <c r="AG258" s="6"/>
      <c r="AH258" s="6"/>
      <c r="AI258" s="6"/>
      <c r="AJ258" s="6"/>
      <c r="AK258" s="6"/>
      <c r="AL258" s="6"/>
    </row>
    <row r="259" spans="28:38" ht="15.75" customHeight="1" x14ac:dyDescent="0.25">
      <c r="AB259" s="6"/>
      <c r="AC259" s="6"/>
      <c r="AD259" s="6"/>
      <c r="AE259" s="6"/>
      <c r="AF259" s="6"/>
      <c r="AG259" s="6"/>
      <c r="AH259" s="6"/>
      <c r="AI259" s="6"/>
      <c r="AJ259" s="6"/>
      <c r="AK259" s="6"/>
      <c r="AL259" s="6"/>
    </row>
    <row r="260" spans="28:38" ht="15.75" customHeight="1" x14ac:dyDescent="0.25">
      <c r="AB260" s="6"/>
      <c r="AC260" s="6"/>
      <c r="AD260" s="6"/>
      <c r="AE260" s="6"/>
      <c r="AF260" s="6"/>
      <c r="AG260" s="6"/>
      <c r="AH260" s="6"/>
      <c r="AI260" s="6"/>
      <c r="AJ260" s="6"/>
      <c r="AK260" s="6"/>
      <c r="AL260" s="6"/>
    </row>
    <row r="261" spans="28:38" ht="15.75" customHeight="1" x14ac:dyDescent="0.25">
      <c r="AB261" s="6"/>
      <c r="AC261" s="6"/>
      <c r="AD261" s="6"/>
      <c r="AE261" s="6"/>
      <c r="AF261" s="6"/>
      <c r="AG261" s="6"/>
      <c r="AH261" s="6"/>
      <c r="AI261" s="6"/>
      <c r="AJ261" s="6"/>
      <c r="AK261" s="6"/>
      <c r="AL261" s="6"/>
    </row>
    <row r="262" spans="28:38" ht="15.75" customHeight="1" x14ac:dyDescent="0.25">
      <c r="AB262" s="6"/>
      <c r="AC262" s="6"/>
      <c r="AD262" s="6"/>
      <c r="AE262" s="6"/>
      <c r="AF262" s="6"/>
      <c r="AG262" s="6"/>
      <c r="AH262" s="6"/>
      <c r="AI262" s="6"/>
      <c r="AJ262" s="6"/>
      <c r="AK262" s="6"/>
      <c r="AL262" s="6"/>
    </row>
    <row r="263" spans="28:38" ht="15.75" customHeight="1" x14ac:dyDescent="0.25">
      <c r="AB263" s="6"/>
      <c r="AC263" s="6"/>
      <c r="AD263" s="6"/>
      <c r="AE263" s="6"/>
      <c r="AF263" s="6"/>
      <c r="AG263" s="6"/>
      <c r="AH263" s="6"/>
      <c r="AI263" s="6"/>
      <c r="AJ263" s="6"/>
      <c r="AK263" s="6"/>
      <c r="AL263" s="6"/>
    </row>
    <row r="264" spans="28:38" ht="15.75" customHeight="1" x14ac:dyDescent="0.25">
      <c r="AB264" s="6"/>
      <c r="AC264" s="6"/>
      <c r="AD264" s="6"/>
      <c r="AE264" s="6"/>
      <c r="AF264" s="6"/>
      <c r="AG264" s="6"/>
      <c r="AH264" s="6"/>
      <c r="AI264" s="6"/>
      <c r="AJ264" s="6"/>
      <c r="AK264" s="6"/>
      <c r="AL264" s="6"/>
    </row>
    <row r="265" spans="28:38" ht="15.75" customHeight="1" x14ac:dyDescent="0.25">
      <c r="AB265" s="6"/>
      <c r="AC265" s="6"/>
      <c r="AD265" s="6"/>
      <c r="AE265" s="6"/>
      <c r="AF265" s="6"/>
      <c r="AG265" s="6"/>
      <c r="AH265" s="6"/>
      <c r="AI265" s="6"/>
      <c r="AJ265" s="6"/>
      <c r="AK265" s="6"/>
      <c r="AL265" s="6"/>
    </row>
    <row r="266" spans="28:38" ht="15.75" customHeight="1" x14ac:dyDescent="0.25">
      <c r="AB266" s="6"/>
      <c r="AC266" s="6"/>
      <c r="AD266" s="6"/>
      <c r="AE266" s="6"/>
      <c r="AF266" s="6"/>
      <c r="AG266" s="6"/>
      <c r="AH266" s="6"/>
      <c r="AI266" s="6"/>
      <c r="AJ266" s="6"/>
      <c r="AK266" s="6"/>
      <c r="AL266" s="6"/>
    </row>
    <row r="267" spans="28:38" ht="15.75" customHeight="1" x14ac:dyDescent="0.25">
      <c r="AB267" s="6"/>
      <c r="AC267" s="6"/>
      <c r="AD267" s="6"/>
      <c r="AE267" s="6"/>
      <c r="AF267" s="6"/>
      <c r="AG267" s="6"/>
      <c r="AH267" s="6"/>
      <c r="AI267" s="6"/>
      <c r="AJ267" s="6"/>
      <c r="AK267" s="6"/>
      <c r="AL267" s="6"/>
    </row>
    <row r="268" spans="28:38" ht="15.75" customHeight="1" x14ac:dyDescent="0.25">
      <c r="AB268" s="6"/>
      <c r="AC268" s="6"/>
      <c r="AD268" s="6"/>
      <c r="AE268" s="6"/>
      <c r="AF268" s="6"/>
      <c r="AG268" s="6"/>
      <c r="AH268" s="6"/>
      <c r="AI268" s="6"/>
      <c r="AJ268" s="6"/>
      <c r="AK268" s="6"/>
      <c r="AL268" s="6"/>
    </row>
    <row r="269" spans="28:38" ht="15.75" customHeight="1" x14ac:dyDescent="0.25">
      <c r="AB269" s="6"/>
      <c r="AC269" s="6"/>
      <c r="AD269" s="6"/>
      <c r="AE269" s="6"/>
      <c r="AF269" s="6"/>
      <c r="AG269" s="6"/>
      <c r="AH269" s="6"/>
      <c r="AI269" s="6"/>
      <c r="AJ269" s="6"/>
      <c r="AK269" s="6"/>
      <c r="AL269" s="6"/>
    </row>
    <row r="270" spans="28:38" ht="15.75" customHeight="1" x14ac:dyDescent="0.25">
      <c r="AB270" s="6"/>
      <c r="AC270" s="6"/>
      <c r="AD270" s="6"/>
      <c r="AE270" s="6"/>
      <c r="AF270" s="6"/>
      <c r="AG270" s="6"/>
      <c r="AH270" s="6"/>
      <c r="AI270" s="6"/>
      <c r="AJ270" s="6"/>
      <c r="AK270" s="6"/>
      <c r="AL270" s="6"/>
    </row>
    <row r="271" spans="28:38" ht="15.75" customHeight="1" x14ac:dyDescent="0.25">
      <c r="AB271" s="6"/>
      <c r="AC271" s="6"/>
      <c r="AD271" s="6"/>
      <c r="AE271" s="6"/>
      <c r="AF271" s="6"/>
      <c r="AG271" s="6"/>
      <c r="AH271" s="6"/>
      <c r="AI271" s="6"/>
      <c r="AJ271" s="6"/>
      <c r="AK271" s="6"/>
      <c r="AL271" s="6"/>
    </row>
    <row r="272" spans="28:38" ht="15.75" customHeight="1" x14ac:dyDescent="0.25">
      <c r="AB272" s="6"/>
      <c r="AC272" s="6"/>
      <c r="AD272" s="6"/>
      <c r="AE272" s="6"/>
      <c r="AF272" s="6"/>
      <c r="AG272" s="6"/>
      <c r="AH272" s="6"/>
      <c r="AI272" s="6"/>
      <c r="AJ272" s="6"/>
      <c r="AK272" s="6"/>
      <c r="AL272" s="6"/>
    </row>
    <row r="273" spans="28:38" ht="15.75" customHeight="1" x14ac:dyDescent="0.25">
      <c r="AB273" s="6"/>
      <c r="AC273" s="6"/>
      <c r="AD273" s="6"/>
      <c r="AE273" s="6"/>
      <c r="AF273" s="6"/>
      <c r="AG273" s="6"/>
      <c r="AH273" s="6"/>
      <c r="AI273" s="6"/>
      <c r="AJ273" s="6"/>
      <c r="AK273" s="6"/>
      <c r="AL273" s="6"/>
    </row>
    <row r="274" spans="28:38" ht="15.75" customHeight="1" x14ac:dyDescent="0.25">
      <c r="AB274" s="6"/>
      <c r="AC274" s="6"/>
      <c r="AD274" s="6"/>
      <c r="AE274" s="6"/>
      <c r="AF274" s="6"/>
      <c r="AG274" s="6"/>
      <c r="AH274" s="6"/>
      <c r="AI274" s="6"/>
      <c r="AJ274" s="6"/>
      <c r="AK274" s="6"/>
      <c r="AL274" s="6"/>
    </row>
    <row r="275" spans="28:38" ht="15.75" customHeight="1" x14ac:dyDescent="0.25">
      <c r="AB275" s="6"/>
      <c r="AC275" s="6"/>
      <c r="AD275" s="6"/>
      <c r="AE275" s="6"/>
      <c r="AF275" s="6"/>
      <c r="AG275" s="6"/>
      <c r="AH275" s="6"/>
      <c r="AI275" s="6"/>
      <c r="AJ275" s="6"/>
      <c r="AK275" s="6"/>
      <c r="AL275" s="6"/>
    </row>
    <row r="276" spans="28:38" ht="15.75" customHeight="1" x14ac:dyDescent="0.25">
      <c r="AB276" s="6"/>
      <c r="AC276" s="6"/>
      <c r="AD276" s="6"/>
      <c r="AE276" s="6"/>
      <c r="AF276" s="6"/>
      <c r="AG276" s="6"/>
      <c r="AH276" s="6"/>
      <c r="AI276" s="6"/>
      <c r="AJ276" s="6"/>
      <c r="AK276" s="6"/>
      <c r="AL276" s="6"/>
    </row>
    <row r="277" spans="28:38" ht="15.75" customHeight="1" x14ac:dyDescent="0.25">
      <c r="AB277" s="6"/>
      <c r="AC277" s="6"/>
      <c r="AD277" s="6"/>
      <c r="AE277" s="6"/>
      <c r="AF277" s="6"/>
      <c r="AG277" s="6"/>
      <c r="AH277" s="6"/>
      <c r="AI277" s="6"/>
      <c r="AJ277" s="6"/>
      <c r="AK277" s="6"/>
      <c r="AL277" s="6"/>
    </row>
    <row r="278" spans="28:38" ht="15.75" customHeight="1" x14ac:dyDescent="0.25">
      <c r="AB278" s="6"/>
      <c r="AC278" s="6"/>
      <c r="AD278" s="6"/>
      <c r="AE278" s="6"/>
      <c r="AF278" s="6"/>
      <c r="AG278" s="6"/>
      <c r="AH278" s="6"/>
      <c r="AI278" s="6"/>
      <c r="AJ278" s="6"/>
      <c r="AK278" s="6"/>
      <c r="AL278" s="6"/>
    </row>
    <row r="279" spans="28:38" ht="15.75" customHeight="1" x14ac:dyDescent="0.25">
      <c r="AB279" s="6"/>
      <c r="AC279" s="6"/>
      <c r="AD279" s="6"/>
      <c r="AE279" s="6"/>
      <c r="AF279" s="6"/>
      <c r="AG279" s="6"/>
      <c r="AH279" s="6"/>
      <c r="AI279" s="6"/>
      <c r="AJ279" s="6"/>
      <c r="AK279" s="6"/>
      <c r="AL279" s="6"/>
    </row>
    <row r="280" spans="28:38" ht="15.75" customHeight="1" x14ac:dyDescent="0.25">
      <c r="AB280" s="6"/>
      <c r="AC280" s="6"/>
      <c r="AD280" s="6"/>
      <c r="AE280" s="6"/>
      <c r="AF280" s="6"/>
      <c r="AG280" s="6"/>
      <c r="AH280" s="6"/>
      <c r="AI280" s="6"/>
      <c r="AJ280" s="6"/>
      <c r="AK280" s="6"/>
      <c r="AL280" s="6"/>
    </row>
    <row r="281" spans="28:38" ht="15.75" customHeight="1" x14ac:dyDescent="0.25">
      <c r="AB281" s="6"/>
      <c r="AC281" s="6"/>
      <c r="AD281" s="6"/>
      <c r="AE281" s="6"/>
      <c r="AF281" s="6"/>
      <c r="AG281" s="6"/>
      <c r="AH281" s="6"/>
      <c r="AI281" s="6"/>
      <c r="AJ281" s="6"/>
      <c r="AK281" s="6"/>
      <c r="AL281" s="6"/>
    </row>
    <row r="282" spans="28:38" ht="15.75" customHeight="1" x14ac:dyDescent="0.25">
      <c r="AB282" s="6"/>
      <c r="AC282" s="6"/>
      <c r="AD282" s="6"/>
      <c r="AE282" s="6"/>
      <c r="AF282" s="6"/>
      <c r="AG282" s="6"/>
      <c r="AH282" s="6"/>
      <c r="AI282" s="6"/>
      <c r="AJ282" s="6"/>
      <c r="AK282" s="6"/>
      <c r="AL282" s="6"/>
    </row>
    <row r="283" spans="28:38" ht="15.75" customHeight="1" x14ac:dyDescent="0.25">
      <c r="AB283" s="6"/>
      <c r="AC283" s="6"/>
      <c r="AD283" s="6"/>
      <c r="AE283" s="6"/>
      <c r="AF283" s="6"/>
      <c r="AG283" s="6"/>
      <c r="AH283" s="6"/>
      <c r="AI283" s="6"/>
      <c r="AJ283" s="6"/>
      <c r="AK283" s="6"/>
      <c r="AL283" s="6"/>
    </row>
    <row r="284" spans="28:38" ht="15.75" customHeight="1" x14ac:dyDescent="0.25">
      <c r="AB284" s="6"/>
      <c r="AC284" s="6"/>
      <c r="AD284" s="6"/>
      <c r="AE284" s="6"/>
      <c r="AF284" s="6"/>
      <c r="AG284" s="6"/>
      <c r="AH284" s="6"/>
      <c r="AI284" s="6"/>
      <c r="AJ284" s="6"/>
      <c r="AK284" s="6"/>
      <c r="AL284" s="6"/>
    </row>
    <row r="285" spans="28:38" ht="15.75" customHeight="1" x14ac:dyDescent="0.25">
      <c r="AB285" s="6"/>
      <c r="AC285" s="6"/>
      <c r="AD285" s="6"/>
      <c r="AE285" s="6"/>
      <c r="AF285" s="6"/>
      <c r="AG285" s="6"/>
      <c r="AH285" s="6"/>
      <c r="AI285" s="6"/>
      <c r="AJ285" s="6"/>
      <c r="AK285" s="6"/>
      <c r="AL285" s="6"/>
    </row>
    <row r="286" spans="28:38" ht="15.75" customHeight="1" x14ac:dyDescent="0.25">
      <c r="AB286" s="6"/>
      <c r="AC286" s="6"/>
      <c r="AD286" s="6"/>
      <c r="AE286" s="6"/>
      <c r="AF286" s="6"/>
      <c r="AG286" s="6"/>
      <c r="AH286" s="6"/>
      <c r="AI286" s="6"/>
      <c r="AJ286" s="6"/>
      <c r="AK286" s="6"/>
      <c r="AL286" s="6"/>
    </row>
    <row r="287" spans="28:38" ht="15.75" customHeight="1" x14ac:dyDescent="0.25">
      <c r="AB287" s="6"/>
      <c r="AC287" s="6"/>
      <c r="AD287" s="6"/>
      <c r="AE287" s="6"/>
      <c r="AF287" s="6"/>
      <c r="AG287" s="6"/>
      <c r="AH287" s="6"/>
      <c r="AI287" s="6"/>
      <c r="AJ287" s="6"/>
      <c r="AK287" s="6"/>
      <c r="AL287" s="6"/>
    </row>
    <row r="288" spans="28:38" ht="15.75" customHeight="1" x14ac:dyDescent="0.25">
      <c r="AB288" s="6"/>
      <c r="AC288" s="6"/>
      <c r="AD288" s="6"/>
      <c r="AE288" s="6"/>
      <c r="AF288" s="6"/>
      <c r="AG288" s="6"/>
      <c r="AH288" s="6"/>
      <c r="AI288" s="6"/>
      <c r="AJ288" s="6"/>
      <c r="AK288" s="6"/>
      <c r="AL288" s="6"/>
    </row>
    <row r="289" spans="28:38" ht="15.75" customHeight="1" x14ac:dyDescent="0.25">
      <c r="AB289" s="6"/>
      <c r="AC289" s="6"/>
      <c r="AD289" s="6"/>
      <c r="AE289" s="6"/>
      <c r="AF289" s="6"/>
      <c r="AG289" s="6"/>
      <c r="AH289" s="6"/>
      <c r="AI289" s="6"/>
      <c r="AJ289" s="6"/>
      <c r="AK289" s="6"/>
      <c r="AL289" s="6"/>
    </row>
    <row r="290" spans="28:38" ht="15.75" customHeight="1" x14ac:dyDescent="0.25">
      <c r="AB290" s="6"/>
      <c r="AC290" s="6"/>
      <c r="AD290" s="6"/>
      <c r="AE290" s="6"/>
      <c r="AF290" s="6"/>
      <c r="AG290" s="6"/>
      <c r="AH290" s="6"/>
      <c r="AI290" s="6"/>
      <c r="AJ290" s="6"/>
      <c r="AK290" s="6"/>
      <c r="AL290" s="6"/>
    </row>
    <row r="291" spans="28:38" ht="15.75" customHeight="1" x14ac:dyDescent="0.25">
      <c r="AB291" s="6"/>
      <c r="AC291" s="6"/>
      <c r="AD291" s="6"/>
      <c r="AE291" s="6"/>
      <c r="AF291" s="6"/>
      <c r="AG291" s="6"/>
      <c r="AH291" s="6"/>
      <c r="AI291" s="6"/>
      <c r="AJ291" s="6"/>
      <c r="AK291" s="6"/>
      <c r="AL291" s="6"/>
    </row>
    <row r="292" spans="28:38" ht="15.75" customHeight="1" x14ac:dyDescent="0.25">
      <c r="AB292" s="6"/>
      <c r="AC292" s="6"/>
      <c r="AD292" s="6"/>
      <c r="AE292" s="6"/>
      <c r="AF292" s="6"/>
      <c r="AG292" s="6"/>
      <c r="AH292" s="6"/>
      <c r="AI292" s="6"/>
      <c r="AJ292" s="6"/>
      <c r="AK292" s="6"/>
      <c r="AL292" s="6"/>
    </row>
    <row r="293" spans="28:38" ht="15.75" customHeight="1" x14ac:dyDescent="0.25">
      <c r="AB293" s="6"/>
      <c r="AC293" s="6"/>
      <c r="AD293" s="6"/>
      <c r="AE293" s="6"/>
      <c r="AF293" s="6"/>
      <c r="AG293" s="6"/>
      <c r="AH293" s="6"/>
      <c r="AI293" s="6"/>
      <c r="AJ293" s="6"/>
      <c r="AK293" s="6"/>
      <c r="AL293" s="6"/>
    </row>
    <row r="294" spans="28:38" ht="15.75" customHeight="1" x14ac:dyDescent="0.25">
      <c r="AB294" s="6"/>
      <c r="AC294" s="6"/>
      <c r="AD294" s="6"/>
      <c r="AE294" s="6"/>
      <c r="AF294" s="6"/>
      <c r="AG294" s="6"/>
      <c r="AH294" s="6"/>
      <c r="AI294" s="6"/>
      <c r="AJ294" s="6"/>
      <c r="AK294" s="6"/>
      <c r="AL294" s="6"/>
    </row>
    <row r="295" spans="28:38" ht="15.75" customHeight="1" x14ac:dyDescent="0.25">
      <c r="AB295" s="6"/>
      <c r="AC295" s="6"/>
      <c r="AD295" s="6"/>
      <c r="AE295" s="6"/>
      <c r="AF295" s="6"/>
      <c r="AG295" s="6"/>
      <c r="AH295" s="6"/>
      <c r="AI295" s="6"/>
      <c r="AJ295" s="6"/>
      <c r="AK295" s="6"/>
      <c r="AL295" s="6"/>
    </row>
    <row r="296" spans="28:38" ht="15.75" customHeight="1" x14ac:dyDescent="0.25">
      <c r="AB296" s="6"/>
      <c r="AC296" s="6"/>
      <c r="AD296" s="6"/>
      <c r="AE296" s="6"/>
      <c r="AF296" s="6"/>
      <c r="AG296" s="6"/>
      <c r="AH296" s="6"/>
      <c r="AI296" s="6"/>
      <c r="AJ296" s="6"/>
      <c r="AK296" s="6"/>
      <c r="AL296" s="6"/>
    </row>
    <row r="297" spans="28:38" ht="15.75" customHeight="1" x14ac:dyDescent="0.25">
      <c r="AB297" s="6"/>
      <c r="AC297" s="6"/>
      <c r="AD297" s="6"/>
      <c r="AE297" s="6"/>
      <c r="AF297" s="6"/>
      <c r="AG297" s="6"/>
      <c r="AH297" s="6"/>
      <c r="AI297" s="6"/>
      <c r="AJ297" s="6"/>
      <c r="AK297" s="6"/>
      <c r="AL297" s="6"/>
    </row>
    <row r="298" spans="28:38" ht="15.75" customHeight="1" x14ac:dyDescent="0.25">
      <c r="AB298" s="6"/>
      <c r="AC298" s="6"/>
      <c r="AD298" s="6"/>
      <c r="AE298" s="6"/>
      <c r="AF298" s="6"/>
      <c r="AG298" s="6"/>
      <c r="AH298" s="6"/>
      <c r="AI298" s="6"/>
      <c r="AJ298" s="6"/>
      <c r="AK298" s="6"/>
      <c r="AL298" s="6"/>
    </row>
    <row r="299" spans="28:38" ht="15.75" customHeight="1" x14ac:dyDescent="0.25">
      <c r="AB299" s="6"/>
      <c r="AC299" s="6"/>
      <c r="AD299" s="6"/>
      <c r="AE299" s="6"/>
      <c r="AF299" s="6"/>
      <c r="AG299" s="6"/>
      <c r="AH299" s="6"/>
      <c r="AI299" s="6"/>
      <c r="AJ299" s="6"/>
      <c r="AK299" s="6"/>
      <c r="AL299" s="6"/>
    </row>
    <row r="300" spans="28:38" ht="15.75" customHeight="1" x14ac:dyDescent="0.25">
      <c r="AB300" s="6"/>
      <c r="AC300" s="6"/>
      <c r="AD300" s="6"/>
      <c r="AE300" s="6"/>
      <c r="AF300" s="6"/>
      <c r="AG300" s="6"/>
      <c r="AH300" s="6"/>
      <c r="AI300" s="6"/>
      <c r="AJ300" s="6"/>
      <c r="AK300" s="6"/>
      <c r="AL300" s="6"/>
    </row>
    <row r="301" spans="28:38" ht="15.75" customHeight="1" x14ac:dyDescent="0.25">
      <c r="AB301" s="6"/>
      <c r="AC301" s="6"/>
      <c r="AD301" s="6"/>
      <c r="AE301" s="6"/>
      <c r="AF301" s="6"/>
      <c r="AG301" s="6"/>
      <c r="AH301" s="6"/>
      <c r="AI301" s="6"/>
      <c r="AJ301" s="6"/>
      <c r="AK301" s="6"/>
      <c r="AL301" s="6"/>
    </row>
    <row r="302" spans="28:38" ht="15.75" customHeight="1" x14ac:dyDescent="0.25">
      <c r="AB302" s="6"/>
      <c r="AC302" s="6"/>
      <c r="AD302" s="6"/>
      <c r="AE302" s="6"/>
      <c r="AF302" s="6"/>
      <c r="AG302" s="6"/>
      <c r="AH302" s="6"/>
      <c r="AI302" s="6"/>
      <c r="AJ302" s="6"/>
      <c r="AK302" s="6"/>
      <c r="AL302" s="6"/>
    </row>
    <row r="303" spans="28:38" ht="15.75" customHeight="1" x14ac:dyDescent="0.25">
      <c r="AB303" s="6"/>
      <c r="AC303" s="6"/>
      <c r="AD303" s="6"/>
      <c r="AE303" s="6"/>
      <c r="AF303" s="6"/>
      <c r="AG303" s="6"/>
      <c r="AH303" s="6"/>
      <c r="AI303" s="6"/>
      <c r="AJ303" s="6"/>
      <c r="AK303" s="6"/>
      <c r="AL303" s="6"/>
    </row>
    <row r="304" spans="28:38" ht="15.75" customHeight="1" x14ac:dyDescent="0.25">
      <c r="AB304" s="6"/>
      <c r="AC304" s="6"/>
      <c r="AD304" s="6"/>
      <c r="AE304" s="6"/>
      <c r="AF304" s="6"/>
      <c r="AG304" s="6"/>
      <c r="AH304" s="6"/>
      <c r="AI304" s="6"/>
      <c r="AJ304" s="6"/>
      <c r="AK304" s="6"/>
      <c r="AL304" s="6"/>
    </row>
    <row r="305" spans="28:38" ht="15.75" customHeight="1" x14ac:dyDescent="0.25">
      <c r="AB305" s="6"/>
      <c r="AC305" s="6"/>
      <c r="AD305" s="6"/>
      <c r="AE305" s="6"/>
      <c r="AF305" s="6"/>
      <c r="AG305" s="6"/>
      <c r="AH305" s="6"/>
      <c r="AI305" s="6"/>
      <c r="AJ305" s="6"/>
      <c r="AK305" s="6"/>
      <c r="AL305" s="6"/>
    </row>
    <row r="306" spans="28:38" ht="15.75" customHeight="1" x14ac:dyDescent="0.25">
      <c r="AB306" s="6"/>
      <c r="AC306" s="6"/>
      <c r="AD306" s="6"/>
      <c r="AE306" s="6"/>
      <c r="AF306" s="6"/>
      <c r="AG306" s="6"/>
      <c r="AH306" s="6"/>
      <c r="AI306" s="6"/>
      <c r="AJ306" s="6"/>
      <c r="AK306" s="6"/>
      <c r="AL306" s="6"/>
    </row>
    <row r="307" spans="28:38" ht="15.75" customHeight="1" x14ac:dyDescent="0.25">
      <c r="AB307" s="6"/>
      <c r="AC307" s="6"/>
      <c r="AD307" s="6"/>
      <c r="AE307" s="6"/>
      <c r="AF307" s="6"/>
      <c r="AG307" s="6"/>
      <c r="AH307" s="6"/>
      <c r="AI307" s="6"/>
      <c r="AJ307" s="6"/>
      <c r="AK307" s="6"/>
      <c r="AL307" s="6"/>
    </row>
    <row r="308" spans="28:38" ht="15.75" customHeight="1" x14ac:dyDescent="0.25">
      <c r="AB308" s="6"/>
      <c r="AC308" s="6"/>
      <c r="AD308" s="6"/>
      <c r="AE308" s="6"/>
      <c r="AF308" s="6"/>
      <c r="AG308" s="6"/>
      <c r="AH308" s="6"/>
      <c r="AI308" s="6"/>
      <c r="AJ308" s="6"/>
      <c r="AK308" s="6"/>
      <c r="AL308" s="6"/>
    </row>
    <row r="309" spans="28:38" ht="15.75" customHeight="1" x14ac:dyDescent="0.25">
      <c r="AB309" s="6"/>
      <c r="AC309" s="6"/>
      <c r="AD309" s="6"/>
      <c r="AE309" s="6"/>
      <c r="AF309" s="6"/>
      <c r="AG309" s="6"/>
      <c r="AH309" s="6"/>
      <c r="AI309" s="6"/>
      <c r="AJ309" s="6"/>
      <c r="AK309" s="6"/>
      <c r="AL309" s="6"/>
    </row>
    <row r="310" spans="28:38" ht="15.75" customHeight="1" x14ac:dyDescent="0.25">
      <c r="AB310" s="6"/>
      <c r="AC310" s="6"/>
      <c r="AD310" s="6"/>
      <c r="AE310" s="6"/>
      <c r="AF310" s="6"/>
      <c r="AG310" s="6"/>
      <c r="AH310" s="6"/>
      <c r="AI310" s="6"/>
      <c r="AJ310" s="6"/>
      <c r="AK310" s="6"/>
      <c r="AL310" s="6"/>
    </row>
    <row r="311" spans="28:38" ht="15.75" customHeight="1" x14ac:dyDescent="0.25">
      <c r="AB311" s="6"/>
      <c r="AC311" s="6"/>
      <c r="AD311" s="6"/>
      <c r="AE311" s="6"/>
      <c r="AF311" s="6"/>
      <c r="AG311" s="6"/>
      <c r="AH311" s="6"/>
      <c r="AI311" s="6"/>
      <c r="AJ311" s="6"/>
      <c r="AK311" s="6"/>
      <c r="AL311" s="6"/>
    </row>
    <row r="312" spans="28:38" ht="15.75" customHeight="1" x14ac:dyDescent="0.25">
      <c r="AB312" s="6"/>
      <c r="AC312" s="6"/>
      <c r="AD312" s="6"/>
      <c r="AE312" s="6"/>
      <c r="AF312" s="6"/>
      <c r="AG312" s="6"/>
      <c r="AH312" s="6"/>
      <c r="AI312" s="6"/>
      <c r="AJ312" s="6"/>
      <c r="AK312" s="6"/>
      <c r="AL312" s="6"/>
    </row>
    <row r="313" spans="28:38" ht="15.75" customHeight="1" x14ac:dyDescent="0.25">
      <c r="AB313" s="6"/>
      <c r="AC313" s="6"/>
      <c r="AD313" s="6"/>
      <c r="AE313" s="6"/>
      <c r="AF313" s="6"/>
      <c r="AG313" s="6"/>
      <c r="AH313" s="6"/>
      <c r="AI313" s="6"/>
      <c r="AJ313" s="6"/>
      <c r="AK313" s="6"/>
      <c r="AL313" s="6"/>
    </row>
    <row r="314" spans="28:38" ht="15.75" customHeight="1" x14ac:dyDescent="0.25">
      <c r="AB314" s="6"/>
      <c r="AC314" s="6"/>
      <c r="AD314" s="6"/>
      <c r="AE314" s="6"/>
      <c r="AF314" s="6"/>
      <c r="AG314" s="6"/>
      <c r="AH314" s="6"/>
      <c r="AI314" s="6"/>
      <c r="AJ314" s="6"/>
      <c r="AK314" s="6"/>
      <c r="AL314" s="6"/>
    </row>
    <row r="315" spans="28:38" ht="15.75" customHeight="1" x14ac:dyDescent="0.25">
      <c r="AB315" s="6"/>
      <c r="AC315" s="6"/>
      <c r="AD315" s="6"/>
      <c r="AE315" s="6"/>
      <c r="AF315" s="6"/>
      <c r="AG315" s="6"/>
      <c r="AH315" s="6"/>
      <c r="AI315" s="6"/>
      <c r="AJ315" s="6"/>
      <c r="AK315" s="6"/>
      <c r="AL315" s="6"/>
    </row>
    <row r="316" spans="28:38" ht="15.75" customHeight="1" x14ac:dyDescent="0.25">
      <c r="AB316" s="6"/>
      <c r="AC316" s="6"/>
      <c r="AD316" s="6"/>
      <c r="AE316" s="6"/>
      <c r="AF316" s="6"/>
      <c r="AG316" s="6"/>
      <c r="AH316" s="6"/>
      <c r="AI316" s="6"/>
      <c r="AJ316" s="6"/>
      <c r="AK316" s="6"/>
      <c r="AL316" s="6"/>
    </row>
    <row r="317" spans="28:38" ht="15.75" customHeight="1" x14ac:dyDescent="0.25">
      <c r="AB317" s="6"/>
      <c r="AC317" s="6"/>
      <c r="AD317" s="6"/>
      <c r="AE317" s="6"/>
      <c r="AF317" s="6"/>
      <c r="AG317" s="6"/>
      <c r="AH317" s="6"/>
      <c r="AI317" s="6"/>
      <c r="AJ317" s="6"/>
      <c r="AK317" s="6"/>
      <c r="AL317" s="6"/>
    </row>
    <row r="318" spans="28:38" ht="15.75" customHeight="1" x14ac:dyDescent="0.25">
      <c r="AB318" s="6"/>
      <c r="AC318" s="6"/>
      <c r="AD318" s="6"/>
      <c r="AE318" s="6"/>
      <c r="AF318" s="6"/>
      <c r="AG318" s="6"/>
      <c r="AH318" s="6"/>
      <c r="AI318" s="6"/>
      <c r="AJ318" s="6"/>
      <c r="AK318" s="6"/>
      <c r="AL318" s="6"/>
    </row>
    <row r="319" spans="28:38" ht="15.75" customHeight="1" x14ac:dyDescent="0.25">
      <c r="AB319" s="6"/>
      <c r="AC319" s="6"/>
      <c r="AD319" s="6"/>
      <c r="AE319" s="6"/>
      <c r="AF319" s="6"/>
      <c r="AG319" s="6"/>
      <c r="AH319" s="6"/>
      <c r="AI319" s="6"/>
      <c r="AJ319" s="6"/>
      <c r="AK319" s="6"/>
      <c r="AL319" s="6"/>
    </row>
    <row r="320" spans="28:38" ht="15.75" customHeight="1" x14ac:dyDescent="0.25">
      <c r="AB320" s="6"/>
      <c r="AC320" s="6"/>
      <c r="AD320" s="6"/>
      <c r="AE320" s="6"/>
      <c r="AF320" s="6"/>
      <c r="AG320" s="6"/>
      <c r="AH320" s="6"/>
      <c r="AI320" s="6"/>
      <c r="AJ320" s="6"/>
      <c r="AK320" s="6"/>
      <c r="AL320" s="6"/>
    </row>
    <row r="321" spans="28:38" ht="15.75" customHeight="1" x14ac:dyDescent="0.25">
      <c r="AB321" s="6"/>
      <c r="AC321" s="6"/>
      <c r="AD321" s="6"/>
      <c r="AE321" s="6"/>
      <c r="AF321" s="6"/>
      <c r="AG321" s="6"/>
      <c r="AH321" s="6"/>
      <c r="AI321" s="6"/>
      <c r="AJ321" s="6"/>
      <c r="AK321" s="6"/>
      <c r="AL321" s="6"/>
    </row>
    <row r="322" spans="28:38" ht="15.75" customHeight="1" x14ac:dyDescent="0.25">
      <c r="AB322" s="6"/>
      <c r="AC322" s="6"/>
      <c r="AD322" s="6"/>
      <c r="AE322" s="6"/>
      <c r="AF322" s="6"/>
      <c r="AG322" s="6"/>
      <c r="AH322" s="6"/>
      <c r="AI322" s="6"/>
      <c r="AJ322" s="6"/>
      <c r="AK322" s="6"/>
      <c r="AL322" s="6"/>
    </row>
    <row r="323" spans="28:38" ht="15.75" customHeight="1" x14ac:dyDescent="0.25">
      <c r="AB323" s="6"/>
      <c r="AC323" s="6"/>
      <c r="AD323" s="6"/>
      <c r="AE323" s="6"/>
      <c r="AF323" s="6"/>
      <c r="AG323" s="6"/>
      <c r="AH323" s="6"/>
      <c r="AI323" s="6"/>
      <c r="AJ323" s="6"/>
      <c r="AK323" s="6"/>
      <c r="AL323" s="6"/>
    </row>
    <row r="324" spans="28:38" ht="15.75" customHeight="1" x14ac:dyDescent="0.25">
      <c r="AB324" s="6"/>
      <c r="AC324" s="6"/>
      <c r="AD324" s="6"/>
      <c r="AE324" s="6"/>
      <c r="AF324" s="6"/>
      <c r="AG324" s="6"/>
      <c r="AH324" s="6"/>
      <c r="AI324" s="6"/>
      <c r="AJ324" s="6"/>
      <c r="AK324" s="6"/>
      <c r="AL324" s="6"/>
    </row>
    <row r="325" spans="28:38" ht="15.75" customHeight="1" x14ac:dyDescent="0.25">
      <c r="AB325" s="6"/>
      <c r="AC325" s="6"/>
      <c r="AD325" s="6"/>
      <c r="AE325" s="6"/>
      <c r="AF325" s="6"/>
      <c r="AG325" s="6"/>
      <c r="AH325" s="6"/>
      <c r="AI325" s="6"/>
      <c r="AJ325" s="6"/>
      <c r="AK325" s="6"/>
      <c r="AL325" s="6"/>
    </row>
    <row r="326" spans="28:38" ht="15.75" customHeight="1" x14ac:dyDescent="0.25">
      <c r="AB326" s="6"/>
      <c r="AC326" s="6"/>
      <c r="AD326" s="6"/>
      <c r="AE326" s="6"/>
      <c r="AF326" s="6"/>
      <c r="AG326" s="6"/>
      <c r="AH326" s="6"/>
      <c r="AI326" s="6"/>
      <c r="AJ326" s="6"/>
      <c r="AK326" s="6"/>
      <c r="AL326" s="6"/>
    </row>
    <row r="327" spans="28:38" ht="15.75" customHeight="1" x14ac:dyDescent="0.25">
      <c r="AB327" s="6"/>
      <c r="AC327" s="6"/>
      <c r="AD327" s="6"/>
      <c r="AE327" s="6"/>
      <c r="AF327" s="6"/>
      <c r="AG327" s="6"/>
      <c r="AH327" s="6"/>
      <c r="AI327" s="6"/>
      <c r="AJ327" s="6"/>
      <c r="AK327" s="6"/>
      <c r="AL327" s="6"/>
    </row>
    <row r="328" spans="28:38" ht="15.75" customHeight="1" x14ac:dyDescent="0.25">
      <c r="AB328" s="6"/>
      <c r="AC328" s="6"/>
      <c r="AD328" s="6"/>
      <c r="AE328" s="6"/>
      <c r="AF328" s="6"/>
      <c r="AG328" s="6"/>
      <c r="AH328" s="6"/>
      <c r="AI328" s="6"/>
      <c r="AJ328" s="6"/>
      <c r="AK328" s="6"/>
      <c r="AL328" s="6"/>
    </row>
    <row r="329" spans="28:38" ht="15.75" customHeight="1" x14ac:dyDescent="0.25">
      <c r="AB329" s="6"/>
      <c r="AC329" s="6"/>
      <c r="AD329" s="6"/>
      <c r="AE329" s="6"/>
      <c r="AF329" s="6"/>
      <c r="AG329" s="6"/>
      <c r="AH329" s="6"/>
      <c r="AI329" s="6"/>
      <c r="AJ329" s="6"/>
      <c r="AK329" s="6"/>
      <c r="AL329" s="6"/>
    </row>
    <row r="330" spans="28:38" ht="15.75" customHeight="1" x14ac:dyDescent="0.25">
      <c r="AB330" s="6"/>
      <c r="AC330" s="6"/>
      <c r="AD330" s="6"/>
      <c r="AE330" s="6"/>
      <c r="AF330" s="6"/>
      <c r="AG330" s="6"/>
      <c r="AH330" s="6"/>
      <c r="AI330" s="6"/>
      <c r="AJ330" s="6"/>
      <c r="AK330" s="6"/>
      <c r="AL330" s="6"/>
    </row>
    <row r="331" spans="28:38" ht="15.75" customHeight="1" x14ac:dyDescent="0.25">
      <c r="AB331" s="6"/>
      <c r="AC331" s="6"/>
      <c r="AD331" s="6"/>
      <c r="AE331" s="6"/>
      <c r="AF331" s="6"/>
      <c r="AG331" s="6"/>
      <c r="AH331" s="6"/>
      <c r="AI331" s="6"/>
      <c r="AJ331" s="6"/>
      <c r="AK331" s="6"/>
      <c r="AL331" s="6"/>
    </row>
    <row r="332" spans="28:38" ht="15.75" customHeight="1" x14ac:dyDescent="0.25">
      <c r="AB332" s="6"/>
      <c r="AC332" s="6"/>
      <c r="AD332" s="6"/>
      <c r="AE332" s="6"/>
      <c r="AF332" s="6"/>
      <c r="AG332" s="6"/>
      <c r="AH332" s="6"/>
      <c r="AI332" s="6"/>
      <c r="AJ332" s="6"/>
      <c r="AK332" s="6"/>
      <c r="AL332" s="6"/>
    </row>
    <row r="333" spans="28:38" ht="15.75" customHeight="1" x14ac:dyDescent="0.25">
      <c r="AB333" s="6"/>
      <c r="AC333" s="6"/>
      <c r="AD333" s="6"/>
      <c r="AE333" s="6"/>
      <c r="AF333" s="6"/>
      <c r="AG333" s="6"/>
      <c r="AH333" s="6"/>
      <c r="AI333" s="6"/>
      <c r="AJ333" s="6"/>
      <c r="AK333" s="6"/>
      <c r="AL333" s="6"/>
    </row>
    <row r="334" spans="28:38" ht="15.75" customHeight="1" x14ac:dyDescent="0.25">
      <c r="AB334" s="6"/>
      <c r="AC334" s="6"/>
      <c r="AD334" s="6"/>
      <c r="AE334" s="6"/>
      <c r="AF334" s="6"/>
      <c r="AG334" s="6"/>
      <c r="AH334" s="6"/>
      <c r="AI334" s="6"/>
      <c r="AJ334" s="6"/>
      <c r="AK334" s="6"/>
      <c r="AL334" s="6"/>
    </row>
    <row r="335" spans="28:38" ht="15.75" customHeight="1" x14ac:dyDescent="0.25">
      <c r="AB335" s="6"/>
      <c r="AC335" s="6"/>
      <c r="AD335" s="6"/>
      <c r="AE335" s="6"/>
      <c r="AF335" s="6"/>
      <c r="AG335" s="6"/>
      <c r="AH335" s="6"/>
      <c r="AI335" s="6"/>
      <c r="AJ335" s="6"/>
      <c r="AK335" s="6"/>
      <c r="AL335" s="6"/>
    </row>
    <row r="336" spans="28:38" ht="15.75" customHeight="1" x14ac:dyDescent="0.25">
      <c r="AB336" s="6"/>
      <c r="AC336" s="6"/>
      <c r="AD336" s="6"/>
      <c r="AE336" s="6"/>
      <c r="AF336" s="6"/>
      <c r="AG336" s="6"/>
      <c r="AH336" s="6"/>
      <c r="AI336" s="6"/>
      <c r="AJ336" s="6"/>
      <c r="AK336" s="6"/>
      <c r="AL336" s="6"/>
    </row>
    <row r="337" spans="28:38" ht="15.75" customHeight="1" x14ac:dyDescent="0.25">
      <c r="AB337" s="6"/>
      <c r="AC337" s="6"/>
      <c r="AD337" s="6"/>
      <c r="AE337" s="6"/>
      <c r="AF337" s="6"/>
      <c r="AG337" s="6"/>
      <c r="AH337" s="6"/>
      <c r="AI337" s="6"/>
      <c r="AJ337" s="6"/>
      <c r="AK337" s="6"/>
      <c r="AL337" s="6"/>
    </row>
    <row r="338" spans="28:38" ht="15.75" customHeight="1" x14ac:dyDescent="0.25">
      <c r="AB338" s="6"/>
      <c r="AC338" s="6"/>
      <c r="AD338" s="6"/>
      <c r="AE338" s="6"/>
      <c r="AF338" s="6"/>
      <c r="AG338" s="6"/>
      <c r="AH338" s="6"/>
      <c r="AI338" s="6"/>
      <c r="AJ338" s="6"/>
      <c r="AK338" s="6"/>
      <c r="AL338" s="6"/>
    </row>
    <row r="339" spans="28:38" ht="15.75" customHeight="1" x14ac:dyDescent="0.25">
      <c r="AB339" s="6"/>
      <c r="AC339" s="6"/>
      <c r="AD339" s="6"/>
      <c r="AE339" s="6"/>
      <c r="AF339" s="6"/>
      <c r="AG339" s="6"/>
      <c r="AH339" s="6"/>
      <c r="AI339" s="6"/>
      <c r="AJ339" s="6"/>
      <c r="AK339" s="6"/>
      <c r="AL339" s="6"/>
    </row>
    <row r="340" spans="28:38" ht="15.75" customHeight="1" x14ac:dyDescent="0.25">
      <c r="AB340" s="6"/>
      <c r="AC340" s="6"/>
      <c r="AD340" s="6"/>
      <c r="AE340" s="6"/>
      <c r="AF340" s="6"/>
      <c r="AG340" s="6"/>
      <c r="AH340" s="6"/>
      <c r="AI340" s="6"/>
      <c r="AJ340" s="6"/>
      <c r="AK340" s="6"/>
      <c r="AL340" s="6"/>
    </row>
    <row r="341" spans="28:38" ht="15.75" customHeight="1" x14ac:dyDescent="0.25">
      <c r="AB341" s="6"/>
      <c r="AC341" s="6"/>
      <c r="AD341" s="6"/>
      <c r="AE341" s="6"/>
      <c r="AF341" s="6"/>
      <c r="AG341" s="6"/>
      <c r="AH341" s="6"/>
      <c r="AI341" s="6"/>
      <c r="AJ341" s="6"/>
      <c r="AK341" s="6"/>
      <c r="AL341" s="6"/>
    </row>
    <row r="342" spans="28:38" ht="15.75" customHeight="1" x14ac:dyDescent="0.25">
      <c r="AB342" s="6"/>
      <c r="AC342" s="6"/>
      <c r="AD342" s="6"/>
      <c r="AE342" s="6"/>
      <c r="AF342" s="6"/>
      <c r="AG342" s="6"/>
      <c r="AH342" s="6"/>
      <c r="AI342" s="6"/>
      <c r="AJ342" s="6"/>
      <c r="AK342" s="6"/>
      <c r="AL342" s="6"/>
    </row>
    <row r="343" spans="28:38" ht="15.75" customHeight="1" x14ac:dyDescent="0.25">
      <c r="AB343" s="6"/>
      <c r="AC343" s="6"/>
      <c r="AD343" s="6"/>
      <c r="AE343" s="6"/>
      <c r="AF343" s="6"/>
      <c r="AG343" s="6"/>
      <c r="AH343" s="6"/>
      <c r="AI343" s="6"/>
      <c r="AJ343" s="6"/>
      <c r="AK343" s="6"/>
      <c r="AL343" s="6"/>
    </row>
    <row r="344" spans="28:38" ht="15.75" customHeight="1" x14ac:dyDescent="0.25">
      <c r="AB344" s="6"/>
      <c r="AC344" s="6"/>
      <c r="AD344" s="6"/>
      <c r="AE344" s="6"/>
      <c r="AF344" s="6"/>
      <c r="AG344" s="6"/>
      <c r="AH344" s="6"/>
      <c r="AI344" s="6"/>
      <c r="AJ344" s="6"/>
      <c r="AK344" s="6"/>
      <c r="AL344" s="6"/>
    </row>
    <row r="345" spans="28:38" ht="15.75" customHeight="1" x14ac:dyDescent="0.25">
      <c r="AB345" s="6"/>
      <c r="AC345" s="6"/>
      <c r="AD345" s="6"/>
      <c r="AE345" s="6"/>
      <c r="AF345" s="6"/>
      <c r="AG345" s="6"/>
      <c r="AH345" s="6"/>
      <c r="AI345" s="6"/>
      <c r="AJ345" s="6"/>
      <c r="AK345" s="6"/>
      <c r="AL345" s="6"/>
    </row>
    <row r="346" spans="28:38" ht="15.75" customHeight="1" x14ac:dyDescent="0.25">
      <c r="AB346" s="6"/>
      <c r="AC346" s="6"/>
      <c r="AD346" s="6"/>
      <c r="AE346" s="6"/>
      <c r="AF346" s="6"/>
      <c r="AG346" s="6"/>
      <c r="AH346" s="6"/>
      <c r="AI346" s="6"/>
      <c r="AJ346" s="6"/>
      <c r="AK346" s="6"/>
      <c r="AL346" s="6"/>
    </row>
    <row r="347" spans="28:38" ht="15.75" customHeight="1" x14ac:dyDescent="0.25">
      <c r="AB347" s="6"/>
      <c r="AC347" s="6"/>
      <c r="AD347" s="6"/>
      <c r="AE347" s="6"/>
      <c r="AF347" s="6"/>
      <c r="AG347" s="6"/>
      <c r="AH347" s="6"/>
      <c r="AI347" s="6"/>
      <c r="AJ347" s="6"/>
      <c r="AK347" s="6"/>
      <c r="AL347" s="6"/>
    </row>
    <row r="348" spans="28:38" ht="15.75" customHeight="1" x14ac:dyDescent="0.25">
      <c r="AB348" s="6"/>
      <c r="AC348" s="6"/>
      <c r="AD348" s="6"/>
      <c r="AE348" s="6"/>
      <c r="AF348" s="6"/>
      <c r="AG348" s="6"/>
      <c r="AH348" s="6"/>
      <c r="AI348" s="6"/>
      <c r="AJ348" s="6"/>
      <c r="AK348" s="6"/>
      <c r="AL348" s="6"/>
    </row>
    <row r="349" spans="28:38" ht="15.75" customHeight="1" x14ac:dyDescent="0.25">
      <c r="AB349" s="6"/>
      <c r="AC349" s="6"/>
      <c r="AD349" s="6"/>
      <c r="AE349" s="6"/>
      <c r="AF349" s="6"/>
      <c r="AG349" s="6"/>
      <c r="AH349" s="6"/>
      <c r="AI349" s="6"/>
      <c r="AJ349" s="6"/>
      <c r="AK349" s="6"/>
      <c r="AL349" s="6"/>
    </row>
    <row r="350" spans="28:38" ht="15.75" customHeight="1" x14ac:dyDescent="0.25">
      <c r="AB350" s="6"/>
      <c r="AC350" s="6"/>
      <c r="AD350" s="6"/>
      <c r="AE350" s="6"/>
      <c r="AF350" s="6"/>
      <c r="AG350" s="6"/>
      <c r="AH350" s="6"/>
      <c r="AI350" s="6"/>
      <c r="AJ350" s="6"/>
      <c r="AK350" s="6"/>
      <c r="AL350" s="6"/>
    </row>
    <row r="351" spans="28:38" ht="15.75" customHeight="1" x14ac:dyDescent="0.25">
      <c r="AB351" s="6"/>
      <c r="AC351" s="6"/>
      <c r="AD351" s="6"/>
      <c r="AE351" s="6"/>
      <c r="AF351" s="6"/>
      <c r="AG351" s="6"/>
      <c r="AH351" s="6"/>
      <c r="AI351" s="6"/>
      <c r="AJ351" s="6"/>
      <c r="AK351" s="6"/>
      <c r="AL351" s="6"/>
    </row>
    <row r="352" spans="28:38" ht="15.75" customHeight="1" x14ac:dyDescent="0.25">
      <c r="AB352" s="6"/>
      <c r="AC352" s="6"/>
      <c r="AD352" s="6"/>
      <c r="AE352" s="6"/>
      <c r="AF352" s="6"/>
      <c r="AG352" s="6"/>
      <c r="AH352" s="6"/>
      <c r="AI352" s="6"/>
      <c r="AJ352" s="6"/>
      <c r="AK352" s="6"/>
      <c r="AL352" s="6"/>
    </row>
    <row r="353" spans="28:38" ht="15.75" customHeight="1" x14ac:dyDescent="0.25">
      <c r="AB353" s="6"/>
      <c r="AC353" s="6"/>
      <c r="AD353" s="6"/>
      <c r="AE353" s="6"/>
      <c r="AF353" s="6"/>
      <c r="AG353" s="6"/>
      <c r="AH353" s="6"/>
      <c r="AI353" s="6"/>
      <c r="AJ353" s="6"/>
      <c r="AK353" s="6"/>
      <c r="AL353" s="6"/>
    </row>
    <row r="354" spans="28:38" ht="15.75" customHeight="1" x14ac:dyDescent="0.25">
      <c r="AB354" s="6"/>
      <c r="AC354" s="6"/>
      <c r="AD354" s="6"/>
      <c r="AE354" s="6"/>
      <c r="AF354" s="6"/>
      <c r="AG354" s="6"/>
      <c r="AH354" s="6"/>
      <c r="AI354" s="6"/>
      <c r="AJ354" s="6"/>
      <c r="AK354" s="6"/>
      <c r="AL354" s="6"/>
    </row>
    <row r="355" spans="28:38" ht="15.75" customHeight="1" x14ac:dyDescent="0.25">
      <c r="AB355" s="6"/>
      <c r="AC355" s="6"/>
      <c r="AD355" s="6"/>
      <c r="AE355" s="6"/>
      <c r="AF355" s="6"/>
      <c r="AG355" s="6"/>
      <c r="AH355" s="6"/>
      <c r="AI355" s="6"/>
      <c r="AJ355" s="6"/>
      <c r="AK355" s="6"/>
      <c r="AL355" s="6"/>
    </row>
    <row r="356" spans="28:38" ht="15.75" customHeight="1" x14ac:dyDescent="0.25">
      <c r="AB356" s="6"/>
      <c r="AC356" s="6"/>
      <c r="AD356" s="6"/>
      <c r="AE356" s="6"/>
      <c r="AF356" s="6"/>
      <c r="AG356" s="6"/>
      <c r="AH356" s="6"/>
      <c r="AI356" s="6"/>
      <c r="AJ356" s="6"/>
      <c r="AK356" s="6"/>
      <c r="AL356" s="6"/>
    </row>
    <row r="357" spans="28:38" ht="15.75" customHeight="1" x14ac:dyDescent="0.25">
      <c r="AB357" s="6"/>
      <c r="AC357" s="6"/>
      <c r="AD357" s="6"/>
      <c r="AE357" s="6"/>
      <c r="AF357" s="6"/>
      <c r="AG357" s="6"/>
      <c r="AH357" s="6"/>
      <c r="AI357" s="6"/>
      <c r="AJ357" s="6"/>
      <c r="AK357" s="6"/>
      <c r="AL357" s="6"/>
    </row>
    <row r="358" spans="28:38" ht="15.75" customHeight="1" x14ac:dyDescent="0.25">
      <c r="AB358" s="6"/>
      <c r="AC358" s="6"/>
      <c r="AD358" s="6"/>
      <c r="AE358" s="6"/>
      <c r="AF358" s="6"/>
      <c r="AG358" s="6"/>
      <c r="AH358" s="6"/>
      <c r="AI358" s="6"/>
      <c r="AJ358" s="6"/>
      <c r="AK358" s="6"/>
      <c r="AL358" s="6"/>
    </row>
    <row r="359" spans="28:38" ht="15.75" customHeight="1" x14ac:dyDescent="0.25">
      <c r="AB359" s="6"/>
      <c r="AC359" s="6"/>
      <c r="AD359" s="6"/>
      <c r="AE359" s="6"/>
      <c r="AF359" s="6"/>
      <c r="AG359" s="6"/>
      <c r="AH359" s="6"/>
      <c r="AI359" s="6"/>
      <c r="AJ359" s="6"/>
      <c r="AK359" s="6"/>
      <c r="AL359" s="6"/>
    </row>
    <row r="360" spans="28:38" ht="15.75" customHeight="1" x14ac:dyDescent="0.25">
      <c r="AB360" s="6"/>
      <c r="AC360" s="6"/>
      <c r="AD360" s="6"/>
      <c r="AE360" s="6"/>
      <c r="AF360" s="6"/>
      <c r="AG360" s="6"/>
      <c r="AH360" s="6"/>
      <c r="AI360" s="6"/>
      <c r="AJ360" s="6"/>
      <c r="AK360" s="6"/>
      <c r="AL360" s="6"/>
    </row>
    <row r="361" spans="28:38" ht="15.75" customHeight="1" x14ac:dyDescent="0.25">
      <c r="AB361" s="6"/>
      <c r="AC361" s="6"/>
      <c r="AD361" s="6"/>
      <c r="AE361" s="6"/>
      <c r="AF361" s="6"/>
      <c r="AG361" s="6"/>
      <c r="AH361" s="6"/>
      <c r="AI361" s="6"/>
      <c r="AJ361" s="6"/>
      <c r="AK361" s="6"/>
      <c r="AL361" s="6"/>
    </row>
    <row r="362" spans="28:38" ht="15.75" customHeight="1" x14ac:dyDescent="0.25">
      <c r="AB362" s="6"/>
      <c r="AC362" s="6"/>
      <c r="AD362" s="6"/>
      <c r="AE362" s="6"/>
      <c r="AF362" s="6"/>
      <c r="AG362" s="6"/>
      <c r="AH362" s="6"/>
      <c r="AI362" s="6"/>
      <c r="AJ362" s="6"/>
      <c r="AK362" s="6"/>
      <c r="AL362" s="6"/>
    </row>
    <row r="363" spans="28:38" ht="15.75" customHeight="1" x14ac:dyDescent="0.25">
      <c r="AB363" s="6"/>
      <c r="AC363" s="6"/>
      <c r="AD363" s="6"/>
      <c r="AE363" s="6"/>
      <c r="AF363" s="6"/>
      <c r="AG363" s="6"/>
      <c r="AH363" s="6"/>
      <c r="AI363" s="6"/>
      <c r="AJ363" s="6"/>
      <c r="AK363" s="6"/>
      <c r="AL363" s="6"/>
    </row>
    <row r="364" spans="28:38" ht="15.75" customHeight="1" x14ac:dyDescent="0.25">
      <c r="AB364" s="6"/>
      <c r="AC364" s="6"/>
      <c r="AD364" s="6"/>
      <c r="AE364" s="6"/>
      <c r="AF364" s="6"/>
      <c r="AG364" s="6"/>
      <c r="AH364" s="6"/>
      <c r="AI364" s="6"/>
      <c r="AJ364" s="6"/>
      <c r="AK364" s="6"/>
      <c r="AL364" s="6"/>
    </row>
    <row r="365" spans="28:38" ht="15.75" customHeight="1" x14ac:dyDescent="0.25">
      <c r="AB365" s="6"/>
      <c r="AC365" s="6"/>
      <c r="AD365" s="6"/>
      <c r="AE365" s="6"/>
      <c r="AF365" s="6"/>
      <c r="AG365" s="6"/>
      <c r="AH365" s="6"/>
      <c r="AI365" s="6"/>
      <c r="AJ365" s="6"/>
      <c r="AK365" s="6"/>
      <c r="AL365" s="6"/>
    </row>
    <row r="366" spans="28:38" ht="15.75" customHeight="1" x14ac:dyDescent="0.25">
      <c r="AB366" s="6"/>
      <c r="AC366" s="6"/>
      <c r="AD366" s="6"/>
      <c r="AE366" s="6"/>
      <c r="AF366" s="6"/>
      <c r="AG366" s="6"/>
      <c r="AH366" s="6"/>
      <c r="AI366" s="6"/>
      <c r="AJ366" s="6"/>
      <c r="AK366" s="6"/>
      <c r="AL366" s="6"/>
    </row>
    <row r="367" spans="28:38" ht="15.75" customHeight="1" x14ac:dyDescent="0.25">
      <c r="AB367" s="6"/>
      <c r="AC367" s="6"/>
      <c r="AD367" s="6"/>
      <c r="AE367" s="6"/>
      <c r="AF367" s="6"/>
      <c r="AG367" s="6"/>
      <c r="AH367" s="6"/>
      <c r="AI367" s="6"/>
      <c r="AJ367" s="6"/>
      <c r="AK367" s="6"/>
      <c r="AL367" s="6"/>
    </row>
    <row r="368" spans="28:38" ht="15.75" customHeight="1" x14ac:dyDescent="0.25">
      <c r="AB368" s="6"/>
      <c r="AC368" s="6"/>
      <c r="AD368" s="6"/>
      <c r="AE368" s="6"/>
      <c r="AF368" s="6"/>
      <c r="AG368" s="6"/>
      <c r="AH368" s="6"/>
      <c r="AI368" s="6"/>
      <c r="AJ368" s="6"/>
      <c r="AK368" s="6"/>
      <c r="AL368" s="6"/>
    </row>
    <row r="369" spans="28:38" ht="15.75" customHeight="1" x14ac:dyDescent="0.25">
      <c r="AB369" s="6"/>
      <c r="AC369" s="6"/>
      <c r="AD369" s="6"/>
      <c r="AE369" s="6"/>
      <c r="AF369" s="6"/>
      <c r="AG369" s="6"/>
      <c r="AH369" s="6"/>
      <c r="AI369" s="6"/>
      <c r="AJ369" s="6"/>
      <c r="AK369" s="6"/>
      <c r="AL369" s="6"/>
    </row>
    <row r="370" spans="28:38" ht="15.75" customHeight="1" x14ac:dyDescent="0.25">
      <c r="AB370" s="6"/>
      <c r="AC370" s="6"/>
      <c r="AD370" s="6"/>
      <c r="AE370" s="6"/>
      <c r="AF370" s="6"/>
      <c r="AG370" s="6"/>
      <c r="AH370" s="6"/>
      <c r="AI370" s="6"/>
      <c r="AJ370" s="6"/>
      <c r="AK370" s="6"/>
      <c r="AL370" s="6"/>
    </row>
    <row r="371" spans="28:38" ht="15.75" customHeight="1" x14ac:dyDescent="0.25">
      <c r="AB371" s="6"/>
      <c r="AC371" s="6"/>
      <c r="AD371" s="6"/>
      <c r="AE371" s="6"/>
      <c r="AF371" s="6"/>
      <c r="AG371" s="6"/>
      <c r="AH371" s="6"/>
      <c r="AI371" s="6"/>
      <c r="AJ371" s="6"/>
      <c r="AK371" s="6"/>
      <c r="AL371" s="6"/>
    </row>
    <row r="372" spans="28:38" ht="15.75" customHeight="1" x14ac:dyDescent="0.25">
      <c r="AB372" s="6"/>
      <c r="AC372" s="6"/>
      <c r="AD372" s="6"/>
      <c r="AE372" s="6"/>
      <c r="AF372" s="6"/>
      <c r="AG372" s="6"/>
      <c r="AH372" s="6"/>
      <c r="AI372" s="6"/>
      <c r="AJ372" s="6"/>
      <c r="AK372" s="6"/>
      <c r="AL372" s="6"/>
    </row>
    <row r="373" spans="28:38" ht="15.75" customHeight="1" x14ac:dyDescent="0.25">
      <c r="AB373" s="6"/>
      <c r="AC373" s="6"/>
      <c r="AD373" s="6"/>
      <c r="AE373" s="6"/>
      <c r="AF373" s="6"/>
      <c r="AG373" s="6"/>
      <c r="AH373" s="6"/>
      <c r="AI373" s="6"/>
      <c r="AJ373" s="6"/>
      <c r="AK373" s="6"/>
      <c r="AL373" s="6"/>
    </row>
    <row r="374" spans="28:38" ht="15.75" customHeight="1" x14ac:dyDescent="0.25">
      <c r="AB374" s="6"/>
      <c r="AC374" s="6"/>
      <c r="AD374" s="6"/>
      <c r="AE374" s="6"/>
      <c r="AF374" s="6"/>
      <c r="AG374" s="6"/>
      <c r="AH374" s="6"/>
      <c r="AI374" s="6"/>
      <c r="AJ374" s="6"/>
      <c r="AK374" s="6"/>
      <c r="AL374" s="6"/>
    </row>
    <row r="375" spans="28:38" ht="15.75" customHeight="1" x14ac:dyDescent="0.25">
      <c r="AB375" s="6"/>
      <c r="AC375" s="6"/>
      <c r="AD375" s="6"/>
      <c r="AE375" s="6"/>
      <c r="AF375" s="6"/>
      <c r="AG375" s="6"/>
      <c r="AH375" s="6"/>
      <c r="AI375" s="6"/>
      <c r="AJ375" s="6"/>
      <c r="AK375" s="6"/>
      <c r="AL375" s="6"/>
    </row>
    <row r="376" spans="28:38" ht="15.75" customHeight="1" x14ac:dyDescent="0.25">
      <c r="AB376" s="6"/>
      <c r="AC376" s="6"/>
      <c r="AD376" s="6"/>
      <c r="AE376" s="6"/>
      <c r="AF376" s="6"/>
      <c r="AG376" s="6"/>
      <c r="AH376" s="6"/>
      <c r="AI376" s="6"/>
      <c r="AJ376" s="6"/>
      <c r="AK376" s="6"/>
      <c r="AL376" s="6"/>
    </row>
    <row r="377" spans="28:38" ht="15.75" customHeight="1" x14ac:dyDescent="0.25">
      <c r="AB377" s="6"/>
      <c r="AC377" s="6"/>
      <c r="AD377" s="6"/>
      <c r="AE377" s="6"/>
      <c r="AF377" s="6"/>
      <c r="AG377" s="6"/>
      <c r="AH377" s="6"/>
      <c r="AI377" s="6"/>
      <c r="AJ377" s="6"/>
      <c r="AK377" s="6"/>
      <c r="AL377" s="6"/>
    </row>
    <row r="378" spans="28:38" ht="15.75" customHeight="1" x14ac:dyDescent="0.25">
      <c r="AB378" s="6"/>
      <c r="AC378" s="6"/>
      <c r="AD378" s="6"/>
      <c r="AE378" s="6"/>
      <c r="AF378" s="6"/>
      <c r="AG378" s="6"/>
      <c r="AH378" s="6"/>
      <c r="AI378" s="6"/>
      <c r="AJ378" s="6"/>
      <c r="AK378" s="6"/>
      <c r="AL378" s="6"/>
    </row>
    <row r="379" spans="28:38" ht="15.75" customHeight="1" x14ac:dyDescent="0.25">
      <c r="AB379" s="6"/>
      <c r="AC379" s="6"/>
      <c r="AD379" s="6"/>
      <c r="AE379" s="6"/>
      <c r="AF379" s="6"/>
      <c r="AG379" s="6"/>
      <c r="AH379" s="6"/>
      <c r="AI379" s="6"/>
      <c r="AJ379" s="6"/>
      <c r="AK379" s="6"/>
      <c r="AL379" s="6"/>
    </row>
    <row r="380" spans="28:38" ht="15.75" customHeight="1" x14ac:dyDescent="0.25">
      <c r="AB380" s="6"/>
      <c r="AC380" s="6"/>
      <c r="AD380" s="6"/>
      <c r="AE380" s="6"/>
      <c r="AF380" s="6"/>
      <c r="AG380" s="6"/>
      <c r="AH380" s="6"/>
      <c r="AI380" s="6"/>
      <c r="AJ380" s="6"/>
      <c r="AK380" s="6"/>
      <c r="AL380" s="6"/>
    </row>
    <row r="381" spans="28:38" ht="15.75" customHeight="1" x14ac:dyDescent="0.25">
      <c r="AB381" s="6"/>
      <c r="AC381" s="6"/>
      <c r="AD381" s="6"/>
      <c r="AE381" s="6"/>
      <c r="AF381" s="6"/>
      <c r="AG381" s="6"/>
      <c r="AH381" s="6"/>
      <c r="AI381" s="6"/>
      <c r="AJ381" s="6"/>
      <c r="AK381" s="6"/>
      <c r="AL381" s="6"/>
    </row>
    <row r="382" spans="28:38" ht="15.75" customHeight="1" x14ac:dyDescent="0.25">
      <c r="AB382" s="6"/>
      <c r="AC382" s="6"/>
      <c r="AD382" s="6"/>
      <c r="AE382" s="6"/>
      <c r="AF382" s="6"/>
      <c r="AG382" s="6"/>
      <c r="AH382" s="6"/>
      <c r="AI382" s="6"/>
      <c r="AJ382" s="6"/>
      <c r="AK382" s="6"/>
      <c r="AL382" s="6"/>
    </row>
    <row r="383" spans="28:38" ht="15.75" customHeight="1" x14ac:dyDescent="0.25">
      <c r="AB383" s="6"/>
      <c r="AC383" s="6"/>
      <c r="AD383" s="6"/>
      <c r="AE383" s="6"/>
      <c r="AF383" s="6"/>
      <c r="AG383" s="6"/>
      <c r="AH383" s="6"/>
      <c r="AI383" s="6"/>
      <c r="AJ383" s="6"/>
      <c r="AK383" s="6"/>
      <c r="AL383" s="6"/>
    </row>
    <row r="384" spans="28:38" ht="15.75" customHeight="1" x14ac:dyDescent="0.25">
      <c r="AB384" s="6"/>
      <c r="AC384" s="6"/>
      <c r="AD384" s="6"/>
      <c r="AE384" s="6"/>
      <c r="AF384" s="6"/>
      <c r="AG384" s="6"/>
      <c r="AH384" s="6"/>
      <c r="AI384" s="6"/>
      <c r="AJ384" s="6"/>
      <c r="AK384" s="6"/>
      <c r="AL384" s="6"/>
    </row>
    <row r="385" spans="28:38" ht="15.75" customHeight="1" x14ac:dyDescent="0.25">
      <c r="AB385" s="6"/>
      <c r="AC385" s="6"/>
      <c r="AD385" s="6"/>
      <c r="AE385" s="6"/>
      <c r="AF385" s="6"/>
      <c r="AG385" s="6"/>
      <c r="AH385" s="6"/>
      <c r="AI385" s="6"/>
      <c r="AJ385" s="6"/>
      <c r="AK385" s="6"/>
      <c r="AL385" s="6"/>
    </row>
    <row r="386" spans="28:38" ht="15.75" customHeight="1" x14ac:dyDescent="0.25">
      <c r="AB386" s="6"/>
      <c r="AC386" s="6"/>
      <c r="AD386" s="6"/>
      <c r="AE386" s="6"/>
      <c r="AF386" s="6"/>
      <c r="AG386" s="6"/>
      <c r="AH386" s="6"/>
      <c r="AI386" s="6"/>
      <c r="AJ386" s="6"/>
      <c r="AK386" s="6"/>
      <c r="AL386" s="6"/>
    </row>
    <row r="387" spans="28:38" ht="15.75" customHeight="1" x14ac:dyDescent="0.25">
      <c r="AB387" s="6"/>
      <c r="AC387" s="6"/>
      <c r="AD387" s="6"/>
      <c r="AE387" s="6"/>
      <c r="AF387" s="6"/>
      <c r="AG387" s="6"/>
      <c r="AH387" s="6"/>
      <c r="AI387" s="6"/>
      <c r="AJ387" s="6"/>
      <c r="AK387" s="6"/>
      <c r="AL387" s="6"/>
    </row>
    <row r="388" spans="28:38" ht="15.75" customHeight="1" x14ac:dyDescent="0.25">
      <c r="AB388" s="6"/>
      <c r="AC388" s="6"/>
      <c r="AD388" s="6"/>
      <c r="AE388" s="6"/>
      <c r="AF388" s="6"/>
      <c r="AG388" s="6"/>
      <c r="AH388" s="6"/>
      <c r="AI388" s="6"/>
      <c r="AJ388" s="6"/>
      <c r="AK388" s="6"/>
      <c r="AL388" s="6"/>
    </row>
    <row r="389" spans="28:38" ht="15.75" customHeight="1" x14ac:dyDescent="0.25">
      <c r="AB389" s="6"/>
      <c r="AC389" s="6"/>
      <c r="AD389" s="6"/>
      <c r="AE389" s="6"/>
      <c r="AF389" s="6"/>
      <c r="AG389" s="6"/>
      <c r="AH389" s="6"/>
      <c r="AI389" s="6"/>
      <c r="AJ389" s="6"/>
      <c r="AK389" s="6"/>
      <c r="AL389" s="6"/>
    </row>
    <row r="390" spans="28:38" ht="15.75" customHeight="1" x14ac:dyDescent="0.25">
      <c r="AB390" s="6"/>
      <c r="AC390" s="6"/>
      <c r="AD390" s="6"/>
      <c r="AE390" s="6"/>
      <c r="AF390" s="6"/>
      <c r="AG390" s="6"/>
      <c r="AH390" s="6"/>
      <c r="AI390" s="6"/>
      <c r="AJ390" s="6"/>
      <c r="AK390" s="6"/>
      <c r="AL390" s="6"/>
    </row>
    <row r="391" spans="28:38" ht="15.75" customHeight="1" x14ac:dyDescent="0.25">
      <c r="AB391" s="6"/>
      <c r="AC391" s="6"/>
      <c r="AD391" s="6"/>
      <c r="AE391" s="6"/>
      <c r="AF391" s="6"/>
      <c r="AG391" s="6"/>
      <c r="AH391" s="6"/>
      <c r="AI391" s="6"/>
      <c r="AJ391" s="6"/>
      <c r="AK391" s="6"/>
      <c r="AL391" s="6"/>
    </row>
    <row r="392" spans="28:38" ht="15.75" customHeight="1" x14ac:dyDescent="0.25">
      <c r="AB392" s="6"/>
      <c r="AC392" s="6"/>
      <c r="AD392" s="6"/>
      <c r="AE392" s="6"/>
      <c r="AF392" s="6"/>
      <c r="AG392" s="6"/>
      <c r="AH392" s="6"/>
      <c r="AI392" s="6"/>
      <c r="AJ392" s="6"/>
      <c r="AK392" s="6"/>
      <c r="AL392" s="6"/>
    </row>
    <row r="393" spans="28:38" ht="15.75" customHeight="1" x14ac:dyDescent="0.25">
      <c r="AB393" s="6"/>
      <c r="AC393" s="6"/>
      <c r="AD393" s="6"/>
      <c r="AE393" s="6"/>
      <c r="AF393" s="6"/>
      <c r="AG393" s="6"/>
      <c r="AH393" s="6"/>
      <c r="AI393" s="6"/>
      <c r="AJ393" s="6"/>
      <c r="AK393" s="6"/>
      <c r="AL393" s="6"/>
    </row>
    <row r="394" spans="28:38" ht="15.75" customHeight="1" x14ac:dyDescent="0.25">
      <c r="AB394" s="6"/>
      <c r="AC394" s="6"/>
      <c r="AD394" s="6"/>
      <c r="AE394" s="6"/>
      <c r="AF394" s="6"/>
      <c r="AG394" s="6"/>
      <c r="AH394" s="6"/>
      <c r="AI394" s="6"/>
      <c r="AJ394" s="6"/>
      <c r="AK394" s="6"/>
      <c r="AL394" s="6"/>
    </row>
    <row r="395" spans="28:38" ht="15.75" customHeight="1" x14ac:dyDescent="0.25">
      <c r="AB395" s="6"/>
      <c r="AC395" s="6"/>
      <c r="AD395" s="6"/>
      <c r="AE395" s="6"/>
      <c r="AF395" s="6"/>
      <c r="AG395" s="6"/>
      <c r="AH395" s="6"/>
      <c r="AI395" s="6"/>
      <c r="AJ395" s="6"/>
      <c r="AK395" s="6"/>
      <c r="AL395" s="6"/>
    </row>
    <row r="396" spans="28:38" ht="15.75" customHeight="1" x14ac:dyDescent="0.25">
      <c r="AB396" s="6"/>
      <c r="AC396" s="6"/>
      <c r="AD396" s="6"/>
      <c r="AE396" s="6"/>
      <c r="AF396" s="6"/>
      <c r="AG396" s="6"/>
      <c r="AH396" s="6"/>
      <c r="AI396" s="6"/>
      <c r="AJ396" s="6"/>
      <c r="AK396" s="6"/>
      <c r="AL396" s="6"/>
    </row>
    <row r="397" spans="28:38" ht="15.75" customHeight="1" x14ac:dyDescent="0.25">
      <c r="AB397" s="6"/>
      <c r="AC397" s="6"/>
      <c r="AD397" s="6"/>
      <c r="AE397" s="6"/>
      <c r="AF397" s="6"/>
      <c r="AG397" s="6"/>
      <c r="AH397" s="6"/>
      <c r="AI397" s="6"/>
      <c r="AJ397" s="6"/>
      <c r="AK397" s="6"/>
      <c r="AL397" s="6"/>
    </row>
    <row r="398" spans="28:38" ht="15.75" customHeight="1" x14ac:dyDescent="0.25">
      <c r="AB398" s="6"/>
      <c r="AC398" s="6"/>
      <c r="AD398" s="6"/>
      <c r="AE398" s="6"/>
      <c r="AF398" s="6"/>
      <c r="AG398" s="6"/>
      <c r="AH398" s="6"/>
      <c r="AI398" s="6"/>
      <c r="AJ398" s="6"/>
      <c r="AK398" s="6"/>
      <c r="AL398" s="6"/>
    </row>
    <row r="399" spans="28:38" ht="15.75" customHeight="1" x14ac:dyDescent="0.25">
      <c r="AB399" s="6"/>
      <c r="AC399" s="6"/>
      <c r="AD399" s="6"/>
      <c r="AE399" s="6"/>
      <c r="AF399" s="6"/>
      <c r="AG399" s="6"/>
      <c r="AH399" s="6"/>
      <c r="AI399" s="6"/>
      <c r="AJ399" s="6"/>
      <c r="AK399" s="6"/>
      <c r="AL399" s="6"/>
    </row>
    <row r="400" spans="28:38" ht="15.75" customHeight="1" x14ac:dyDescent="0.25">
      <c r="AB400" s="6"/>
      <c r="AC400" s="6"/>
      <c r="AD400" s="6"/>
      <c r="AE400" s="6"/>
      <c r="AF400" s="6"/>
      <c r="AG400" s="6"/>
      <c r="AH400" s="6"/>
      <c r="AI400" s="6"/>
      <c r="AJ400" s="6"/>
      <c r="AK400" s="6"/>
      <c r="AL400" s="6"/>
    </row>
    <row r="401" spans="28:38" ht="15.75" customHeight="1" x14ac:dyDescent="0.25">
      <c r="AB401" s="6"/>
      <c r="AC401" s="6"/>
      <c r="AD401" s="6"/>
      <c r="AE401" s="6"/>
      <c r="AF401" s="6"/>
      <c r="AG401" s="6"/>
      <c r="AH401" s="6"/>
      <c r="AI401" s="6"/>
      <c r="AJ401" s="6"/>
      <c r="AK401" s="6"/>
      <c r="AL401" s="6"/>
    </row>
    <row r="402" spans="28:38" ht="15.75" customHeight="1" x14ac:dyDescent="0.25">
      <c r="AB402" s="6"/>
      <c r="AC402" s="6"/>
      <c r="AD402" s="6"/>
      <c r="AE402" s="6"/>
      <c r="AF402" s="6"/>
      <c r="AG402" s="6"/>
      <c r="AH402" s="6"/>
      <c r="AI402" s="6"/>
      <c r="AJ402" s="6"/>
      <c r="AK402" s="6"/>
      <c r="AL402" s="6"/>
    </row>
    <row r="403" spans="28:38" ht="15.75" customHeight="1" x14ac:dyDescent="0.25">
      <c r="AB403" s="6"/>
      <c r="AC403" s="6"/>
      <c r="AD403" s="6"/>
      <c r="AE403" s="6"/>
      <c r="AF403" s="6"/>
      <c r="AG403" s="6"/>
      <c r="AH403" s="6"/>
      <c r="AI403" s="6"/>
      <c r="AJ403" s="6"/>
      <c r="AK403" s="6"/>
      <c r="AL403" s="6"/>
    </row>
    <row r="404" spans="28:38" ht="15.75" customHeight="1" x14ac:dyDescent="0.25">
      <c r="AB404" s="6"/>
      <c r="AC404" s="6"/>
      <c r="AD404" s="6"/>
      <c r="AE404" s="6"/>
      <c r="AF404" s="6"/>
      <c r="AG404" s="6"/>
      <c r="AH404" s="6"/>
      <c r="AI404" s="6"/>
      <c r="AJ404" s="6"/>
      <c r="AK404" s="6"/>
      <c r="AL404" s="6"/>
    </row>
    <row r="405" spans="28:38" ht="15.75" customHeight="1" x14ac:dyDescent="0.25">
      <c r="AB405" s="6"/>
      <c r="AC405" s="6"/>
      <c r="AD405" s="6"/>
      <c r="AE405" s="6"/>
      <c r="AF405" s="6"/>
      <c r="AG405" s="6"/>
      <c r="AH405" s="6"/>
      <c r="AI405" s="6"/>
      <c r="AJ405" s="6"/>
      <c r="AK405" s="6"/>
      <c r="AL405" s="6"/>
    </row>
    <row r="406" spans="28:38" ht="15.75" customHeight="1" x14ac:dyDescent="0.25">
      <c r="AB406" s="6"/>
      <c r="AC406" s="6"/>
      <c r="AD406" s="6"/>
      <c r="AE406" s="6"/>
      <c r="AF406" s="6"/>
      <c r="AG406" s="6"/>
      <c r="AH406" s="6"/>
      <c r="AI406" s="6"/>
      <c r="AJ406" s="6"/>
      <c r="AK406" s="6"/>
      <c r="AL406" s="6"/>
    </row>
    <row r="407" spans="28:38" ht="15.75" customHeight="1" x14ac:dyDescent="0.25">
      <c r="AB407" s="6"/>
      <c r="AC407" s="6"/>
      <c r="AD407" s="6"/>
      <c r="AE407" s="6"/>
      <c r="AF407" s="6"/>
      <c r="AG407" s="6"/>
      <c r="AH407" s="6"/>
      <c r="AI407" s="6"/>
      <c r="AJ407" s="6"/>
      <c r="AK407" s="6"/>
      <c r="AL407" s="6"/>
    </row>
    <row r="408" spans="28:38" ht="15.75" customHeight="1" x14ac:dyDescent="0.25">
      <c r="AB408" s="6"/>
      <c r="AC408" s="6"/>
      <c r="AD408" s="6"/>
      <c r="AE408" s="6"/>
      <c r="AF408" s="6"/>
      <c r="AG408" s="6"/>
      <c r="AH408" s="6"/>
      <c r="AI408" s="6"/>
      <c r="AJ408" s="6"/>
      <c r="AK408" s="6"/>
      <c r="AL408" s="6"/>
    </row>
    <row r="409" spans="28:38" ht="15.75" customHeight="1" x14ac:dyDescent="0.25">
      <c r="AB409" s="6"/>
      <c r="AC409" s="6"/>
      <c r="AD409" s="6"/>
      <c r="AE409" s="6"/>
      <c r="AF409" s="6"/>
      <c r="AG409" s="6"/>
      <c r="AH409" s="6"/>
      <c r="AI409" s="6"/>
      <c r="AJ409" s="6"/>
      <c r="AK409" s="6"/>
      <c r="AL409" s="6"/>
    </row>
    <row r="410" spans="28:38" ht="15.75" customHeight="1" x14ac:dyDescent="0.25">
      <c r="AB410" s="6"/>
      <c r="AC410" s="6"/>
      <c r="AD410" s="6"/>
      <c r="AE410" s="6"/>
      <c r="AF410" s="6"/>
      <c r="AG410" s="6"/>
      <c r="AH410" s="6"/>
      <c r="AI410" s="6"/>
      <c r="AJ410" s="6"/>
      <c r="AK410" s="6"/>
      <c r="AL410" s="6"/>
    </row>
    <row r="411" spans="28:38" ht="15.75" customHeight="1" x14ac:dyDescent="0.25">
      <c r="AB411" s="6"/>
      <c r="AC411" s="6"/>
      <c r="AD411" s="6"/>
      <c r="AE411" s="6"/>
      <c r="AF411" s="6"/>
      <c r="AG411" s="6"/>
      <c r="AH411" s="6"/>
      <c r="AI411" s="6"/>
      <c r="AJ411" s="6"/>
      <c r="AK411" s="6"/>
      <c r="AL411" s="6"/>
    </row>
    <row r="412" spans="28:38" ht="15.75" customHeight="1" x14ac:dyDescent="0.25">
      <c r="AB412" s="6"/>
      <c r="AC412" s="6"/>
      <c r="AD412" s="6"/>
      <c r="AE412" s="6"/>
      <c r="AF412" s="6"/>
      <c r="AG412" s="6"/>
      <c r="AH412" s="6"/>
      <c r="AI412" s="6"/>
      <c r="AJ412" s="6"/>
      <c r="AK412" s="6"/>
      <c r="AL412" s="6"/>
    </row>
    <row r="413" spans="28:38" ht="15.75" customHeight="1" x14ac:dyDescent="0.25">
      <c r="AB413" s="6"/>
      <c r="AC413" s="6"/>
      <c r="AD413" s="6"/>
      <c r="AE413" s="6"/>
      <c r="AF413" s="6"/>
      <c r="AG413" s="6"/>
      <c r="AH413" s="6"/>
      <c r="AI413" s="6"/>
      <c r="AJ413" s="6"/>
      <c r="AK413" s="6"/>
      <c r="AL413" s="6"/>
    </row>
    <row r="414" spans="28:38" ht="15.75" customHeight="1" x14ac:dyDescent="0.25">
      <c r="AB414" s="6"/>
      <c r="AC414" s="6"/>
      <c r="AD414" s="6"/>
      <c r="AE414" s="6"/>
      <c r="AF414" s="6"/>
      <c r="AG414" s="6"/>
      <c r="AH414" s="6"/>
      <c r="AI414" s="6"/>
      <c r="AJ414" s="6"/>
      <c r="AK414" s="6"/>
      <c r="AL414" s="6"/>
    </row>
    <row r="415" spans="28:38" ht="15.75" customHeight="1" x14ac:dyDescent="0.25">
      <c r="AB415" s="6"/>
      <c r="AC415" s="6"/>
      <c r="AD415" s="6"/>
      <c r="AE415" s="6"/>
      <c r="AF415" s="6"/>
      <c r="AG415" s="6"/>
      <c r="AH415" s="6"/>
      <c r="AI415" s="6"/>
      <c r="AJ415" s="6"/>
      <c r="AK415" s="6"/>
      <c r="AL415" s="6"/>
    </row>
    <row r="416" spans="28:38" ht="15.75" customHeight="1" x14ac:dyDescent="0.25">
      <c r="AB416" s="6"/>
      <c r="AC416" s="6"/>
      <c r="AD416" s="6"/>
      <c r="AE416" s="6"/>
      <c r="AF416" s="6"/>
      <c r="AG416" s="6"/>
      <c r="AH416" s="6"/>
      <c r="AI416" s="6"/>
      <c r="AJ416" s="6"/>
      <c r="AK416" s="6"/>
      <c r="AL416" s="6"/>
    </row>
    <row r="417" spans="28:38" ht="15.75" customHeight="1" x14ac:dyDescent="0.25">
      <c r="AB417" s="6"/>
      <c r="AC417" s="6"/>
      <c r="AD417" s="6"/>
      <c r="AE417" s="6"/>
      <c r="AF417" s="6"/>
      <c r="AG417" s="6"/>
      <c r="AH417" s="6"/>
      <c r="AI417" s="6"/>
      <c r="AJ417" s="6"/>
      <c r="AK417" s="6"/>
      <c r="AL417" s="6"/>
    </row>
    <row r="418" spans="28:38" ht="15.75" customHeight="1" x14ac:dyDescent="0.25">
      <c r="AB418" s="6"/>
      <c r="AC418" s="6"/>
      <c r="AD418" s="6"/>
      <c r="AE418" s="6"/>
      <c r="AF418" s="6"/>
      <c r="AG418" s="6"/>
      <c r="AH418" s="6"/>
      <c r="AI418" s="6"/>
      <c r="AJ418" s="6"/>
      <c r="AK418" s="6"/>
      <c r="AL418" s="6"/>
    </row>
    <row r="419" spans="28:38" ht="15.75" customHeight="1" x14ac:dyDescent="0.25">
      <c r="AB419" s="6"/>
      <c r="AC419" s="6"/>
      <c r="AD419" s="6"/>
      <c r="AE419" s="6"/>
      <c r="AF419" s="6"/>
      <c r="AG419" s="6"/>
      <c r="AH419" s="6"/>
      <c r="AI419" s="6"/>
      <c r="AJ419" s="6"/>
      <c r="AK419" s="6"/>
      <c r="AL419" s="6"/>
    </row>
    <row r="420" spans="28:38" ht="15.75" customHeight="1" x14ac:dyDescent="0.25">
      <c r="AB420" s="6"/>
      <c r="AC420" s="6"/>
      <c r="AD420" s="6"/>
      <c r="AE420" s="6"/>
      <c r="AF420" s="6"/>
      <c r="AG420" s="6"/>
      <c r="AH420" s="6"/>
      <c r="AI420" s="6"/>
      <c r="AJ420" s="6"/>
      <c r="AK420" s="6"/>
      <c r="AL420" s="6"/>
    </row>
    <row r="421" spans="28:38" ht="15.75" customHeight="1" x14ac:dyDescent="0.25">
      <c r="AB421" s="6"/>
      <c r="AC421" s="6"/>
      <c r="AD421" s="6"/>
      <c r="AE421" s="6"/>
      <c r="AF421" s="6"/>
      <c r="AG421" s="6"/>
      <c r="AH421" s="6"/>
      <c r="AI421" s="6"/>
      <c r="AJ421" s="6"/>
      <c r="AK421" s="6"/>
      <c r="AL421" s="6"/>
    </row>
    <row r="422" spans="28:38" ht="15.75" customHeight="1" x14ac:dyDescent="0.25">
      <c r="AB422" s="6"/>
      <c r="AC422" s="6"/>
      <c r="AD422" s="6"/>
      <c r="AE422" s="6"/>
      <c r="AF422" s="6"/>
      <c r="AG422" s="6"/>
      <c r="AH422" s="6"/>
      <c r="AI422" s="6"/>
      <c r="AJ422" s="6"/>
      <c r="AK422" s="6"/>
      <c r="AL422" s="6"/>
    </row>
    <row r="423" spans="28:38" ht="15.75" customHeight="1" x14ac:dyDescent="0.25">
      <c r="AB423" s="6"/>
      <c r="AC423" s="6"/>
      <c r="AD423" s="6"/>
      <c r="AE423" s="6"/>
      <c r="AF423" s="6"/>
      <c r="AG423" s="6"/>
      <c r="AH423" s="6"/>
      <c r="AI423" s="6"/>
      <c r="AJ423" s="6"/>
      <c r="AK423" s="6"/>
      <c r="AL423" s="6"/>
    </row>
    <row r="424" spans="28:38" ht="15.75" customHeight="1" x14ac:dyDescent="0.25">
      <c r="AB424" s="6"/>
      <c r="AC424" s="6"/>
      <c r="AD424" s="6"/>
      <c r="AE424" s="6"/>
      <c r="AF424" s="6"/>
      <c r="AG424" s="6"/>
      <c r="AH424" s="6"/>
      <c r="AI424" s="6"/>
      <c r="AJ424" s="6"/>
      <c r="AK424" s="6"/>
      <c r="AL424" s="6"/>
    </row>
    <row r="425" spans="28:38" ht="15.75" customHeight="1" x14ac:dyDescent="0.25">
      <c r="AB425" s="6"/>
      <c r="AC425" s="6"/>
      <c r="AD425" s="6"/>
      <c r="AE425" s="6"/>
      <c r="AF425" s="6"/>
      <c r="AG425" s="6"/>
      <c r="AH425" s="6"/>
      <c r="AI425" s="6"/>
      <c r="AJ425" s="6"/>
      <c r="AK425" s="6"/>
      <c r="AL425" s="6"/>
    </row>
    <row r="426" spans="28:38" ht="15.75" customHeight="1" x14ac:dyDescent="0.25">
      <c r="AB426" s="6"/>
      <c r="AC426" s="6"/>
      <c r="AD426" s="6"/>
      <c r="AE426" s="6"/>
      <c r="AF426" s="6"/>
      <c r="AG426" s="6"/>
      <c r="AH426" s="6"/>
      <c r="AI426" s="6"/>
      <c r="AJ426" s="6"/>
      <c r="AK426" s="6"/>
      <c r="AL426" s="6"/>
    </row>
    <row r="427" spans="28:38" ht="15.75" customHeight="1" x14ac:dyDescent="0.25">
      <c r="AB427" s="6"/>
      <c r="AC427" s="6"/>
      <c r="AD427" s="6"/>
      <c r="AE427" s="6"/>
      <c r="AF427" s="6"/>
      <c r="AG427" s="6"/>
      <c r="AH427" s="6"/>
      <c r="AI427" s="6"/>
      <c r="AJ427" s="6"/>
      <c r="AK427" s="6"/>
      <c r="AL427" s="6"/>
    </row>
    <row r="428" spans="28:38" ht="15.75" customHeight="1" x14ac:dyDescent="0.25">
      <c r="AB428" s="6"/>
      <c r="AC428" s="6"/>
      <c r="AD428" s="6"/>
      <c r="AE428" s="6"/>
      <c r="AF428" s="6"/>
      <c r="AG428" s="6"/>
      <c r="AH428" s="6"/>
      <c r="AI428" s="6"/>
      <c r="AJ428" s="6"/>
      <c r="AK428" s="6"/>
      <c r="AL428" s="6"/>
    </row>
    <row r="429" spans="28:38" ht="15.75" customHeight="1" x14ac:dyDescent="0.25">
      <c r="AB429" s="6"/>
      <c r="AC429" s="6"/>
      <c r="AD429" s="6"/>
      <c r="AE429" s="6"/>
      <c r="AF429" s="6"/>
      <c r="AG429" s="6"/>
      <c r="AH429" s="6"/>
      <c r="AI429" s="6"/>
      <c r="AJ429" s="6"/>
      <c r="AK429" s="6"/>
      <c r="AL429" s="6"/>
    </row>
    <row r="430" spans="28:38" ht="15.75" customHeight="1" x14ac:dyDescent="0.25">
      <c r="AB430" s="6"/>
      <c r="AC430" s="6"/>
      <c r="AD430" s="6"/>
      <c r="AE430" s="6"/>
      <c r="AF430" s="6"/>
      <c r="AG430" s="6"/>
      <c r="AH430" s="6"/>
      <c r="AI430" s="6"/>
      <c r="AJ430" s="6"/>
      <c r="AK430" s="6"/>
      <c r="AL430" s="6"/>
    </row>
    <row r="431" spans="28:38" ht="15.75" customHeight="1" x14ac:dyDescent="0.25">
      <c r="AB431" s="6"/>
      <c r="AC431" s="6"/>
      <c r="AD431" s="6"/>
      <c r="AE431" s="6"/>
      <c r="AF431" s="6"/>
      <c r="AG431" s="6"/>
      <c r="AH431" s="6"/>
      <c r="AI431" s="6"/>
      <c r="AJ431" s="6"/>
      <c r="AK431" s="6"/>
      <c r="AL431" s="6"/>
    </row>
    <row r="432" spans="28:38" ht="15.75" customHeight="1" x14ac:dyDescent="0.25">
      <c r="AB432" s="6"/>
      <c r="AC432" s="6"/>
      <c r="AD432" s="6"/>
      <c r="AE432" s="6"/>
      <c r="AF432" s="6"/>
      <c r="AG432" s="6"/>
      <c r="AH432" s="6"/>
      <c r="AI432" s="6"/>
      <c r="AJ432" s="6"/>
      <c r="AK432" s="6"/>
      <c r="AL432" s="6"/>
    </row>
    <row r="433" spans="28:38" ht="15.75" customHeight="1" x14ac:dyDescent="0.25">
      <c r="AB433" s="6"/>
      <c r="AC433" s="6"/>
      <c r="AD433" s="6"/>
      <c r="AE433" s="6"/>
      <c r="AF433" s="6"/>
      <c r="AG433" s="6"/>
      <c r="AH433" s="6"/>
      <c r="AI433" s="6"/>
      <c r="AJ433" s="6"/>
      <c r="AK433" s="6"/>
      <c r="AL433" s="6"/>
    </row>
    <row r="434" spans="28:38" ht="15.75" customHeight="1" x14ac:dyDescent="0.25">
      <c r="AB434" s="6"/>
      <c r="AC434" s="6"/>
      <c r="AD434" s="6"/>
      <c r="AE434" s="6"/>
      <c r="AF434" s="6"/>
      <c r="AG434" s="6"/>
      <c r="AH434" s="6"/>
      <c r="AI434" s="6"/>
      <c r="AJ434" s="6"/>
      <c r="AK434" s="6"/>
      <c r="AL434" s="6"/>
    </row>
    <row r="435" spans="28:38" ht="15.75" customHeight="1" x14ac:dyDescent="0.25">
      <c r="AB435" s="6"/>
      <c r="AC435" s="6"/>
      <c r="AD435" s="6"/>
      <c r="AE435" s="6"/>
      <c r="AF435" s="6"/>
      <c r="AG435" s="6"/>
      <c r="AH435" s="6"/>
      <c r="AI435" s="6"/>
      <c r="AJ435" s="6"/>
      <c r="AK435" s="6"/>
      <c r="AL435" s="6"/>
    </row>
    <row r="436" spans="28:38" ht="15.75" customHeight="1" x14ac:dyDescent="0.25">
      <c r="AB436" s="6"/>
      <c r="AC436" s="6"/>
      <c r="AD436" s="6"/>
      <c r="AE436" s="6"/>
      <c r="AF436" s="6"/>
      <c r="AG436" s="6"/>
      <c r="AH436" s="6"/>
      <c r="AI436" s="6"/>
      <c r="AJ436" s="6"/>
      <c r="AK436" s="6"/>
      <c r="AL436" s="6"/>
    </row>
    <row r="437" spans="28:38" ht="15.75" customHeight="1" x14ac:dyDescent="0.25">
      <c r="AB437" s="6"/>
      <c r="AC437" s="6"/>
      <c r="AD437" s="6"/>
      <c r="AE437" s="6"/>
      <c r="AF437" s="6"/>
      <c r="AG437" s="6"/>
      <c r="AH437" s="6"/>
      <c r="AI437" s="6"/>
      <c r="AJ437" s="6"/>
      <c r="AK437" s="6"/>
      <c r="AL437" s="6"/>
    </row>
    <row r="438" spans="28:38" ht="15.75" customHeight="1" x14ac:dyDescent="0.25">
      <c r="AB438" s="6"/>
      <c r="AC438" s="6"/>
      <c r="AD438" s="6"/>
      <c r="AE438" s="6"/>
      <c r="AF438" s="6"/>
      <c r="AG438" s="6"/>
      <c r="AH438" s="6"/>
      <c r="AI438" s="6"/>
      <c r="AJ438" s="6"/>
      <c r="AK438" s="6"/>
      <c r="AL438" s="6"/>
    </row>
    <row r="439" spans="28:38" ht="15.75" customHeight="1" x14ac:dyDescent="0.25">
      <c r="AB439" s="6"/>
      <c r="AC439" s="6"/>
      <c r="AD439" s="6"/>
      <c r="AE439" s="6"/>
      <c r="AF439" s="6"/>
      <c r="AG439" s="6"/>
      <c r="AH439" s="6"/>
      <c r="AI439" s="6"/>
      <c r="AJ439" s="6"/>
      <c r="AK439" s="6"/>
      <c r="AL439" s="6"/>
    </row>
    <row r="440" spans="28:38" ht="15.75" customHeight="1" x14ac:dyDescent="0.25">
      <c r="AB440" s="6"/>
      <c r="AC440" s="6"/>
      <c r="AD440" s="6"/>
      <c r="AE440" s="6"/>
      <c r="AF440" s="6"/>
      <c r="AG440" s="6"/>
      <c r="AH440" s="6"/>
      <c r="AI440" s="6"/>
      <c r="AJ440" s="6"/>
      <c r="AK440" s="6"/>
      <c r="AL440" s="6"/>
    </row>
    <row r="441" spans="28:38" ht="15.75" customHeight="1" x14ac:dyDescent="0.25">
      <c r="AB441" s="6"/>
      <c r="AC441" s="6"/>
      <c r="AD441" s="6"/>
      <c r="AE441" s="6"/>
      <c r="AF441" s="6"/>
      <c r="AG441" s="6"/>
      <c r="AH441" s="6"/>
      <c r="AI441" s="6"/>
      <c r="AJ441" s="6"/>
      <c r="AK441" s="6"/>
      <c r="AL441" s="6"/>
    </row>
    <row r="442" spans="28:38" ht="15.75" customHeight="1" x14ac:dyDescent="0.25">
      <c r="AB442" s="6"/>
      <c r="AC442" s="6"/>
      <c r="AD442" s="6"/>
      <c r="AE442" s="6"/>
      <c r="AF442" s="6"/>
      <c r="AG442" s="6"/>
      <c r="AH442" s="6"/>
      <c r="AI442" s="6"/>
      <c r="AJ442" s="6"/>
      <c r="AK442" s="6"/>
      <c r="AL442" s="6"/>
    </row>
    <row r="443" spans="28:38" ht="15.75" customHeight="1" x14ac:dyDescent="0.25">
      <c r="AB443" s="6"/>
      <c r="AC443" s="6"/>
      <c r="AD443" s="6"/>
      <c r="AE443" s="6"/>
      <c r="AF443" s="6"/>
      <c r="AG443" s="6"/>
      <c r="AH443" s="6"/>
      <c r="AI443" s="6"/>
      <c r="AJ443" s="6"/>
      <c r="AK443" s="6"/>
      <c r="AL443" s="6"/>
    </row>
    <row r="444" spans="28:38" ht="15.75" customHeight="1" x14ac:dyDescent="0.25">
      <c r="AB444" s="6"/>
      <c r="AC444" s="6"/>
      <c r="AD444" s="6"/>
      <c r="AE444" s="6"/>
      <c r="AF444" s="6"/>
      <c r="AG444" s="6"/>
      <c r="AH444" s="6"/>
      <c r="AI444" s="6"/>
      <c r="AJ444" s="6"/>
      <c r="AK444" s="6"/>
      <c r="AL444" s="6"/>
    </row>
    <row r="445" spans="28:38" ht="15.75" customHeight="1" x14ac:dyDescent="0.25">
      <c r="AB445" s="6"/>
      <c r="AC445" s="6"/>
      <c r="AD445" s="6"/>
      <c r="AE445" s="6"/>
      <c r="AF445" s="6"/>
      <c r="AG445" s="6"/>
      <c r="AH445" s="6"/>
      <c r="AI445" s="6"/>
      <c r="AJ445" s="6"/>
      <c r="AK445" s="6"/>
      <c r="AL445" s="6"/>
    </row>
    <row r="446" spans="28:38" ht="15.75" customHeight="1" x14ac:dyDescent="0.25">
      <c r="AB446" s="6"/>
      <c r="AC446" s="6"/>
      <c r="AD446" s="6"/>
      <c r="AE446" s="6"/>
      <c r="AF446" s="6"/>
      <c r="AG446" s="6"/>
      <c r="AH446" s="6"/>
      <c r="AI446" s="6"/>
      <c r="AJ446" s="6"/>
      <c r="AK446" s="6"/>
      <c r="AL446" s="6"/>
    </row>
    <row r="447" spans="28:38" ht="15.75" customHeight="1" x14ac:dyDescent="0.25">
      <c r="AB447" s="6"/>
      <c r="AC447" s="6"/>
      <c r="AD447" s="6"/>
      <c r="AE447" s="6"/>
      <c r="AF447" s="6"/>
      <c r="AG447" s="6"/>
      <c r="AH447" s="6"/>
      <c r="AI447" s="6"/>
      <c r="AJ447" s="6"/>
      <c r="AK447" s="6"/>
      <c r="AL447" s="6"/>
    </row>
    <row r="448" spans="28:38" ht="15.75" customHeight="1" x14ac:dyDescent="0.25">
      <c r="AB448" s="6"/>
      <c r="AC448" s="6"/>
      <c r="AD448" s="6"/>
      <c r="AE448" s="6"/>
      <c r="AF448" s="6"/>
      <c r="AG448" s="6"/>
      <c r="AH448" s="6"/>
      <c r="AI448" s="6"/>
      <c r="AJ448" s="6"/>
      <c r="AK448" s="6"/>
      <c r="AL448" s="6"/>
    </row>
    <row r="449" spans="28:38" ht="15.75" customHeight="1" x14ac:dyDescent="0.25">
      <c r="AB449" s="6"/>
      <c r="AC449" s="6"/>
      <c r="AD449" s="6"/>
      <c r="AE449" s="6"/>
      <c r="AF449" s="6"/>
      <c r="AG449" s="6"/>
      <c r="AH449" s="6"/>
      <c r="AI449" s="6"/>
      <c r="AJ449" s="6"/>
      <c r="AK449" s="6"/>
      <c r="AL449" s="6"/>
    </row>
    <row r="450" spans="28:38" ht="15.75" customHeight="1" x14ac:dyDescent="0.25">
      <c r="AB450" s="6"/>
      <c r="AC450" s="6"/>
      <c r="AD450" s="6"/>
      <c r="AE450" s="6"/>
      <c r="AF450" s="6"/>
      <c r="AG450" s="6"/>
      <c r="AH450" s="6"/>
      <c r="AI450" s="6"/>
      <c r="AJ450" s="6"/>
      <c r="AK450" s="6"/>
      <c r="AL450" s="6"/>
    </row>
    <row r="451" spans="28:38" ht="15.75" customHeight="1" x14ac:dyDescent="0.25">
      <c r="AB451" s="6"/>
      <c r="AC451" s="6"/>
      <c r="AD451" s="6"/>
      <c r="AE451" s="6"/>
      <c r="AF451" s="6"/>
      <c r="AG451" s="6"/>
      <c r="AH451" s="6"/>
      <c r="AI451" s="6"/>
      <c r="AJ451" s="6"/>
      <c r="AK451" s="6"/>
      <c r="AL451" s="6"/>
    </row>
    <row r="452" spans="28:38" ht="15.75" customHeight="1" x14ac:dyDescent="0.25">
      <c r="AB452" s="6"/>
      <c r="AC452" s="6"/>
      <c r="AD452" s="6"/>
      <c r="AE452" s="6"/>
      <c r="AF452" s="6"/>
      <c r="AG452" s="6"/>
      <c r="AH452" s="6"/>
      <c r="AI452" s="6"/>
      <c r="AJ452" s="6"/>
      <c r="AK452" s="6"/>
      <c r="AL452" s="6"/>
    </row>
    <row r="453" spans="28:38" ht="15.75" customHeight="1" x14ac:dyDescent="0.25">
      <c r="AB453" s="6"/>
      <c r="AC453" s="6"/>
      <c r="AD453" s="6"/>
      <c r="AE453" s="6"/>
      <c r="AF453" s="6"/>
      <c r="AG453" s="6"/>
      <c r="AH453" s="6"/>
      <c r="AI453" s="6"/>
      <c r="AJ453" s="6"/>
      <c r="AK453" s="6"/>
      <c r="AL453" s="6"/>
    </row>
    <row r="454" spans="28:38" ht="15.75" customHeight="1" x14ac:dyDescent="0.25">
      <c r="AB454" s="6"/>
      <c r="AC454" s="6"/>
      <c r="AD454" s="6"/>
      <c r="AE454" s="6"/>
      <c r="AF454" s="6"/>
      <c r="AG454" s="6"/>
      <c r="AH454" s="6"/>
      <c r="AI454" s="6"/>
      <c r="AJ454" s="6"/>
      <c r="AK454" s="6"/>
      <c r="AL454" s="6"/>
    </row>
    <row r="455" spans="28:38" ht="15.75" customHeight="1" x14ac:dyDescent="0.25">
      <c r="AB455" s="6"/>
      <c r="AC455" s="6"/>
      <c r="AD455" s="6"/>
      <c r="AE455" s="6"/>
      <c r="AF455" s="6"/>
      <c r="AG455" s="6"/>
      <c r="AH455" s="6"/>
      <c r="AI455" s="6"/>
      <c r="AJ455" s="6"/>
      <c r="AK455" s="6"/>
      <c r="AL455" s="6"/>
    </row>
    <row r="456" spans="28:38" ht="15.75" customHeight="1" x14ac:dyDescent="0.25">
      <c r="AB456" s="6"/>
      <c r="AC456" s="6"/>
      <c r="AD456" s="6"/>
      <c r="AE456" s="6"/>
      <c r="AF456" s="6"/>
      <c r="AG456" s="6"/>
      <c r="AH456" s="6"/>
      <c r="AI456" s="6"/>
      <c r="AJ456" s="6"/>
      <c r="AK456" s="6"/>
      <c r="AL456" s="6"/>
    </row>
    <row r="457" spans="28:38" ht="15.75" customHeight="1" x14ac:dyDescent="0.25">
      <c r="AB457" s="6"/>
      <c r="AC457" s="6"/>
      <c r="AD457" s="6"/>
      <c r="AE457" s="6"/>
      <c r="AF457" s="6"/>
      <c r="AG457" s="6"/>
      <c r="AH457" s="6"/>
      <c r="AI457" s="6"/>
      <c r="AJ457" s="6"/>
      <c r="AK457" s="6"/>
      <c r="AL457" s="6"/>
    </row>
    <row r="458" spans="28:38" ht="15.75" customHeight="1" x14ac:dyDescent="0.25">
      <c r="AB458" s="6"/>
      <c r="AC458" s="6"/>
      <c r="AD458" s="6"/>
      <c r="AE458" s="6"/>
      <c r="AF458" s="6"/>
      <c r="AG458" s="6"/>
      <c r="AH458" s="6"/>
      <c r="AI458" s="6"/>
      <c r="AJ458" s="6"/>
      <c r="AK458" s="6"/>
      <c r="AL458" s="6"/>
    </row>
    <row r="459" spans="28:38" ht="15.75" customHeight="1" x14ac:dyDescent="0.25">
      <c r="AB459" s="6"/>
      <c r="AC459" s="6"/>
      <c r="AD459" s="6"/>
      <c r="AE459" s="6"/>
      <c r="AF459" s="6"/>
      <c r="AG459" s="6"/>
      <c r="AH459" s="6"/>
      <c r="AI459" s="6"/>
      <c r="AJ459" s="6"/>
      <c r="AK459" s="6"/>
      <c r="AL459" s="6"/>
    </row>
    <row r="460" spans="28:38" ht="15.75" customHeight="1" x14ac:dyDescent="0.25">
      <c r="AB460" s="6"/>
      <c r="AC460" s="6"/>
      <c r="AD460" s="6"/>
      <c r="AE460" s="6"/>
      <c r="AF460" s="6"/>
      <c r="AG460" s="6"/>
      <c r="AH460" s="6"/>
      <c r="AI460" s="6"/>
      <c r="AJ460" s="6"/>
      <c r="AK460" s="6"/>
      <c r="AL460" s="6"/>
    </row>
    <row r="461" spans="28:38" ht="15.75" customHeight="1" x14ac:dyDescent="0.25">
      <c r="AB461" s="6"/>
      <c r="AC461" s="6"/>
      <c r="AD461" s="6"/>
      <c r="AE461" s="6"/>
      <c r="AF461" s="6"/>
      <c r="AG461" s="6"/>
      <c r="AH461" s="6"/>
      <c r="AI461" s="6"/>
      <c r="AJ461" s="6"/>
      <c r="AK461" s="6"/>
      <c r="AL461" s="6"/>
    </row>
    <row r="462" spans="28:38" ht="15.75" customHeight="1" x14ac:dyDescent="0.25">
      <c r="AB462" s="6"/>
      <c r="AC462" s="6"/>
      <c r="AD462" s="6"/>
      <c r="AE462" s="6"/>
      <c r="AF462" s="6"/>
      <c r="AG462" s="6"/>
      <c r="AH462" s="6"/>
      <c r="AI462" s="6"/>
      <c r="AJ462" s="6"/>
      <c r="AK462" s="6"/>
      <c r="AL462" s="6"/>
    </row>
    <row r="463" spans="28:38" ht="15.75" customHeight="1" x14ac:dyDescent="0.25">
      <c r="AB463" s="6"/>
      <c r="AC463" s="6"/>
      <c r="AD463" s="6"/>
      <c r="AE463" s="6"/>
      <c r="AF463" s="6"/>
      <c r="AG463" s="6"/>
      <c r="AH463" s="6"/>
      <c r="AI463" s="6"/>
      <c r="AJ463" s="6"/>
      <c r="AK463" s="6"/>
      <c r="AL463" s="6"/>
    </row>
    <row r="464" spans="28:38" ht="15.75" customHeight="1" x14ac:dyDescent="0.25">
      <c r="AB464" s="6"/>
      <c r="AC464" s="6"/>
      <c r="AD464" s="6"/>
      <c r="AE464" s="6"/>
      <c r="AF464" s="6"/>
      <c r="AG464" s="6"/>
      <c r="AH464" s="6"/>
      <c r="AI464" s="6"/>
      <c r="AJ464" s="6"/>
      <c r="AK464" s="6"/>
      <c r="AL464" s="6"/>
    </row>
    <row r="465" spans="28:38" ht="15.75" customHeight="1" x14ac:dyDescent="0.25">
      <c r="AB465" s="6"/>
      <c r="AC465" s="6"/>
      <c r="AD465" s="6"/>
      <c r="AE465" s="6"/>
      <c r="AF465" s="6"/>
      <c r="AG465" s="6"/>
      <c r="AH465" s="6"/>
      <c r="AI465" s="6"/>
      <c r="AJ465" s="6"/>
      <c r="AK465" s="6"/>
      <c r="AL465" s="6"/>
    </row>
    <row r="466" spans="28:38" ht="15.75" customHeight="1" x14ac:dyDescent="0.25">
      <c r="AB466" s="6"/>
      <c r="AC466" s="6"/>
      <c r="AD466" s="6"/>
      <c r="AE466" s="6"/>
      <c r="AF466" s="6"/>
      <c r="AG466" s="6"/>
      <c r="AH466" s="6"/>
      <c r="AI466" s="6"/>
      <c r="AJ466" s="6"/>
      <c r="AK466" s="6"/>
      <c r="AL466" s="6"/>
    </row>
    <row r="467" spans="28:38" ht="15.75" customHeight="1" x14ac:dyDescent="0.25">
      <c r="AB467" s="6"/>
      <c r="AC467" s="6"/>
      <c r="AD467" s="6"/>
      <c r="AE467" s="6"/>
      <c r="AF467" s="6"/>
      <c r="AG467" s="6"/>
      <c r="AH467" s="6"/>
      <c r="AI467" s="6"/>
      <c r="AJ467" s="6"/>
      <c r="AK467" s="6"/>
      <c r="AL467" s="6"/>
    </row>
    <row r="468" spans="28:38" ht="15.75" customHeight="1" x14ac:dyDescent="0.25">
      <c r="AB468" s="6"/>
      <c r="AC468" s="6"/>
      <c r="AD468" s="6"/>
      <c r="AE468" s="6"/>
      <c r="AF468" s="6"/>
      <c r="AG468" s="6"/>
      <c r="AH468" s="6"/>
      <c r="AI468" s="6"/>
      <c r="AJ468" s="6"/>
      <c r="AK468" s="6"/>
      <c r="AL468" s="6"/>
    </row>
    <row r="469" spans="28:38" ht="15.75" customHeight="1" x14ac:dyDescent="0.25">
      <c r="AB469" s="6"/>
      <c r="AC469" s="6"/>
      <c r="AD469" s="6"/>
      <c r="AE469" s="6"/>
      <c r="AF469" s="6"/>
      <c r="AG469" s="6"/>
      <c r="AH469" s="6"/>
      <c r="AI469" s="6"/>
      <c r="AJ469" s="6"/>
      <c r="AK469" s="6"/>
      <c r="AL469" s="6"/>
    </row>
    <row r="470" spans="28:38" ht="15.75" customHeight="1" x14ac:dyDescent="0.25">
      <c r="AB470" s="6"/>
      <c r="AC470" s="6"/>
      <c r="AD470" s="6"/>
      <c r="AE470" s="6"/>
      <c r="AF470" s="6"/>
      <c r="AG470" s="6"/>
      <c r="AH470" s="6"/>
      <c r="AI470" s="6"/>
      <c r="AJ470" s="6"/>
      <c r="AK470" s="6"/>
      <c r="AL470" s="6"/>
    </row>
    <row r="471" spans="28:38" ht="15.75" customHeight="1" x14ac:dyDescent="0.25">
      <c r="AB471" s="6"/>
      <c r="AC471" s="6"/>
      <c r="AD471" s="6"/>
      <c r="AE471" s="6"/>
      <c r="AF471" s="6"/>
      <c r="AG471" s="6"/>
      <c r="AH471" s="6"/>
      <c r="AI471" s="6"/>
      <c r="AJ471" s="6"/>
      <c r="AK471" s="6"/>
      <c r="AL471" s="6"/>
    </row>
    <row r="472" spans="28:38" ht="15.75" customHeight="1" x14ac:dyDescent="0.25">
      <c r="AB472" s="6"/>
      <c r="AC472" s="6"/>
      <c r="AD472" s="6"/>
      <c r="AE472" s="6"/>
      <c r="AF472" s="6"/>
      <c r="AG472" s="6"/>
      <c r="AH472" s="6"/>
      <c r="AI472" s="6"/>
      <c r="AJ472" s="6"/>
      <c r="AK472" s="6"/>
      <c r="AL472" s="6"/>
    </row>
    <row r="473" spans="28:38" ht="15.75" customHeight="1" x14ac:dyDescent="0.25">
      <c r="AB473" s="6"/>
      <c r="AC473" s="6"/>
      <c r="AD473" s="6"/>
      <c r="AE473" s="6"/>
      <c r="AF473" s="6"/>
      <c r="AG473" s="6"/>
      <c r="AH473" s="6"/>
      <c r="AI473" s="6"/>
      <c r="AJ473" s="6"/>
      <c r="AK473" s="6"/>
      <c r="AL473" s="6"/>
    </row>
    <row r="474" spans="28:38" ht="15.75" customHeight="1" x14ac:dyDescent="0.25">
      <c r="AB474" s="6"/>
      <c r="AC474" s="6"/>
      <c r="AD474" s="6"/>
      <c r="AE474" s="6"/>
      <c r="AF474" s="6"/>
      <c r="AG474" s="6"/>
      <c r="AH474" s="6"/>
      <c r="AI474" s="6"/>
      <c r="AJ474" s="6"/>
      <c r="AK474" s="6"/>
      <c r="AL474" s="6"/>
    </row>
    <row r="475" spans="28:38" ht="15.75" customHeight="1" x14ac:dyDescent="0.25">
      <c r="AB475" s="6"/>
      <c r="AC475" s="6"/>
      <c r="AD475" s="6"/>
      <c r="AE475" s="6"/>
      <c r="AF475" s="6"/>
      <c r="AG475" s="6"/>
      <c r="AH475" s="6"/>
      <c r="AI475" s="6"/>
      <c r="AJ475" s="6"/>
      <c r="AK475" s="6"/>
      <c r="AL475" s="6"/>
    </row>
    <row r="476" spans="28:38" ht="15.75" customHeight="1" x14ac:dyDescent="0.25">
      <c r="AB476" s="6"/>
      <c r="AC476" s="6"/>
      <c r="AD476" s="6"/>
      <c r="AE476" s="6"/>
      <c r="AF476" s="6"/>
      <c r="AG476" s="6"/>
      <c r="AH476" s="6"/>
      <c r="AI476" s="6"/>
      <c r="AJ476" s="6"/>
      <c r="AK476" s="6"/>
      <c r="AL476" s="6"/>
    </row>
    <row r="477" spans="28:38" ht="15.75" customHeight="1" x14ac:dyDescent="0.25">
      <c r="AB477" s="6"/>
      <c r="AC477" s="6"/>
      <c r="AD477" s="6"/>
      <c r="AE477" s="6"/>
      <c r="AF477" s="6"/>
      <c r="AG477" s="6"/>
      <c r="AH477" s="6"/>
      <c r="AI477" s="6"/>
      <c r="AJ477" s="6"/>
      <c r="AK477" s="6"/>
      <c r="AL477" s="6"/>
    </row>
    <row r="478" spans="28:38" ht="15.75" customHeight="1" x14ac:dyDescent="0.25">
      <c r="AB478" s="6"/>
      <c r="AC478" s="6"/>
      <c r="AD478" s="6"/>
      <c r="AE478" s="6"/>
      <c r="AF478" s="6"/>
      <c r="AG478" s="6"/>
      <c r="AH478" s="6"/>
      <c r="AI478" s="6"/>
      <c r="AJ478" s="6"/>
      <c r="AK478" s="6"/>
      <c r="AL478" s="6"/>
    </row>
    <row r="479" spans="28:38" ht="15.75" customHeight="1" x14ac:dyDescent="0.25">
      <c r="AB479" s="6"/>
      <c r="AC479" s="6"/>
      <c r="AD479" s="6"/>
      <c r="AE479" s="6"/>
      <c r="AF479" s="6"/>
      <c r="AG479" s="6"/>
      <c r="AH479" s="6"/>
      <c r="AI479" s="6"/>
      <c r="AJ479" s="6"/>
      <c r="AK479" s="6"/>
      <c r="AL479" s="6"/>
    </row>
    <row r="480" spans="28:38" ht="15.75" customHeight="1" x14ac:dyDescent="0.25">
      <c r="AB480" s="6"/>
      <c r="AC480" s="6"/>
      <c r="AD480" s="6"/>
      <c r="AE480" s="6"/>
      <c r="AF480" s="6"/>
      <c r="AG480" s="6"/>
      <c r="AH480" s="6"/>
      <c r="AI480" s="6"/>
      <c r="AJ480" s="6"/>
      <c r="AK480" s="6"/>
      <c r="AL480" s="6"/>
    </row>
    <row r="481" spans="28:38" ht="15.75" customHeight="1" x14ac:dyDescent="0.25">
      <c r="AB481" s="6"/>
      <c r="AC481" s="6"/>
      <c r="AD481" s="6"/>
      <c r="AE481" s="6"/>
      <c r="AF481" s="6"/>
      <c r="AG481" s="6"/>
      <c r="AH481" s="6"/>
      <c r="AI481" s="6"/>
      <c r="AJ481" s="6"/>
      <c r="AK481" s="6"/>
      <c r="AL481" s="6"/>
    </row>
    <row r="482" spans="28:38" ht="15.75" customHeight="1" x14ac:dyDescent="0.25">
      <c r="AB482" s="6"/>
      <c r="AC482" s="6"/>
      <c r="AD482" s="6"/>
      <c r="AE482" s="6"/>
      <c r="AF482" s="6"/>
      <c r="AG482" s="6"/>
      <c r="AH482" s="6"/>
      <c r="AI482" s="6"/>
      <c r="AJ482" s="6"/>
      <c r="AK482" s="6"/>
      <c r="AL482" s="6"/>
    </row>
    <row r="483" spans="28:38" ht="15.75" customHeight="1" x14ac:dyDescent="0.25">
      <c r="AB483" s="6"/>
      <c r="AC483" s="6"/>
      <c r="AD483" s="6"/>
      <c r="AE483" s="6"/>
      <c r="AF483" s="6"/>
      <c r="AG483" s="6"/>
      <c r="AH483" s="6"/>
      <c r="AI483" s="6"/>
      <c r="AJ483" s="6"/>
      <c r="AK483" s="6"/>
      <c r="AL483" s="6"/>
    </row>
    <row r="484" spans="28:38" ht="15.75" customHeight="1" x14ac:dyDescent="0.25">
      <c r="AB484" s="6"/>
      <c r="AC484" s="6"/>
      <c r="AD484" s="6"/>
      <c r="AE484" s="6"/>
      <c r="AF484" s="6"/>
      <c r="AG484" s="6"/>
      <c r="AH484" s="6"/>
      <c r="AI484" s="6"/>
      <c r="AJ484" s="6"/>
      <c r="AK484" s="6"/>
      <c r="AL484" s="6"/>
    </row>
    <row r="485" spans="28:38" ht="15.75" customHeight="1" x14ac:dyDescent="0.25">
      <c r="AB485" s="6"/>
      <c r="AC485" s="6"/>
      <c r="AD485" s="6"/>
      <c r="AE485" s="6"/>
      <c r="AF485" s="6"/>
      <c r="AG485" s="6"/>
      <c r="AH485" s="6"/>
      <c r="AI485" s="6"/>
      <c r="AJ485" s="6"/>
      <c r="AK485" s="6"/>
      <c r="AL485" s="6"/>
    </row>
    <row r="486" spans="28:38" ht="15.75" customHeight="1" x14ac:dyDescent="0.25">
      <c r="AB486" s="6"/>
      <c r="AC486" s="6"/>
      <c r="AD486" s="6"/>
      <c r="AE486" s="6"/>
      <c r="AF486" s="6"/>
      <c r="AG486" s="6"/>
      <c r="AH486" s="6"/>
      <c r="AI486" s="6"/>
      <c r="AJ486" s="6"/>
      <c r="AK486" s="6"/>
      <c r="AL486" s="6"/>
    </row>
    <row r="487" spans="28:38" ht="15.75" customHeight="1" x14ac:dyDescent="0.25">
      <c r="AB487" s="6"/>
      <c r="AC487" s="6"/>
      <c r="AD487" s="6"/>
      <c r="AE487" s="6"/>
      <c r="AF487" s="6"/>
      <c r="AG487" s="6"/>
      <c r="AH487" s="6"/>
      <c r="AI487" s="6"/>
      <c r="AJ487" s="6"/>
      <c r="AK487" s="6"/>
      <c r="AL487" s="6"/>
    </row>
    <row r="488" spans="28:38" ht="15.75" customHeight="1" x14ac:dyDescent="0.25">
      <c r="AB488" s="6"/>
      <c r="AC488" s="6"/>
      <c r="AD488" s="6"/>
      <c r="AE488" s="6"/>
      <c r="AF488" s="6"/>
      <c r="AG488" s="6"/>
      <c r="AH488" s="6"/>
      <c r="AI488" s="6"/>
      <c r="AJ488" s="6"/>
      <c r="AK488" s="6"/>
      <c r="AL488" s="6"/>
    </row>
    <row r="489" spans="28:38" ht="15.75" customHeight="1" x14ac:dyDescent="0.25">
      <c r="AB489" s="6"/>
      <c r="AC489" s="6"/>
      <c r="AD489" s="6"/>
      <c r="AE489" s="6"/>
      <c r="AF489" s="6"/>
      <c r="AG489" s="6"/>
      <c r="AH489" s="6"/>
      <c r="AI489" s="6"/>
      <c r="AJ489" s="6"/>
      <c r="AK489" s="6"/>
      <c r="AL489" s="6"/>
    </row>
    <row r="490" spans="28:38" ht="15.75" customHeight="1" x14ac:dyDescent="0.25">
      <c r="AB490" s="6"/>
      <c r="AC490" s="6"/>
      <c r="AD490" s="6"/>
      <c r="AE490" s="6"/>
      <c r="AF490" s="6"/>
      <c r="AG490" s="6"/>
      <c r="AH490" s="6"/>
      <c r="AI490" s="6"/>
      <c r="AJ490" s="6"/>
      <c r="AK490" s="6"/>
      <c r="AL490" s="6"/>
    </row>
    <row r="491" spans="28:38" ht="15.75" customHeight="1" x14ac:dyDescent="0.25">
      <c r="AB491" s="6"/>
      <c r="AC491" s="6"/>
      <c r="AD491" s="6"/>
      <c r="AE491" s="6"/>
      <c r="AF491" s="6"/>
      <c r="AG491" s="6"/>
      <c r="AH491" s="6"/>
      <c r="AI491" s="6"/>
      <c r="AJ491" s="6"/>
      <c r="AK491" s="6"/>
      <c r="AL491" s="6"/>
    </row>
    <row r="492" spans="28:38" ht="15.75" customHeight="1" x14ac:dyDescent="0.25">
      <c r="AB492" s="6"/>
      <c r="AC492" s="6"/>
      <c r="AD492" s="6"/>
      <c r="AE492" s="6"/>
      <c r="AF492" s="6"/>
      <c r="AG492" s="6"/>
      <c r="AH492" s="6"/>
      <c r="AI492" s="6"/>
      <c r="AJ492" s="6"/>
      <c r="AK492" s="6"/>
      <c r="AL492" s="6"/>
    </row>
    <row r="493" spans="28:38" ht="15.75" customHeight="1" x14ac:dyDescent="0.25">
      <c r="AB493" s="6"/>
      <c r="AC493" s="6"/>
      <c r="AD493" s="6"/>
      <c r="AE493" s="6"/>
      <c r="AF493" s="6"/>
      <c r="AG493" s="6"/>
      <c r="AH493" s="6"/>
      <c r="AI493" s="6"/>
      <c r="AJ493" s="6"/>
      <c r="AK493" s="6"/>
      <c r="AL493" s="6"/>
    </row>
    <row r="494" spans="28:38" ht="15.75" customHeight="1" x14ac:dyDescent="0.25">
      <c r="AB494" s="6"/>
      <c r="AC494" s="6"/>
      <c r="AD494" s="6"/>
      <c r="AE494" s="6"/>
      <c r="AF494" s="6"/>
      <c r="AG494" s="6"/>
      <c r="AH494" s="6"/>
      <c r="AI494" s="6"/>
      <c r="AJ494" s="6"/>
      <c r="AK494" s="6"/>
      <c r="AL494" s="6"/>
    </row>
    <row r="495" spans="28:38" ht="15.75" customHeight="1" x14ac:dyDescent="0.25">
      <c r="AB495" s="6"/>
      <c r="AC495" s="6"/>
      <c r="AD495" s="6"/>
      <c r="AE495" s="6"/>
      <c r="AF495" s="6"/>
      <c r="AG495" s="6"/>
      <c r="AH495" s="6"/>
      <c r="AI495" s="6"/>
      <c r="AJ495" s="6"/>
      <c r="AK495" s="6"/>
      <c r="AL495" s="6"/>
    </row>
    <row r="496" spans="28:38" ht="15.75" customHeight="1" x14ac:dyDescent="0.25">
      <c r="AB496" s="6"/>
      <c r="AC496" s="6"/>
      <c r="AD496" s="6"/>
      <c r="AE496" s="6"/>
      <c r="AF496" s="6"/>
      <c r="AG496" s="6"/>
      <c r="AH496" s="6"/>
      <c r="AI496" s="6"/>
      <c r="AJ496" s="6"/>
      <c r="AK496" s="6"/>
      <c r="AL496" s="6"/>
    </row>
    <row r="497" spans="28:38" ht="15.75" customHeight="1" x14ac:dyDescent="0.25">
      <c r="AB497" s="6"/>
      <c r="AC497" s="6"/>
      <c r="AD497" s="6"/>
      <c r="AE497" s="6"/>
      <c r="AF497" s="6"/>
      <c r="AG497" s="6"/>
      <c r="AH497" s="6"/>
      <c r="AI497" s="6"/>
      <c r="AJ497" s="6"/>
      <c r="AK497" s="6"/>
      <c r="AL497" s="6"/>
    </row>
    <row r="498" spans="28:38" ht="15.75" customHeight="1" x14ac:dyDescent="0.25">
      <c r="AB498" s="6"/>
      <c r="AC498" s="6"/>
      <c r="AD498" s="6"/>
      <c r="AE498" s="6"/>
      <c r="AF498" s="6"/>
      <c r="AG498" s="6"/>
      <c r="AH498" s="6"/>
      <c r="AI498" s="6"/>
      <c r="AJ498" s="6"/>
      <c r="AK498" s="6"/>
      <c r="AL498" s="6"/>
    </row>
    <row r="499" spans="28:38" ht="15.75" customHeight="1" x14ac:dyDescent="0.25">
      <c r="AB499" s="6"/>
      <c r="AC499" s="6"/>
      <c r="AD499" s="6"/>
      <c r="AE499" s="6"/>
      <c r="AF499" s="6"/>
      <c r="AG499" s="6"/>
      <c r="AH499" s="6"/>
      <c r="AI499" s="6"/>
      <c r="AJ499" s="6"/>
      <c r="AK499" s="6"/>
      <c r="AL499" s="6"/>
    </row>
    <row r="500" spans="28:38" ht="15.75" customHeight="1" x14ac:dyDescent="0.25">
      <c r="AB500" s="6"/>
      <c r="AC500" s="6"/>
      <c r="AD500" s="6"/>
      <c r="AE500" s="6"/>
      <c r="AF500" s="6"/>
      <c r="AG500" s="6"/>
      <c r="AH500" s="6"/>
      <c r="AI500" s="6"/>
      <c r="AJ500" s="6"/>
      <c r="AK500" s="6"/>
      <c r="AL500" s="6"/>
    </row>
    <row r="501" spans="28:38" ht="15.75" customHeight="1" x14ac:dyDescent="0.25">
      <c r="AB501" s="6"/>
      <c r="AC501" s="6"/>
      <c r="AD501" s="6"/>
      <c r="AE501" s="6"/>
      <c r="AF501" s="6"/>
      <c r="AG501" s="6"/>
      <c r="AH501" s="6"/>
      <c r="AI501" s="6"/>
      <c r="AJ501" s="6"/>
      <c r="AK501" s="6"/>
      <c r="AL501" s="6"/>
    </row>
    <row r="502" spans="28:38" ht="15.75" customHeight="1" x14ac:dyDescent="0.25">
      <c r="AB502" s="6"/>
      <c r="AC502" s="6"/>
      <c r="AD502" s="6"/>
      <c r="AE502" s="6"/>
      <c r="AF502" s="6"/>
      <c r="AG502" s="6"/>
      <c r="AH502" s="6"/>
      <c r="AI502" s="6"/>
      <c r="AJ502" s="6"/>
      <c r="AK502" s="6"/>
      <c r="AL502" s="6"/>
    </row>
    <row r="503" spans="28:38" ht="15.75" customHeight="1" x14ac:dyDescent="0.25">
      <c r="AB503" s="6"/>
      <c r="AC503" s="6"/>
      <c r="AD503" s="6"/>
      <c r="AE503" s="6"/>
      <c r="AF503" s="6"/>
      <c r="AG503" s="6"/>
      <c r="AH503" s="6"/>
      <c r="AI503" s="6"/>
      <c r="AJ503" s="6"/>
      <c r="AK503" s="6"/>
      <c r="AL503" s="6"/>
    </row>
    <row r="504" spans="28:38" ht="15.75" customHeight="1" x14ac:dyDescent="0.25">
      <c r="AB504" s="6"/>
      <c r="AC504" s="6"/>
      <c r="AD504" s="6"/>
      <c r="AE504" s="6"/>
      <c r="AF504" s="6"/>
      <c r="AG504" s="6"/>
      <c r="AH504" s="6"/>
      <c r="AI504" s="6"/>
      <c r="AJ504" s="6"/>
      <c r="AK504" s="6"/>
      <c r="AL504" s="6"/>
    </row>
    <row r="505" spans="28:38" ht="15.75" customHeight="1" x14ac:dyDescent="0.25">
      <c r="AB505" s="6"/>
      <c r="AC505" s="6"/>
      <c r="AD505" s="6"/>
      <c r="AE505" s="6"/>
      <c r="AF505" s="6"/>
      <c r="AG505" s="6"/>
      <c r="AH505" s="6"/>
      <c r="AI505" s="6"/>
      <c r="AJ505" s="6"/>
      <c r="AK505" s="6"/>
      <c r="AL505" s="6"/>
    </row>
    <row r="506" spans="28:38" ht="15.75" customHeight="1" x14ac:dyDescent="0.25">
      <c r="AB506" s="6"/>
      <c r="AC506" s="6"/>
      <c r="AD506" s="6"/>
      <c r="AE506" s="6"/>
      <c r="AF506" s="6"/>
      <c r="AG506" s="6"/>
      <c r="AH506" s="6"/>
      <c r="AI506" s="6"/>
      <c r="AJ506" s="6"/>
      <c r="AK506" s="6"/>
      <c r="AL506" s="6"/>
    </row>
    <row r="507" spans="28:38" ht="15.75" customHeight="1" x14ac:dyDescent="0.25">
      <c r="AB507" s="6"/>
      <c r="AC507" s="6"/>
      <c r="AD507" s="6"/>
      <c r="AE507" s="6"/>
      <c r="AF507" s="6"/>
      <c r="AG507" s="6"/>
      <c r="AH507" s="6"/>
      <c r="AI507" s="6"/>
      <c r="AJ507" s="6"/>
      <c r="AK507" s="6"/>
      <c r="AL507" s="6"/>
    </row>
    <row r="508" spans="28:38" ht="15.75" customHeight="1" x14ac:dyDescent="0.25">
      <c r="AB508" s="6"/>
      <c r="AC508" s="6"/>
      <c r="AD508" s="6"/>
      <c r="AE508" s="6"/>
      <c r="AF508" s="6"/>
      <c r="AG508" s="6"/>
      <c r="AH508" s="6"/>
      <c r="AI508" s="6"/>
      <c r="AJ508" s="6"/>
      <c r="AK508" s="6"/>
      <c r="AL508" s="6"/>
    </row>
    <row r="509" spans="28:38" ht="15.75" customHeight="1" x14ac:dyDescent="0.25">
      <c r="AB509" s="6"/>
      <c r="AC509" s="6"/>
      <c r="AD509" s="6"/>
      <c r="AE509" s="6"/>
      <c r="AF509" s="6"/>
      <c r="AG509" s="6"/>
      <c r="AH509" s="6"/>
      <c r="AI509" s="6"/>
      <c r="AJ509" s="6"/>
      <c r="AK509" s="6"/>
      <c r="AL509" s="6"/>
    </row>
    <row r="510" spans="28:38" ht="15.75" customHeight="1" x14ac:dyDescent="0.25">
      <c r="AB510" s="6"/>
      <c r="AC510" s="6"/>
      <c r="AD510" s="6"/>
      <c r="AE510" s="6"/>
      <c r="AF510" s="6"/>
      <c r="AG510" s="6"/>
      <c r="AH510" s="6"/>
      <c r="AI510" s="6"/>
      <c r="AJ510" s="6"/>
      <c r="AK510" s="6"/>
      <c r="AL510" s="6"/>
    </row>
    <row r="511" spans="28:38" ht="15.75" customHeight="1" x14ac:dyDescent="0.25">
      <c r="AB511" s="6"/>
      <c r="AC511" s="6"/>
      <c r="AD511" s="6"/>
      <c r="AE511" s="6"/>
      <c r="AF511" s="6"/>
      <c r="AG511" s="6"/>
      <c r="AH511" s="6"/>
      <c r="AI511" s="6"/>
      <c r="AJ511" s="6"/>
      <c r="AK511" s="6"/>
      <c r="AL511" s="6"/>
    </row>
    <row r="512" spans="28:38" ht="15.75" customHeight="1" x14ac:dyDescent="0.25">
      <c r="AB512" s="6"/>
      <c r="AC512" s="6"/>
      <c r="AD512" s="6"/>
      <c r="AE512" s="6"/>
      <c r="AF512" s="6"/>
      <c r="AG512" s="6"/>
      <c r="AH512" s="6"/>
      <c r="AI512" s="6"/>
      <c r="AJ512" s="6"/>
      <c r="AK512" s="6"/>
      <c r="AL512" s="6"/>
    </row>
    <row r="513" spans="28:38" ht="15.75" customHeight="1" x14ac:dyDescent="0.25">
      <c r="AB513" s="6"/>
      <c r="AC513" s="6"/>
      <c r="AD513" s="6"/>
      <c r="AE513" s="6"/>
      <c r="AF513" s="6"/>
      <c r="AG513" s="6"/>
      <c r="AH513" s="6"/>
      <c r="AI513" s="6"/>
      <c r="AJ513" s="6"/>
      <c r="AK513" s="6"/>
      <c r="AL513" s="6"/>
    </row>
    <row r="514" spans="28:38" ht="15.75" customHeight="1" x14ac:dyDescent="0.25">
      <c r="AB514" s="6"/>
      <c r="AC514" s="6"/>
      <c r="AD514" s="6"/>
      <c r="AE514" s="6"/>
      <c r="AF514" s="6"/>
      <c r="AG514" s="6"/>
      <c r="AH514" s="6"/>
      <c r="AI514" s="6"/>
      <c r="AJ514" s="6"/>
      <c r="AK514" s="6"/>
      <c r="AL514" s="6"/>
    </row>
    <row r="515" spans="28:38" ht="15.75" customHeight="1" x14ac:dyDescent="0.25">
      <c r="AB515" s="6"/>
      <c r="AC515" s="6"/>
      <c r="AD515" s="6"/>
      <c r="AE515" s="6"/>
      <c r="AF515" s="6"/>
      <c r="AG515" s="6"/>
      <c r="AH515" s="6"/>
      <c r="AI515" s="6"/>
      <c r="AJ515" s="6"/>
      <c r="AK515" s="6"/>
      <c r="AL515" s="6"/>
    </row>
    <row r="516" spans="28:38" ht="15.75" customHeight="1" x14ac:dyDescent="0.25">
      <c r="AB516" s="6"/>
      <c r="AC516" s="6"/>
      <c r="AD516" s="6"/>
      <c r="AE516" s="6"/>
      <c r="AF516" s="6"/>
      <c r="AG516" s="6"/>
      <c r="AH516" s="6"/>
      <c r="AI516" s="6"/>
      <c r="AJ516" s="6"/>
      <c r="AK516" s="6"/>
      <c r="AL516" s="6"/>
    </row>
    <row r="517" spans="28:38" ht="15.75" customHeight="1" x14ac:dyDescent="0.25">
      <c r="AB517" s="6"/>
      <c r="AC517" s="6"/>
      <c r="AD517" s="6"/>
      <c r="AE517" s="6"/>
      <c r="AF517" s="6"/>
      <c r="AG517" s="6"/>
      <c r="AH517" s="6"/>
      <c r="AI517" s="6"/>
      <c r="AJ517" s="6"/>
      <c r="AK517" s="6"/>
      <c r="AL517" s="6"/>
    </row>
    <row r="518" spans="28:38" ht="15.75" customHeight="1" x14ac:dyDescent="0.25">
      <c r="AB518" s="6"/>
      <c r="AC518" s="6"/>
      <c r="AD518" s="6"/>
      <c r="AE518" s="6"/>
      <c r="AF518" s="6"/>
      <c r="AG518" s="6"/>
      <c r="AH518" s="6"/>
      <c r="AI518" s="6"/>
      <c r="AJ518" s="6"/>
      <c r="AK518" s="6"/>
      <c r="AL518" s="6"/>
    </row>
    <row r="519" spans="28:38" ht="15.75" customHeight="1" x14ac:dyDescent="0.25">
      <c r="AB519" s="6"/>
      <c r="AC519" s="6"/>
      <c r="AD519" s="6"/>
      <c r="AE519" s="6"/>
      <c r="AF519" s="6"/>
      <c r="AG519" s="6"/>
      <c r="AH519" s="6"/>
      <c r="AI519" s="6"/>
      <c r="AJ519" s="6"/>
      <c r="AK519" s="6"/>
      <c r="AL519" s="6"/>
    </row>
    <row r="520" spans="28:38" ht="15.75" customHeight="1" x14ac:dyDescent="0.25">
      <c r="AB520" s="6"/>
      <c r="AC520" s="6"/>
      <c r="AD520" s="6"/>
      <c r="AE520" s="6"/>
      <c r="AF520" s="6"/>
      <c r="AG520" s="6"/>
      <c r="AH520" s="6"/>
      <c r="AI520" s="6"/>
      <c r="AJ520" s="6"/>
      <c r="AK520" s="6"/>
      <c r="AL520" s="6"/>
    </row>
    <row r="521" spans="28:38" ht="15.75" customHeight="1" x14ac:dyDescent="0.25">
      <c r="AB521" s="6"/>
      <c r="AC521" s="6"/>
      <c r="AD521" s="6"/>
      <c r="AE521" s="6"/>
      <c r="AF521" s="6"/>
      <c r="AG521" s="6"/>
      <c r="AH521" s="6"/>
      <c r="AI521" s="6"/>
      <c r="AJ521" s="6"/>
      <c r="AK521" s="6"/>
      <c r="AL521" s="6"/>
    </row>
    <row r="522" spans="28:38" ht="15.75" customHeight="1" x14ac:dyDescent="0.25">
      <c r="AB522" s="6"/>
      <c r="AC522" s="6"/>
      <c r="AD522" s="6"/>
      <c r="AE522" s="6"/>
      <c r="AF522" s="6"/>
      <c r="AG522" s="6"/>
      <c r="AH522" s="6"/>
      <c r="AI522" s="6"/>
      <c r="AJ522" s="6"/>
      <c r="AK522" s="6"/>
      <c r="AL522" s="6"/>
    </row>
    <row r="523" spans="28:38" ht="15.75" customHeight="1" x14ac:dyDescent="0.25">
      <c r="AB523" s="6"/>
      <c r="AC523" s="6"/>
      <c r="AD523" s="6"/>
      <c r="AE523" s="6"/>
      <c r="AF523" s="6"/>
      <c r="AG523" s="6"/>
      <c r="AH523" s="6"/>
      <c r="AI523" s="6"/>
      <c r="AJ523" s="6"/>
      <c r="AK523" s="6"/>
      <c r="AL523" s="6"/>
    </row>
    <row r="524" spans="28:38" ht="15.75" customHeight="1" x14ac:dyDescent="0.25">
      <c r="AB524" s="6"/>
      <c r="AC524" s="6"/>
      <c r="AD524" s="6"/>
      <c r="AE524" s="6"/>
      <c r="AF524" s="6"/>
      <c r="AG524" s="6"/>
      <c r="AH524" s="6"/>
      <c r="AI524" s="6"/>
      <c r="AJ524" s="6"/>
      <c r="AK524" s="6"/>
      <c r="AL524" s="6"/>
    </row>
    <row r="525" spans="28:38" ht="15.75" customHeight="1" x14ac:dyDescent="0.25">
      <c r="AB525" s="6"/>
      <c r="AC525" s="6"/>
      <c r="AD525" s="6"/>
      <c r="AE525" s="6"/>
      <c r="AF525" s="6"/>
      <c r="AG525" s="6"/>
      <c r="AH525" s="6"/>
      <c r="AI525" s="6"/>
      <c r="AJ525" s="6"/>
      <c r="AK525" s="6"/>
      <c r="AL525" s="6"/>
    </row>
    <row r="526" spans="28:38" ht="15.75" customHeight="1" x14ac:dyDescent="0.25">
      <c r="AB526" s="6"/>
      <c r="AC526" s="6"/>
      <c r="AD526" s="6"/>
      <c r="AE526" s="6"/>
      <c r="AF526" s="6"/>
      <c r="AG526" s="6"/>
      <c r="AH526" s="6"/>
      <c r="AI526" s="6"/>
      <c r="AJ526" s="6"/>
      <c r="AK526" s="6"/>
      <c r="AL526" s="6"/>
    </row>
    <row r="527" spans="28:38" ht="15.75" customHeight="1" x14ac:dyDescent="0.25">
      <c r="AB527" s="6"/>
      <c r="AC527" s="6"/>
      <c r="AD527" s="6"/>
      <c r="AE527" s="6"/>
      <c r="AF527" s="6"/>
      <c r="AG527" s="6"/>
      <c r="AH527" s="6"/>
      <c r="AI527" s="6"/>
      <c r="AJ527" s="6"/>
      <c r="AK527" s="6"/>
      <c r="AL527" s="6"/>
    </row>
    <row r="528" spans="28:38" ht="15.75" customHeight="1" x14ac:dyDescent="0.25">
      <c r="AB528" s="6"/>
      <c r="AC528" s="6"/>
      <c r="AD528" s="6"/>
      <c r="AE528" s="6"/>
      <c r="AF528" s="6"/>
      <c r="AG528" s="6"/>
      <c r="AH528" s="6"/>
      <c r="AI528" s="6"/>
      <c r="AJ528" s="6"/>
      <c r="AK528" s="6"/>
      <c r="AL528" s="6"/>
    </row>
    <row r="529" spans="28:38" ht="15.75" customHeight="1" x14ac:dyDescent="0.25">
      <c r="AB529" s="6"/>
      <c r="AC529" s="6"/>
      <c r="AD529" s="6"/>
      <c r="AE529" s="6"/>
      <c r="AF529" s="6"/>
      <c r="AG529" s="6"/>
      <c r="AH529" s="6"/>
      <c r="AI529" s="6"/>
      <c r="AJ529" s="6"/>
      <c r="AK529" s="6"/>
      <c r="AL529" s="6"/>
    </row>
    <row r="530" spans="28:38" ht="15.75" customHeight="1" x14ac:dyDescent="0.25">
      <c r="AB530" s="6"/>
      <c r="AC530" s="6"/>
      <c r="AD530" s="6"/>
      <c r="AE530" s="6"/>
      <c r="AF530" s="6"/>
      <c r="AG530" s="6"/>
      <c r="AH530" s="6"/>
      <c r="AI530" s="6"/>
      <c r="AJ530" s="6"/>
      <c r="AK530" s="6"/>
      <c r="AL530" s="6"/>
    </row>
    <row r="531" spans="28:38" ht="15.75" customHeight="1" x14ac:dyDescent="0.25">
      <c r="AB531" s="6"/>
      <c r="AC531" s="6"/>
      <c r="AD531" s="6"/>
      <c r="AE531" s="6"/>
      <c r="AF531" s="6"/>
      <c r="AG531" s="6"/>
      <c r="AH531" s="6"/>
      <c r="AI531" s="6"/>
      <c r="AJ531" s="6"/>
      <c r="AK531" s="6"/>
      <c r="AL531" s="6"/>
    </row>
    <row r="532" spans="28:38" ht="15.75" customHeight="1" x14ac:dyDescent="0.25">
      <c r="AB532" s="6"/>
      <c r="AC532" s="6"/>
      <c r="AD532" s="6"/>
      <c r="AE532" s="6"/>
      <c r="AF532" s="6"/>
      <c r="AG532" s="6"/>
      <c r="AH532" s="6"/>
      <c r="AI532" s="6"/>
      <c r="AJ532" s="6"/>
      <c r="AK532" s="6"/>
      <c r="AL532" s="6"/>
    </row>
    <row r="533" spans="28:38" ht="15.75" customHeight="1" x14ac:dyDescent="0.25">
      <c r="AB533" s="6"/>
      <c r="AC533" s="6"/>
      <c r="AD533" s="6"/>
      <c r="AE533" s="6"/>
      <c r="AF533" s="6"/>
      <c r="AG533" s="6"/>
      <c r="AH533" s="6"/>
      <c r="AI533" s="6"/>
      <c r="AJ533" s="6"/>
      <c r="AK533" s="6"/>
      <c r="AL533" s="6"/>
    </row>
    <row r="534" spans="28:38" ht="15.75" customHeight="1" x14ac:dyDescent="0.25">
      <c r="AB534" s="6"/>
      <c r="AC534" s="6"/>
      <c r="AD534" s="6"/>
      <c r="AE534" s="6"/>
      <c r="AF534" s="6"/>
      <c r="AG534" s="6"/>
      <c r="AH534" s="6"/>
      <c r="AI534" s="6"/>
      <c r="AJ534" s="6"/>
      <c r="AK534" s="6"/>
      <c r="AL534" s="6"/>
    </row>
    <row r="535" spans="28:38" ht="15.75" customHeight="1" x14ac:dyDescent="0.25">
      <c r="AB535" s="6"/>
      <c r="AC535" s="6"/>
      <c r="AD535" s="6"/>
      <c r="AE535" s="6"/>
      <c r="AF535" s="6"/>
      <c r="AG535" s="6"/>
      <c r="AH535" s="6"/>
      <c r="AI535" s="6"/>
      <c r="AJ535" s="6"/>
      <c r="AK535" s="6"/>
      <c r="AL535" s="6"/>
    </row>
    <row r="536" spans="28:38" ht="15.75" customHeight="1" x14ac:dyDescent="0.25">
      <c r="AB536" s="6"/>
      <c r="AC536" s="6"/>
      <c r="AD536" s="6"/>
      <c r="AE536" s="6"/>
      <c r="AF536" s="6"/>
      <c r="AG536" s="6"/>
      <c r="AH536" s="6"/>
      <c r="AI536" s="6"/>
      <c r="AJ536" s="6"/>
      <c r="AK536" s="6"/>
      <c r="AL536" s="6"/>
    </row>
    <row r="537" spans="28:38" ht="15.75" customHeight="1" x14ac:dyDescent="0.25">
      <c r="AB537" s="6"/>
      <c r="AC537" s="6"/>
      <c r="AD537" s="6"/>
      <c r="AE537" s="6"/>
      <c r="AF537" s="6"/>
      <c r="AG537" s="6"/>
      <c r="AH537" s="6"/>
      <c r="AI537" s="6"/>
      <c r="AJ537" s="6"/>
      <c r="AK537" s="6"/>
      <c r="AL537" s="6"/>
    </row>
    <row r="538" spans="28:38" ht="15.75" customHeight="1" x14ac:dyDescent="0.25">
      <c r="AB538" s="6"/>
      <c r="AC538" s="6"/>
      <c r="AD538" s="6"/>
      <c r="AE538" s="6"/>
      <c r="AF538" s="6"/>
      <c r="AG538" s="6"/>
      <c r="AH538" s="6"/>
      <c r="AI538" s="6"/>
      <c r="AJ538" s="6"/>
      <c r="AK538" s="6"/>
      <c r="AL538" s="6"/>
    </row>
    <row r="539" spans="28:38" ht="15.75" customHeight="1" x14ac:dyDescent="0.25">
      <c r="AB539" s="6"/>
      <c r="AC539" s="6"/>
      <c r="AD539" s="6"/>
      <c r="AE539" s="6"/>
      <c r="AF539" s="6"/>
      <c r="AG539" s="6"/>
      <c r="AH539" s="6"/>
      <c r="AI539" s="6"/>
      <c r="AJ539" s="6"/>
      <c r="AK539" s="6"/>
      <c r="AL539" s="6"/>
    </row>
    <row r="540" spans="28:38" ht="15.75" customHeight="1" x14ac:dyDescent="0.25">
      <c r="AB540" s="6"/>
      <c r="AC540" s="6"/>
      <c r="AD540" s="6"/>
      <c r="AE540" s="6"/>
      <c r="AF540" s="6"/>
      <c r="AG540" s="6"/>
      <c r="AH540" s="6"/>
      <c r="AI540" s="6"/>
      <c r="AJ540" s="6"/>
      <c r="AK540" s="6"/>
      <c r="AL540" s="6"/>
    </row>
    <row r="541" spans="28:38" ht="15.75" customHeight="1" x14ac:dyDescent="0.25">
      <c r="AB541" s="6"/>
      <c r="AC541" s="6"/>
      <c r="AD541" s="6"/>
      <c r="AE541" s="6"/>
      <c r="AF541" s="6"/>
      <c r="AG541" s="6"/>
      <c r="AH541" s="6"/>
      <c r="AI541" s="6"/>
      <c r="AJ541" s="6"/>
      <c r="AK541" s="6"/>
      <c r="AL541" s="6"/>
    </row>
    <row r="542" spans="28:38" ht="15.75" customHeight="1" x14ac:dyDescent="0.25">
      <c r="AB542" s="6"/>
      <c r="AC542" s="6"/>
      <c r="AD542" s="6"/>
      <c r="AE542" s="6"/>
      <c r="AF542" s="6"/>
      <c r="AG542" s="6"/>
      <c r="AH542" s="6"/>
      <c r="AI542" s="6"/>
      <c r="AJ542" s="6"/>
      <c r="AK542" s="6"/>
      <c r="AL542" s="6"/>
    </row>
    <row r="543" spans="28:38" ht="15.75" customHeight="1" x14ac:dyDescent="0.25">
      <c r="AB543" s="6"/>
      <c r="AC543" s="6"/>
      <c r="AD543" s="6"/>
      <c r="AE543" s="6"/>
      <c r="AF543" s="6"/>
      <c r="AG543" s="6"/>
      <c r="AH543" s="6"/>
      <c r="AI543" s="6"/>
      <c r="AJ543" s="6"/>
      <c r="AK543" s="6"/>
      <c r="AL543" s="6"/>
    </row>
    <row r="544" spans="28:38" ht="15.75" customHeight="1" x14ac:dyDescent="0.25">
      <c r="AB544" s="6"/>
      <c r="AC544" s="6"/>
      <c r="AD544" s="6"/>
      <c r="AE544" s="6"/>
      <c r="AF544" s="6"/>
      <c r="AG544" s="6"/>
      <c r="AH544" s="6"/>
      <c r="AI544" s="6"/>
      <c r="AJ544" s="6"/>
      <c r="AK544" s="6"/>
      <c r="AL544" s="6"/>
    </row>
    <row r="545" spans="28:38" ht="15.75" customHeight="1" x14ac:dyDescent="0.25">
      <c r="AB545" s="6"/>
      <c r="AC545" s="6"/>
      <c r="AD545" s="6"/>
      <c r="AE545" s="6"/>
      <c r="AF545" s="6"/>
      <c r="AG545" s="6"/>
      <c r="AH545" s="6"/>
      <c r="AI545" s="6"/>
      <c r="AJ545" s="6"/>
      <c r="AK545" s="6"/>
      <c r="AL545" s="6"/>
    </row>
    <row r="546" spans="28:38" ht="15.75" customHeight="1" x14ac:dyDescent="0.25">
      <c r="AB546" s="6"/>
      <c r="AC546" s="6"/>
      <c r="AD546" s="6"/>
      <c r="AE546" s="6"/>
      <c r="AF546" s="6"/>
      <c r="AG546" s="6"/>
      <c r="AH546" s="6"/>
      <c r="AI546" s="6"/>
      <c r="AJ546" s="6"/>
      <c r="AK546" s="6"/>
      <c r="AL546" s="6"/>
    </row>
    <row r="547" spans="28:38" ht="15.75" customHeight="1" x14ac:dyDescent="0.25">
      <c r="AB547" s="6"/>
      <c r="AC547" s="6"/>
      <c r="AD547" s="6"/>
      <c r="AE547" s="6"/>
      <c r="AF547" s="6"/>
      <c r="AG547" s="6"/>
      <c r="AH547" s="6"/>
      <c r="AI547" s="6"/>
      <c r="AJ547" s="6"/>
      <c r="AK547" s="6"/>
      <c r="AL547" s="6"/>
    </row>
    <row r="548" spans="28:38" ht="15.75" customHeight="1" x14ac:dyDescent="0.25">
      <c r="AB548" s="6"/>
      <c r="AC548" s="6"/>
      <c r="AD548" s="6"/>
      <c r="AE548" s="6"/>
      <c r="AF548" s="6"/>
      <c r="AG548" s="6"/>
      <c r="AH548" s="6"/>
      <c r="AI548" s="6"/>
      <c r="AJ548" s="6"/>
      <c r="AK548" s="6"/>
      <c r="AL548" s="6"/>
    </row>
    <row r="549" spans="28:38" ht="15.75" customHeight="1" x14ac:dyDescent="0.25">
      <c r="AB549" s="6"/>
      <c r="AC549" s="6"/>
      <c r="AD549" s="6"/>
      <c r="AE549" s="6"/>
      <c r="AF549" s="6"/>
      <c r="AG549" s="6"/>
      <c r="AH549" s="6"/>
      <c r="AI549" s="6"/>
      <c r="AJ549" s="6"/>
      <c r="AK549" s="6"/>
      <c r="AL549" s="6"/>
    </row>
    <row r="550" spans="28:38" ht="15.75" customHeight="1" x14ac:dyDescent="0.25">
      <c r="AB550" s="6"/>
      <c r="AC550" s="6"/>
      <c r="AD550" s="6"/>
      <c r="AE550" s="6"/>
      <c r="AF550" s="6"/>
      <c r="AG550" s="6"/>
      <c r="AH550" s="6"/>
      <c r="AI550" s="6"/>
      <c r="AJ550" s="6"/>
      <c r="AK550" s="6"/>
      <c r="AL550" s="6"/>
    </row>
    <row r="551" spans="28:38" ht="15.75" customHeight="1" x14ac:dyDescent="0.25">
      <c r="AB551" s="6"/>
      <c r="AC551" s="6"/>
      <c r="AD551" s="6"/>
      <c r="AE551" s="6"/>
      <c r="AF551" s="6"/>
      <c r="AG551" s="6"/>
      <c r="AH551" s="6"/>
      <c r="AI551" s="6"/>
      <c r="AJ551" s="6"/>
      <c r="AK551" s="6"/>
      <c r="AL551" s="6"/>
    </row>
    <row r="552" spans="28:38" ht="15.75" customHeight="1" x14ac:dyDescent="0.25">
      <c r="AB552" s="6"/>
      <c r="AC552" s="6"/>
      <c r="AD552" s="6"/>
      <c r="AE552" s="6"/>
      <c r="AF552" s="6"/>
      <c r="AG552" s="6"/>
      <c r="AH552" s="6"/>
      <c r="AI552" s="6"/>
      <c r="AJ552" s="6"/>
      <c r="AK552" s="6"/>
      <c r="AL552" s="6"/>
    </row>
    <row r="553" spans="28:38" ht="15.75" customHeight="1" x14ac:dyDescent="0.25">
      <c r="AB553" s="6"/>
      <c r="AC553" s="6"/>
      <c r="AD553" s="6"/>
      <c r="AE553" s="6"/>
      <c r="AF553" s="6"/>
      <c r="AG553" s="6"/>
      <c r="AH553" s="6"/>
      <c r="AI553" s="6"/>
      <c r="AJ553" s="6"/>
      <c r="AK553" s="6"/>
      <c r="AL553" s="6"/>
    </row>
    <row r="554" spans="28:38" ht="15.75" customHeight="1" x14ac:dyDescent="0.25">
      <c r="AB554" s="6"/>
      <c r="AC554" s="6"/>
      <c r="AD554" s="6"/>
      <c r="AE554" s="6"/>
      <c r="AF554" s="6"/>
      <c r="AG554" s="6"/>
      <c r="AH554" s="6"/>
      <c r="AI554" s="6"/>
      <c r="AJ554" s="6"/>
      <c r="AK554" s="6"/>
      <c r="AL554" s="6"/>
    </row>
    <row r="555" spans="28:38" ht="15.75" customHeight="1" x14ac:dyDescent="0.25">
      <c r="AB555" s="6"/>
      <c r="AC555" s="6"/>
      <c r="AD555" s="6"/>
      <c r="AE555" s="6"/>
      <c r="AF555" s="6"/>
      <c r="AG555" s="6"/>
      <c r="AH555" s="6"/>
      <c r="AI555" s="6"/>
      <c r="AJ555" s="6"/>
      <c r="AK555" s="6"/>
      <c r="AL555" s="6"/>
    </row>
    <row r="556" spans="28:38" ht="15.75" customHeight="1" x14ac:dyDescent="0.25">
      <c r="AB556" s="6"/>
      <c r="AC556" s="6"/>
      <c r="AD556" s="6"/>
      <c r="AE556" s="6"/>
      <c r="AF556" s="6"/>
      <c r="AG556" s="6"/>
      <c r="AH556" s="6"/>
      <c r="AI556" s="6"/>
      <c r="AJ556" s="6"/>
      <c r="AK556" s="6"/>
      <c r="AL556" s="6"/>
    </row>
    <row r="557" spans="28:38" ht="15.75" customHeight="1" x14ac:dyDescent="0.25">
      <c r="AB557" s="6"/>
      <c r="AC557" s="6"/>
      <c r="AD557" s="6"/>
      <c r="AE557" s="6"/>
      <c r="AF557" s="6"/>
      <c r="AG557" s="6"/>
      <c r="AH557" s="6"/>
      <c r="AI557" s="6"/>
      <c r="AJ557" s="6"/>
      <c r="AK557" s="6"/>
      <c r="AL557" s="6"/>
    </row>
    <row r="558" spans="28:38" ht="15.75" customHeight="1" x14ac:dyDescent="0.25">
      <c r="AB558" s="6"/>
      <c r="AC558" s="6"/>
      <c r="AD558" s="6"/>
      <c r="AE558" s="6"/>
      <c r="AF558" s="6"/>
      <c r="AG558" s="6"/>
      <c r="AH558" s="6"/>
      <c r="AI558" s="6"/>
      <c r="AJ558" s="6"/>
      <c r="AK558" s="6"/>
      <c r="AL558" s="6"/>
    </row>
    <row r="559" spans="28:38" ht="15.75" customHeight="1" x14ac:dyDescent="0.25">
      <c r="AB559" s="6"/>
      <c r="AC559" s="6"/>
      <c r="AD559" s="6"/>
      <c r="AE559" s="6"/>
      <c r="AF559" s="6"/>
      <c r="AG559" s="6"/>
      <c r="AH559" s="6"/>
      <c r="AI559" s="6"/>
      <c r="AJ559" s="6"/>
      <c r="AK559" s="6"/>
      <c r="AL559" s="6"/>
    </row>
    <row r="560" spans="28:38" ht="15.75" customHeight="1" x14ac:dyDescent="0.25">
      <c r="AB560" s="6"/>
      <c r="AC560" s="6"/>
      <c r="AD560" s="6"/>
      <c r="AE560" s="6"/>
      <c r="AF560" s="6"/>
      <c r="AG560" s="6"/>
      <c r="AH560" s="6"/>
      <c r="AI560" s="6"/>
      <c r="AJ560" s="6"/>
      <c r="AK560" s="6"/>
      <c r="AL560" s="6"/>
    </row>
    <row r="561" spans="28:38" ht="15.75" customHeight="1" x14ac:dyDescent="0.25">
      <c r="AB561" s="6"/>
      <c r="AC561" s="6"/>
      <c r="AD561" s="6"/>
      <c r="AE561" s="6"/>
      <c r="AF561" s="6"/>
      <c r="AG561" s="6"/>
      <c r="AH561" s="6"/>
      <c r="AI561" s="6"/>
      <c r="AJ561" s="6"/>
      <c r="AK561" s="6"/>
      <c r="AL561" s="6"/>
    </row>
    <row r="562" spans="28:38" ht="15.75" customHeight="1" x14ac:dyDescent="0.25">
      <c r="AB562" s="6"/>
      <c r="AC562" s="6"/>
      <c r="AD562" s="6"/>
      <c r="AE562" s="6"/>
      <c r="AF562" s="6"/>
      <c r="AG562" s="6"/>
      <c r="AH562" s="6"/>
      <c r="AI562" s="6"/>
      <c r="AJ562" s="6"/>
      <c r="AK562" s="6"/>
      <c r="AL562" s="6"/>
    </row>
    <row r="563" spans="28:38" ht="15.75" customHeight="1" x14ac:dyDescent="0.25">
      <c r="AB563" s="6"/>
      <c r="AC563" s="6"/>
      <c r="AD563" s="6"/>
      <c r="AE563" s="6"/>
      <c r="AF563" s="6"/>
      <c r="AG563" s="6"/>
      <c r="AH563" s="6"/>
      <c r="AI563" s="6"/>
      <c r="AJ563" s="6"/>
      <c r="AK563" s="6"/>
      <c r="AL563" s="6"/>
    </row>
    <row r="564" spans="28:38" ht="15.75" customHeight="1" x14ac:dyDescent="0.25">
      <c r="AB564" s="6"/>
      <c r="AC564" s="6"/>
      <c r="AD564" s="6"/>
      <c r="AE564" s="6"/>
      <c r="AF564" s="6"/>
      <c r="AG564" s="6"/>
      <c r="AH564" s="6"/>
      <c r="AI564" s="6"/>
      <c r="AJ564" s="6"/>
      <c r="AK564" s="6"/>
      <c r="AL564" s="6"/>
    </row>
    <row r="565" spans="28:38" ht="15.75" customHeight="1" x14ac:dyDescent="0.25">
      <c r="AB565" s="6"/>
      <c r="AC565" s="6"/>
      <c r="AD565" s="6"/>
      <c r="AE565" s="6"/>
      <c r="AF565" s="6"/>
      <c r="AG565" s="6"/>
      <c r="AH565" s="6"/>
      <c r="AI565" s="6"/>
      <c r="AJ565" s="6"/>
      <c r="AK565" s="6"/>
      <c r="AL565" s="6"/>
    </row>
    <row r="566" spans="28:38" ht="15.75" customHeight="1" x14ac:dyDescent="0.25">
      <c r="AB566" s="6"/>
      <c r="AC566" s="6"/>
      <c r="AD566" s="6"/>
      <c r="AE566" s="6"/>
      <c r="AF566" s="6"/>
      <c r="AG566" s="6"/>
      <c r="AH566" s="6"/>
      <c r="AI566" s="6"/>
      <c r="AJ566" s="6"/>
      <c r="AK566" s="6"/>
      <c r="AL566" s="6"/>
    </row>
    <row r="567" spans="28:38" ht="15.75" customHeight="1" x14ac:dyDescent="0.25">
      <c r="AB567" s="6"/>
      <c r="AC567" s="6"/>
      <c r="AD567" s="6"/>
      <c r="AE567" s="6"/>
      <c r="AF567" s="6"/>
      <c r="AG567" s="6"/>
      <c r="AH567" s="6"/>
      <c r="AI567" s="6"/>
      <c r="AJ567" s="6"/>
      <c r="AK567" s="6"/>
      <c r="AL567" s="6"/>
    </row>
    <row r="568" spans="28:38" ht="15.75" customHeight="1" x14ac:dyDescent="0.25">
      <c r="AB568" s="6"/>
      <c r="AC568" s="6"/>
      <c r="AD568" s="6"/>
      <c r="AE568" s="6"/>
      <c r="AF568" s="6"/>
      <c r="AG568" s="6"/>
      <c r="AH568" s="6"/>
      <c r="AI568" s="6"/>
      <c r="AJ568" s="6"/>
      <c r="AK568" s="6"/>
      <c r="AL568" s="6"/>
    </row>
    <row r="569" spans="28:38" ht="15.75" customHeight="1" x14ac:dyDescent="0.25">
      <c r="AB569" s="6"/>
      <c r="AC569" s="6"/>
      <c r="AD569" s="6"/>
      <c r="AE569" s="6"/>
      <c r="AF569" s="6"/>
      <c r="AG569" s="6"/>
      <c r="AH569" s="6"/>
      <c r="AI569" s="6"/>
      <c r="AJ569" s="6"/>
      <c r="AK569" s="6"/>
      <c r="AL569" s="6"/>
    </row>
    <row r="570" spans="28:38" ht="15.75" customHeight="1" x14ac:dyDescent="0.25">
      <c r="AB570" s="6"/>
      <c r="AC570" s="6"/>
      <c r="AD570" s="6"/>
      <c r="AE570" s="6"/>
      <c r="AF570" s="6"/>
      <c r="AG570" s="6"/>
      <c r="AH570" s="6"/>
      <c r="AI570" s="6"/>
      <c r="AJ570" s="6"/>
      <c r="AK570" s="6"/>
      <c r="AL570" s="6"/>
    </row>
    <row r="571" spans="28:38" ht="15.75" customHeight="1" x14ac:dyDescent="0.25">
      <c r="AB571" s="6"/>
      <c r="AC571" s="6"/>
      <c r="AD571" s="6"/>
      <c r="AE571" s="6"/>
      <c r="AF571" s="6"/>
      <c r="AG571" s="6"/>
      <c r="AH571" s="6"/>
      <c r="AI571" s="6"/>
      <c r="AJ571" s="6"/>
      <c r="AK571" s="6"/>
      <c r="AL571" s="6"/>
    </row>
    <row r="572" spans="28:38" ht="15.75" customHeight="1" x14ac:dyDescent="0.25">
      <c r="AB572" s="6"/>
      <c r="AC572" s="6"/>
      <c r="AD572" s="6"/>
      <c r="AE572" s="6"/>
      <c r="AF572" s="6"/>
      <c r="AG572" s="6"/>
      <c r="AH572" s="6"/>
      <c r="AI572" s="6"/>
      <c r="AJ572" s="6"/>
      <c r="AK572" s="6"/>
      <c r="AL572" s="6"/>
    </row>
    <row r="573" spans="28:38" ht="15.75" customHeight="1" x14ac:dyDescent="0.25">
      <c r="AB573" s="6"/>
      <c r="AC573" s="6"/>
      <c r="AD573" s="6"/>
      <c r="AE573" s="6"/>
      <c r="AF573" s="6"/>
      <c r="AG573" s="6"/>
      <c r="AH573" s="6"/>
      <c r="AI573" s="6"/>
      <c r="AJ573" s="6"/>
      <c r="AK573" s="6"/>
      <c r="AL573" s="6"/>
    </row>
    <row r="574" spans="28:38" ht="15.75" customHeight="1" x14ac:dyDescent="0.25">
      <c r="AB574" s="6"/>
      <c r="AC574" s="6"/>
      <c r="AD574" s="6"/>
      <c r="AE574" s="6"/>
      <c r="AF574" s="6"/>
      <c r="AG574" s="6"/>
      <c r="AH574" s="6"/>
      <c r="AI574" s="6"/>
      <c r="AJ574" s="6"/>
      <c r="AK574" s="6"/>
      <c r="AL574" s="6"/>
    </row>
    <row r="575" spans="28:38" ht="15.75" customHeight="1" x14ac:dyDescent="0.25">
      <c r="AB575" s="6"/>
      <c r="AC575" s="6"/>
      <c r="AD575" s="6"/>
      <c r="AE575" s="6"/>
      <c r="AF575" s="6"/>
      <c r="AG575" s="6"/>
      <c r="AH575" s="6"/>
      <c r="AI575" s="6"/>
      <c r="AJ575" s="6"/>
      <c r="AK575" s="6"/>
      <c r="AL575" s="6"/>
    </row>
    <row r="576" spans="28:38" ht="15.75" customHeight="1" x14ac:dyDescent="0.25">
      <c r="AB576" s="6"/>
      <c r="AC576" s="6"/>
      <c r="AD576" s="6"/>
      <c r="AE576" s="6"/>
      <c r="AF576" s="6"/>
      <c r="AG576" s="6"/>
      <c r="AH576" s="6"/>
      <c r="AI576" s="6"/>
      <c r="AJ576" s="6"/>
      <c r="AK576" s="6"/>
      <c r="AL576" s="6"/>
    </row>
    <row r="577" spans="28:38" ht="15.75" customHeight="1" x14ac:dyDescent="0.25">
      <c r="AB577" s="6"/>
      <c r="AC577" s="6"/>
      <c r="AD577" s="6"/>
      <c r="AE577" s="6"/>
      <c r="AF577" s="6"/>
      <c r="AG577" s="6"/>
      <c r="AH577" s="6"/>
      <c r="AI577" s="6"/>
      <c r="AJ577" s="6"/>
      <c r="AK577" s="6"/>
      <c r="AL577" s="6"/>
    </row>
    <row r="578" spans="28:38" ht="15.75" customHeight="1" x14ac:dyDescent="0.25">
      <c r="AB578" s="6"/>
      <c r="AC578" s="6"/>
      <c r="AD578" s="6"/>
      <c r="AE578" s="6"/>
      <c r="AF578" s="6"/>
      <c r="AG578" s="6"/>
      <c r="AH578" s="6"/>
      <c r="AI578" s="6"/>
      <c r="AJ578" s="6"/>
      <c r="AK578" s="6"/>
      <c r="AL578" s="6"/>
    </row>
    <row r="579" spans="28:38" ht="15.75" customHeight="1" x14ac:dyDescent="0.25">
      <c r="AB579" s="6"/>
      <c r="AC579" s="6"/>
      <c r="AD579" s="6"/>
      <c r="AE579" s="6"/>
      <c r="AF579" s="6"/>
      <c r="AG579" s="6"/>
      <c r="AH579" s="6"/>
      <c r="AI579" s="6"/>
      <c r="AJ579" s="6"/>
      <c r="AK579" s="6"/>
      <c r="AL579" s="6"/>
    </row>
    <row r="580" spans="28:38" ht="15.75" customHeight="1" x14ac:dyDescent="0.25">
      <c r="AB580" s="6"/>
      <c r="AC580" s="6"/>
      <c r="AD580" s="6"/>
      <c r="AE580" s="6"/>
      <c r="AF580" s="6"/>
      <c r="AG580" s="6"/>
      <c r="AH580" s="6"/>
      <c r="AI580" s="6"/>
      <c r="AJ580" s="6"/>
      <c r="AK580" s="6"/>
      <c r="AL580" s="6"/>
    </row>
    <row r="581" spans="28:38" ht="15.75" customHeight="1" x14ac:dyDescent="0.25">
      <c r="AB581" s="6"/>
      <c r="AC581" s="6"/>
      <c r="AD581" s="6"/>
      <c r="AE581" s="6"/>
      <c r="AF581" s="6"/>
      <c r="AG581" s="6"/>
      <c r="AH581" s="6"/>
      <c r="AI581" s="6"/>
      <c r="AJ581" s="6"/>
      <c r="AK581" s="6"/>
      <c r="AL581" s="6"/>
    </row>
    <row r="582" spans="28:38" ht="15.75" customHeight="1" x14ac:dyDescent="0.25">
      <c r="AB582" s="6"/>
      <c r="AC582" s="6"/>
      <c r="AD582" s="6"/>
      <c r="AE582" s="6"/>
      <c r="AF582" s="6"/>
      <c r="AG582" s="6"/>
      <c r="AH582" s="6"/>
      <c r="AI582" s="6"/>
      <c r="AJ582" s="6"/>
      <c r="AK582" s="6"/>
      <c r="AL582" s="6"/>
    </row>
    <row r="583" spans="28:38" ht="15.75" customHeight="1" x14ac:dyDescent="0.25">
      <c r="AB583" s="6"/>
      <c r="AC583" s="6"/>
      <c r="AD583" s="6"/>
      <c r="AE583" s="6"/>
      <c r="AF583" s="6"/>
      <c r="AG583" s="6"/>
      <c r="AH583" s="6"/>
      <c r="AI583" s="6"/>
      <c r="AJ583" s="6"/>
      <c r="AK583" s="6"/>
      <c r="AL583" s="6"/>
    </row>
    <row r="584" spans="28:38" ht="15.75" customHeight="1" x14ac:dyDescent="0.25">
      <c r="AB584" s="6"/>
      <c r="AC584" s="6"/>
      <c r="AD584" s="6"/>
      <c r="AE584" s="6"/>
      <c r="AF584" s="6"/>
      <c r="AG584" s="6"/>
      <c r="AH584" s="6"/>
      <c r="AI584" s="6"/>
      <c r="AJ584" s="6"/>
      <c r="AK584" s="6"/>
      <c r="AL584" s="6"/>
    </row>
    <row r="585" spans="28:38" ht="15.75" customHeight="1" x14ac:dyDescent="0.25">
      <c r="AB585" s="6"/>
      <c r="AC585" s="6"/>
      <c r="AD585" s="6"/>
      <c r="AE585" s="6"/>
      <c r="AF585" s="6"/>
      <c r="AG585" s="6"/>
      <c r="AH585" s="6"/>
      <c r="AI585" s="6"/>
      <c r="AJ585" s="6"/>
      <c r="AK585" s="6"/>
      <c r="AL585" s="6"/>
    </row>
    <row r="586" spans="28:38" ht="15.75" customHeight="1" x14ac:dyDescent="0.25">
      <c r="AB586" s="6"/>
      <c r="AC586" s="6"/>
      <c r="AD586" s="6"/>
      <c r="AE586" s="6"/>
      <c r="AF586" s="6"/>
      <c r="AG586" s="6"/>
      <c r="AH586" s="6"/>
      <c r="AI586" s="6"/>
      <c r="AJ586" s="6"/>
      <c r="AK586" s="6"/>
      <c r="AL586" s="6"/>
    </row>
    <row r="587" spans="28:38" ht="15.75" customHeight="1" x14ac:dyDescent="0.25">
      <c r="AB587" s="6"/>
      <c r="AC587" s="6"/>
      <c r="AD587" s="6"/>
      <c r="AE587" s="6"/>
      <c r="AF587" s="6"/>
      <c r="AG587" s="6"/>
      <c r="AH587" s="6"/>
      <c r="AI587" s="6"/>
      <c r="AJ587" s="6"/>
      <c r="AK587" s="6"/>
      <c r="AL587" s="6"/>
    </row>
    <row r="588" spans="28:38" ht="15.75" customHeight="1" x14ac:dyDescent="0.25">
      <c r="AB588" s="6"/>
      <c r="AC588" s="6"/>
      <c r="AD588" s="6"/>
      <c r="AE588" s="6"/>
      <c r="AF588" s="6"/>
      <c r="AG588" s="6"/>
      <c r="AH588" s="6"/>
      <c r="AI588" s="6"/>
      <c r="AJ588" s="6"/>
      <c r="AK588" s="6"/>
      <c r="AL588" s="6"/>
    </row>
    <row r="589" spans="28:38" ht="15.75" customHeight="1" x14ac:dyDescent="0.25">
      <c r="AB589" s="6"/>
      <c r="AC589" s="6"/>
      <c r="AD589" s="6"/>
      <c r="AE589" s="6"/>
      <c r="AF589" s="6"/>
      <c r="AG589" s="6"/>
      <c r="AH589" s="6"/>
      <c r="AI589" s="6"/>
      <c r="AJ589" s="6"/>
      <c r="AK589" s="6"/>
      <c r="AL589" s="6"/>
    </row>
    <row r="590" spans="28:38" ht="15.75" customHeight="1" x14ac:dyDescent="0.25">
      <c r="AB590" s="6"/>
      <c r="AC590" s="6"/>
      <c r="AD590" s="6"/>
      <c r="AE590" s="6"/>
      <c r="AF590" s="6"/>
      <c r="AG590" s="6"/>
      <c r="AH590" s="6"/>
      <c r="AI590" s="6"/>
      <c r="AJ590" s="6"/>
      <c r="AK590" s="6"/>
      <c r="AL590" s="6"/>
    </row>
    <row r="591" spans="28:38" ht="15.75" customHeight="1" x14ac:dyDescent="0.25">
      <c r="AB591" s="6"/>
      <c r="AC591" s="6"/>
      <c r="AD591" s="6"/>
      <c r="AE591" s="6"/>
      <c r="AF591" s="6"/>
      <c r="AG591" s="6"/>
      <c r="AH591" s="6"/>
      <c r="AI591" s="6"/>
      <c r="AJ591" s="6"/>
      <c r="AK591" s="6"/>
      <c r="AL591" s="6"/>
    </row>
    <row r="592" spans="28:38" ht="15.75" customHeight="1" x14ac:dyDescent="0.25">
      <c r="AB592" s="6"/>
      <c r="AC592" s="6"/>
      <c r="AD592" s="6"/>
      <c r="AE592" s="6"/>
      <c r="AF592" s="6"/>
      <c r="AG592" s="6"/>
      <c r="AH592" s="6"/>
      <c r="AI592" s="6"/>
      <c r="AJ592" s="6"/>
      <c r="AK592" s="6"/>
      <c r="AL592" s="6"/>
    </row>
    <row r="593" spans="28:38" ht="15.75" customHeight="1" x14ac:dyDescent="0.25">
      <c r="AB593" s="6"/>
      <c r="AC593" s="6"/>
      <c r="AD593" s="6"/>
      <c r="AE593" s="6"/>
      <c r="AF593" s="6"/>
      <c r="AG593" s="6"/>
      <c r="AH593" s="6"/>
      <c r="AI593" s="6"/>
      <c r="AJ593" s="6"/>
      <c r="AK593" s="6"/>
      <c r="AL593" s="6"/>
    </row>
    <row r="594" spans="28:38" ht="15.75" customHeight="1" x14ac:dyDescent="0.25">
      <c r="AB594" s="6"/>
      <c r="AC594" s="6"/>
      <c r="AD594" s="6"/>
      <c r="AE594" s="6"/>
      <c r="AF594" s="6"/>
      <c r="AG594" s="6"/>
      <c r="AH594" s="6"/>
      <c r="AI594" s="6"/>
      <c r="AJ594" s="6"/>
      <c r="AK594" s="6"/>
      <c r="AL594" s="6"/>
    </row>
    <row r="595" spans="28:38" ht="15.75" customHeight="1" x14ac:dyDescent="0.25">
      <c r="AB595" s="6"/>
      <c r="AC595" s="6"/>
      <c r="AD595" s="6"/>
      <c r="AE595" s="6"/>
      <c r="AF595" s="6"/>
      <c r="AG595" s="6"/>
      <c r="AH595" s="6"/>
      <c r="AI595" s="6"/>
      <c r="AJ595" s="6"/>
      <c r="AK595" s="6"/>
      <c r="AL595" s="6"/>
    </row>
    <row r="596" spans="28:38" ht="15.75" customHeight="1" x14ac:dyDescent="0.25">
      <c r="AB596" s="6"/>
      <c r="AC596" s="6"/>
      <c r="AD596" s="6"/>
      <c r="AE596" s="6"/>
      <c r="AF596" s="6"/>
      <c r="AG596" s="6"/>
      <c r="AH596" s="6"/>
      <c r="AI596" s="6"/>
      <c r="AJ596" s="6"/>
      <c r="AK596" s="6"/>
      <c r="AL596" s="6"/>
    </row>
    <row r="597" spans="28:38" ht="15.75" customHeight="1" x14ac:dyDescent="0.25">
      <c r="AB597" s="6"/>
      <c r="AC597" s="6"/>
      <c r="AD597" s="6"/>
      <c r="AE597" s="6"/>
      <c r="AF597" s="6"/>
      <c r="AG597" s="6"/>
      <c r="AH597" s="6"/>
      <c r="AI597" s="6"/>
      <c r="AJ597" s="6"/>
      <c r="AK597" s="6"/>
      <c r="AL597" s="6"/>
    </row>
    <row r="598" spans="28:38" ht="15.75" customHeight="1" x14ac:dyDescent="0.25">
      <c r="AB598" s="6"/>
      <c r="AC598" s="6"/>
      <c r="AD598" s="6"/>
      <c r="AE598" s="6"/>
      <c r="AF598" s="6"/>
      <c r="AG598" s="6"/>
      <c r="AH598" s="6"/>
      <c r="AI598" s="6"/>
      <c r="AJ598" s="6"/>
      <c r="AK598" s="6"/>
      <c r="AL598" s="6"/>
    </row>
    <row r="599" spans="28:38" ht="15.75" customHeight="1" x14ac:dyDescent="0.25">
      <c r="AB599" s="6"/>
      <c r="AC599" s="6"/>
      <c r="AD599" s="6"/>
      <c r="AE599" s="6"/>
      <c r="AF599" s="6"/>
      <c r="AG599" s="6"/>
      <c r="AH599" s="6"/>
      <c r="AI599" s="6"/>
      <c r="AJ599" s="6"/>
      <c r="AK599" s="6"/>
      <c r="AL599" s="6"/>
    </row>
    <row r="600" spans="28:38" ht="15.75" customHeight="1" x14ac:dyDescent="0.25">
      <c r="AB600" s="6"/>
      <c r="AC600" s="6"/>
      <c r="AD600" s="6"/>
      <c r="AE600" s="6"/>
      <c r="AF600" s="6"/>
      <c r="AG600" s="6"/>
      <c r="AH600" s="6"/>
      <c r="AI600" s="6"/>
      <c r="AJ600" s="6"/>
      <c r="AK600" s="6"/>
      <c r="AL600" s="6"/>
    </row>
    <row r="601" spans="28:38" ht="15.75" customHeight="1" x14ac:dyDescent="0.25">
      <c r="AB601" s="6"/>
      <c r="AC601" s="6"/>
      <c r="AD601" s="6"/>
      <c r="AE601" s="6"/>
      <c r="AF601" s="6"/>
      <c r="AG601" s="6"/>
      <c r="AH601" s="6"/>
      <c r="AI601" s="6"/>
      <c r="AJ601" s="6"/>
      <c r="AK601" s="6"/>
      <c r="AL601" s="6"/>
    </row>
    <row r="602" spans="28:38" ht="15.75" customHeight="1" x14ac:dyDescent="0.25">
      <c r="AB602" s="6"/>
      <c r="AC602" s="6"/>
      <c r="AD602" s="6"/>
      <c r="AE602" s="6"/>
      <c r="AF602" s="6"/>
      <c r="AG602" s="6"/>
      <c r="AH602" s="6"/>
      <c r="AI602" s="6"/>
      <c r="AJ602" s="6"/>
      <c r="AK602" s="6"/>
      <c r="AL602" s="6"/>
    </row>
    <row r="603" spans="28:38" ht="15.75" customHeight="1" x14ac:dyDescent="0.25">
      <c r="AB603" s="6"/>
      <c r="AC603" s="6"/>
      <c r="AD603" s="6"/>
      <c r="AE603" s="6"/>
      <c r="AF603" s="6"/>
      <c r="AG603" s="6"/>
      <c r="AH603" s="6"/>
      <c r="AI603" s="6"/>
      <c r="AJ603" s="6"/>
      <c r="AK603" s="6"/>
      <c r="AL603" s="6"/>
    </row>
    <row r="604" spans="28:38" ht="15.75" customHeight="1" x14ac:dyDescent="0.25">
      <c r="AB604" s="6"/>
      <c r="AC604" s="6"/>
      <c r="AD604" s="6"/>
      <c r="AE604" s="6"/>
      <c r="AF604" s="6"/>
      <c r="AG604" s="6"/>
      <c r="AH604" s="6"/>
      <c r="AI604" s="6"/>
      <c r="AJ604" s="6"/>
      <c r="AK604" s="6"/>
      <c r="AL604" s="6"/>
    </row>
    <row r="605" spans="28:38" ht="15.75" customHeight="1" x14ac:dyDescent="0.25">
      <c r="AB605" s="6"/>
      <c r="AC605" s="6"/>
      <c r="AD605" s="6"/>
      <c r="AE605" s="6"/>
      <c r="AF605" s="6"/>
      <c r="AG605" s="6"/>
      <c r="AH605" s="6"/>
      <c r="AI605" s="6"/>
      <c r="AJ605" s="6"/>
      <c r="AK605" s="6"/>
      <c r="AL605" s="6"/>
    </row>
    <row r="606" spans="28:38" ht="15.75" customHeight="1" x14ac:dyDescent="0.25">
      <c r="AB606" s="6"/>
      <c r="AC606" s="6"/>
      <c r="AD606" s="6"/>
      <c r="AE606" s="6"/>
      <c r="AF606" s="6"/>
      <c r="AG606" s="6"/>
      <c r="AH606" s="6"/>
      <c r="AI606" s="6"/>
      <c r="AJ606" s="6"/>
      <c r="AK606" s="6"/>
      <c r="AL606" s="6"/>
    </row>
    <row r="607" spans="28:38" ht="15.75" customHeight="1" x14ac:dyDescent="0.25">
      <c r="AB607" s="6"/>
      <c r="AC607" s="6"/>
      <c r="AD607" s="6"/>
      <c r="AE607" s="6"/>
      <c r="AF607" s="6"/>
      <c r="AG607" s="6"/>
      <c r="AH607" s="6"/>
      <c r="AI607" s="6"/>
      <c r="AJ607" s="6"/>
      <c r="AK607" s="6"/>
      <c r="AL607" s="6"/>
    </row>
    <row r="608" spans="28:38" ht="15.75" customHeight="1" x14ac:dyDescent="0.25">
      <c r="AB608" s="6"/>
      <c r="AC608" s="6"/>
      <c r="AD608" s="6"/>
      <c r="AE608" s="6"/>
      <c r="AF608" s="6"/>
      <c r="AG608" s="6"/>
      <c r="AH608" s="6"/>
      <c r="AI608" s="6"/>
      <c r="AJ608" s="6"/>
      <c r="AK608" s="6"/>
      <c r="AL608" s="6"/>
    </row>
    <row r="609" spans="28:38" ht="15.75" customHeight="1" x14ac:dyDescent="0.25">
      <c r="AB609" s="6"/>
      <c r="AC609" s="6"/>
      <c r="AD609" s="6"/>
      <c r="AE609" s="6"/>
      <c r="AF609" s="6"/>
      <c r="AG609" s="6"/>
      <c r="AH609" s="6"/>
      <c r="AI609" s="6"/>
      <c r="AJ609" s="6"/>
      <c r="AK609" s="6"/>
      <c r="AL609" s="6"/>
    </row>
    <row r="610" spans="28:38" ht="15.75" customHeight="1" x14ac:dyDescent="0.25">
      <c r="AB610" s="6"/>
      <c r="AC610" s="6"/>
      <c r="AD610" s="6"/>
      <c r="AE610" s="6"/>
      <c r="AF610" s="6"/>
      <c r="AG610" s="6"/>
      <c r="AH610" s="6"/>
      <c r="AI610" s="6"/>
      <c r="AJ610" s="6"/>
      <c r="AK610" s="6"/>
      <c r="AL610" s="6"/>
    </row>
    <row r="611" spans="28:38" ht="15.75" customHeight="1" x14ac:dyDescent="0.25">
      <c r="AB611" s="6"/>
      <c r="AC611" s="6"/>
      <c r="AD611" s="6"/>
      <c r="AE611" s="6"/>
      <c r="AF611" s="6"/>
      <c r="AG611" s="6"/>
      <c r="AH611" s="6"/>
      <c r="AI611" s="6"/>
      <c r="AJ611" s="6"/>
      <c r="AK611" s="6"/>
      <c r="AL611" s="6"/>
    </row>
    <row r="612" spans="28:38" ht="15.75" customHeight="1" x14ac:dyDescent="0.25">
      <c r="AB612" s="6"/>
      <c r="AC612" s="6"/>
      <c r="AD612" s="6"/>
      <c r="AE612" s="6"/>
      <c r="AF612" s="6"/>
      <c r="AG612" s="6"/>
      <c r="AH612" s="6"/>
      <c r="AI612" s="6"/>
      <c r="AJ612" s="6"/>
      <c r="AK612" s="6"/>
      <c r="AL612" s="6"/>
    </row>
    <row r="613" spans="28:38" ht="15.75" customHeight="1" x14ac:dyDescent="0.25">
      <c r="AB613" s="6"/>
      <c r="AC613" s="6"/>
      <c r="AD613" s="6"/>
      <c r="AE613" s="6"/>
      <c r="AF613" s="6"/>
      <c r="AG613" s="6"/>
      <c r="AH613" s="6"/>
      <c r="AI613" s="6"/>
      <c r="AJ613" s="6"/>
      <c r="AK613" s="6"/>
      <c r="AL613" s="6"/>
    </row>
    <row r="614" spans="28:38" ht="15.75" customHeight="1" x14ac:dyDescent="0.25">
      <c r="AB614" s="6"/>
      <c r="AC614" s="6"/>
      <c r="AD614" s="6"/>
      <c r="AE614" s="6"/>
      <c r="AF614" s="6"/>
      <c r="AG614" s="6"/>
      <c r="AH614" s="6"/>
      <c r="AI614" s="6"/>
      <c r="AJ614" s="6"/>
      <c r="AK614" s="6"/>
      <c r="AL614" s="6"/>
    </row>
    <row r="615" spans="28:38" ht="15.75" customHeight="1" x14ac:dyDescent="0.25">
      <c r="AB615" s="6"/>
      <c r="AC615" s="6"/>
      <c r="AD615" s="6"/>
      <c r="AE615" s="6"/>
      <c r="AF615" s="6"/>
      <c r="AG615" s="6"/>
      <c r="AH615" s="6"/>
      <c r="AI615" s="6"/>
      <c r="AJ615" s="6"/>
      <c r="AK615" s="6"/>
      <c r="AL615" s="6"/>
    </row>
    <row r="616" spans="28:38" ht="15.75" customHeight="1" x14ac:dyDescent="0.25">
      <c r="AB616" s="6"/>
      <c r="AC616" s="6"/>
      <c r="AD616" s="6"/>
      <c r="AE616" s="6"/>
      <c r="AF616" s="6"/>
      <c r="AG616" s="6"/>
      <c r="AH616" s="6"/>
      <c r="AI616" s="6"/>
      <c r="AJ616" s="6"/>
      <c r="AK616" s="6"/>
      <c r="AL616" s="6"/>
    </row>
    <row r="617" spans="28:38" ht="15.75" customHeight="1" x14ac:dyDescent="0.25">
      <c r="AB617" s="6"/>
      <c r="AC617" s="6"/>
      <c r="AD617" s="6"/>
      <c r="AE617" s="6"/>
      <c r="AF617" s="6"/>
      <c r="AG617" s="6"/>
      <c r="AH617" s="6"/>
      <c r="AI617" s="6"/>
      <c r="AJ617" s="6"/>
      <c r="AK617" s="6"/>
      <c r="AL617" s="6"/>
    </row>
    <row r="618" spans="28:38" ht="15.75" customHeight="1" x14ac:dyDescent="0.25">
      <c r="AB618" s="6"/>
      <c r="AC618" s="6"/>
      <c r="AD618" s="6"/>
      <c r="AE618" s="6"/>
      <c r="AF618" s="6"/>
      <c r="AG618" s="6"/>
      <c r="AH618" s="6"/>
      <c r="AI618" s="6"/>
      <c r="AJ618" s="6"/>
      <c r="AK618" s="6"/>
      <c r="AL618" s="6"/>
    </row>
    <row r="619" spans="28:38" ht="15.75" customHeight="1" x14ac:dyDescent="0.25">
      <c r="AB619" s="6"/>
      <c r="AC619" s="6"/>
      <c r="AD619" s="6"/>
      <c r="AE619" s="6"/>
      <c r="AF619" s="6"/>
      <c r="AG619" s="6"/>
      <c r="AH619" s="6"/>
      <c r="AI619" s="6"/>
      <c r="AJ619" s="6"/>
      <c r="AK619" s="6"/>
      <c r="AL619" s="6"/>
    </row>
    <row r="620" spans="28:38" ht="15.75" customHeight="1" x14ac:dyDescent="0.25">
      <c r="AB620" s="6"/>
      <c r="AC620" s="6"/>
      <c r="AD620" s="6"/>
      <c r="AE620" s="6"/>
      <c r="AF620" s="6"/>
      <c r="AG620" s="6"/>
      <c r="AH620" s="6"/>
      <c r="AI620" s="6"/>
      <c r="AJ620" s="6"/>
      <c r="AK620" s="6"/>
      <c r="AL620" s="6"/>
    </row>
    <row r="621" spans="28:38" ht="15.75" customHeight="1" x14ac:dyDescent="0.25">
      <c r="AB621" s="6"/>
      <c r="AC621" s="6"/>
      <c r="AD621" s="6"/>
      <c r="AE621" s="6"/>
      <c r="AF621" s="6"/>
      <c r="AG621" s="6"/>
      <c r="AH621" s="6"/>
      <c r="AI621" s="6"/>
      <c r="AJ621" s="6"/>
      <c r="AK621" s="6"/>
      <c r="AL621" s="6"/>
    </row>
    <row r="622" spans="28:38" ht="15.75" customHeight="1" x14ac:dyDescent="0.25">
      <c r="AB622" s="6"/>
      <c r="AC622" s="6"/>
      <c r="AD622" s="6"/>
      <c r="AE622" s="6"/>
      <c r="AF622" s="6"/>
      <c r="AG622" s="6"/>
      <c r="AH622" s="6"/>
      <c r="AI622" s="6"/>
      <c r="AJ622" s="6"/>
      <c r="AK622" s="6"/>
      <c r="AL622" s="6"/>
    </row>
    <row r="623" spans="28:38" ht="15.75" customHeight="1" x14ac:dyDescent="0.25">
      <c r="AB623" s="6"/>
      <c r="AC623" s="6"/>
      <c r="AD623" s="6"/>
      <c r="AE623" s="6"/>
      <c r="AF623" s="6"/>
      <c r="AG623" s="6"/>
      <c r="AH623" s="6"/>
      <c r="AI623" s="6"/>
      <c r="AJ623" s="6"/>
      <c r="AK623" s="6"/>
      <c r="AL623" s="6"/>
    </row>
    <row r="624" spans="28:38" ht="15.75" customHeight="1" x14ac:dyDescent="0.25">
      <c r="AB624" s="6"/>
      <c r="AC624" s="6"/>
      <c r="AD624" s="6"/>
      <c r="AE624" s="6"/>
      <c r="AF624" s="6"/>
      <c r="AG624" s="6"/>
      <c r="AH624" s="6"/>
      <c r="AI624" s="6"/>
      <c r="AJ624" s="6"/>
      <c r="AK624" s="6"/>
      <c r="AL624" s="6"/>
    </row>
    <row r="625" spans="28:38" ht="15.75" customHeight="1" x14ac:dyDescent="0.25">
      <c r="AB625" s="6"/>
      <c r="AC625" s="6"/>
      <c r="AD625" s="6"/>
      <c r="AE625" s="6"/>
      <c r="AF625" s="6"/>
      <c r="AG625" s="6"/>
      <c r="AH625" s="6"/>
      <c r="AI625" s="6"/>
      <c r="AJ625" s="6"/>
      <c r="AK625" s="6"/>
      <c r="AL625" s="6"/>
    </row>
    <row r="626" spans="28:38" ht="15.75" customHeight="1" x14ac:dyDescent="0.25">
      <c r="AB626" s="6"/>
      <c r="AC626" s="6"/>
      <c r="AD626" s="6"/>
      <c r="AE626" s="6"/>
      <c r="AF626" s="6"/>
      <c r="AG626" s="6"/>
      <c r="AH626" s="6"/>
      <c r="AI626" s="6"/>
      <c r="AJ626" s="6"/>
      <c r="AK626" s="6"/>
      <c r="AL626" s="6"/>
    </row>
    <row r="627" spans="28:38" ht="15.75" customHeight="1" x14ac:dyDescent="0.25">
      <c r="AB627" s="6"/>
      <c r="AC627" s="6"/>
      <c r="AD627" s="6"/>
      <c r="AE627" s="6"/>
      <c r="AF627" s="6"/>
      <c r="AG627" s="6"/>
      <c r="AH627" s="6"/>
      <c r="AI627" s="6"/>
      <c r="AJ627" s="6"/>
      <c r="AK627" s="6"/>
      <c r="AL627" s="6"/>
    </row>
    <row r="628" spans="28:38" ht="15.75" customHeight="1" x14ac:dyDescent="0.25">
      <c r="AB628" s="6"/>
      <c r="AC628" s="6"/>
      <c r="AD628" s="6"/>
      <c r="AE628" s="6"/>
      <c r="AF628" s="6"/>
      <c r="AG628" s="6"/>
      <c r="AH628" s="6"/>
      <c r="AI628" s="6"/>
      <c r="AJ628" s="6"/>
      <c r="AK628" s="6"/>
      <c r="AL628" s="6"/>
    </row>
    <row r="629" spans="28:38" ht="15.75" customHeight="1" x14ac:dyDescent="0.25">
      <c r="AB629" s="6"/>
      <c r="AC629" s="6"/>
      <c r="AD629" s="6"/>
      <c r="AE629" s="6"/>
      <c r="AF629" s="6"/>
      <c r="AG629" s="6"/>
      <c r="AH629" s="6"/>
      <c r="AI629" s="6"/>
      <c r="AJ629" s="6"/>
      <c r="AK629" s="6"/>
      <c r="AL629" s="6"/>
    </row>
    <row r="630" spans="28:38" ht="15.75" customHeight="1" x14ac:dyDescent="0.25">
      <c r="AB630" s="6"/>
      <c r="AC630" s="6"/>
      <c r="AD630" s="6"/>
      <c r="AE630" s="6"/>
      <c r="AF630" s="6"/>
      <c r="AG630" s="6"/>
      <c r="AH630" s="6"/>
      <c r="AI630" s="6"/>
      <c r="AJ630" s="6"/>
      <c r="AK630" s="6"/>
      <c r="AL630" s="6"/>
    </row>
    <row r="631" spans="28:38" ht="15.75" customHeight="1" x14ac:dyDescent="0.25">
      <c r="AB631" s="6"/>
      <c r="AC631" s="6"/>
      <c r="AD631" s="6"/>
      <c r="AE631" s="6"/>
      <c r="AF631" s="6"/>
      <c r="AG631" s="6"/>
      <c r="AH631" s="6"/>
      <c r="AI631" s="6"/>
      <c r="AJ631" s="6"/>
      <c r="AK631" s="6"/>
      <c r="AL631" s="6"/>
    </row>
    <row r="632" spans="28:38" ht="15.75" customHeight="1" x14ac:dyDescent="0.25">
      <c r="AB632" s="6"/>
      <c r="AC632" s="6"/>
      <c r="AD632" s="6"/>
      <c r="AE632" s="6"/>
      <c r="AF632" s="6"/>
      <c r="AG632" s="6"/>
      <c r="AH632" s="6"/>
      <c r="AI632" s="6"/>
      <c r="AJ632" s="6"/>
      <c r="AK632" s="6"/>
      <c r="AL632" s="6"/>
    </row>
    <row r="633" spans="28:38" ht="15.75" customHeight="1" x14ac:dyDescent="0.25">
      <c r="AB633" s="6"/>
      <c r="AC633" s="6"/>
      <c r="AD633" s="6"/>
      <c r="AE633" s="6"/>
      <c r="AF633" s="6"/>
      <c r="AG633" s="6"/>
      <c r="AH633" s="6"/>
      <c r="AI633" s="6"/>
      <c r="AJ633" s="6"/>
      <c r="AK633" s="6"/>
      <c r="AL633" s="6"/>
    </row>
    <row r="634" spans="28:38" ht="15.75" customHeight="1" x14ac:dyDescent="0.25">
      <c r="AB634" s="6"/>
      <c r="AC634" s="6"/>
      <c r="AD634" s="6"/>
      <c r="AE634" s="6"/>
      <c r="AF634" s="6"/>
      <c r="AG634" s="6"/>
      <c r="AH634" s="6"/>
      <c r="AI634" s="6"/>
      <c r="AJ634" s="6"/>
      <c r="AK634" s="6"/>
      <c r="AL634" s="6"/>
    </row>
    <row r="635" spans="28:38" ht="15.75" customHeight="1" x14ac:dyDescent="0.25">
      <c r="AB635" s="6"/>
      <c r="AC635" s="6"/>
      <c r="AD635" s="6"/>
      <c r="AE635" s="6"/>
      <c r="AF635" s="6"/>
      <c r="AG635" s="6"/>
      <c r="AH635" s="6"/>
      <c r="AI635" s="6"/>
      <c r="AJ635" s="6"/>
      <c r="AK635" s="6"/>
      <c r="AL635" s="6"/>
    </row>
    <row r="636" spans="28:38" ht="15.75" customHeight="1" x14ac:dyDescent="0.25">
      <c r="AB636" s="6"/>
      <c r="AC636" s="6"/>
      <c r="AD636" s="6"/>
      <c r="AE636" s="6"/>
      <c r="AF636" s="6"/>
      <c r="AG636" s="6"/>
      <c r="AH636" s="6"/>
      <c r="AI636" s="6"/>
      <c r="AJ636" s="6"/>
      <c r="AK636" s="6"/>
      <c r="AL636" s="6"/>
    </row>
    <row r="637" spans="28:38" ht="15.75" customHeight="1" x14ac:dyDescent="0.25">
      <c r="AB637" s="6"/>
      <c r="AC637" s="6"/>
      <c r="AD637" s="6"/>
      <c r="AE637" s="6"/>
      <c r="AF637" s="6"/>
      <c r="AG637" s="6"/>
      <c r="AH637" s="6"/>
      <c r="AI637" s="6"/>
      <c r="AJ637" s="6"/>
      <c r="AK637" s="6"/>
      <c r="AL637" s="6"/>
    </row>
    <row r="638" spans="28:38" ht="15.75" customHeight="1" x14ac:dyDescent="0.25">
      <c r="AB638" s="6"/>
      <c r="AC638" s="6"/>
      <c r="AD638" s="6"/>
      <c r="AE638" s="6"/>
      <c r="AF638" s="6"/>
      <c r="AG638" s="6"/>
      <c r="AH638" s="6"/>
      <c r="AI638" s="6"/>
      <c r="AJ638" s="6"/>
      <c r="AK638" s="6"/>
      <c r="AL638" s="6"/>
    </row>
    <row r="639" spans="28:38" ht="15.75" customHeight="1" x14ac:dyDescent="0.25">
      <c r="AB639" s="6"/>
      <c r="AC639" s="6"/>
      <c r="AD639" s="6"/>
      <c r="AE639" s="6"/>
      <c r="AF639" s="6"/>
      <c r="AG639" s="6"/>
      <c r="AH639" s="6"/>
      <c r="AI639" s="6"/>
      <c r="AJ639" s="6"/>
      <c r="AK639" s="6"/>
      <c r="AL639" s="6"/>
    </row>
    <row r="640" spans="28:38" ht="15.75" customHeight="1" x14ac:dyDescent="0.25">
      <c r="AB640" s="6"/>
      <c r="AC640" s="6"/>
      <c r="AD640" s="6"/>
      <c r="AE640" s="6"/>
      <c r="AF640" s="6"/>
      <c r="AG640" s="6"/>
      <c r="AH640" s="6"/>
      <c r="AI640" s="6"/>
      <c r="AJ640" s="6"/>
      <c r="AK640" s="6"/>
      <c r="AL640" s="6"/>
    </row>
    <row r="641" spans="28:38" ht="15.75" customHeight="1" x14ac:dyDescent="0.25">
      <c r="AB641" s="6"/>
      <c r="AC641" s="6"/>
      <c r="AD641" s="6"/>
      <c r="AE641" s="6"/>
      <c r="AF641" s="6"/>
      <c r="AG641" s="6"/>
      <c r="AH641" s="6"/>
      <c r="AI641" s="6"/>
      <c r="AJ641" s="6"/>
      <c r="AK641" s="6"/>
      <c r="AL641" s="6"/>
    </row>
    <row r="642" spans="28:38" ht="15.75" customHeight="1" x14ac:dyDescent="0.25">
      <c r="AB642" s="6"/>
      <c r="AC642" s="6"/>
      <c r="AD642" s="6"/>
      <c r="AE642" s="6"/>
      <c r="AF642" s="6"/>
      <c r="AG642" s="6"/>
      <c r="AH642" s="6"/>
      <c r="AI642" s="6"/>
      <c r="AJ642" s="6"/>
      <c r="AK642" s="6"/>
      <c r="AL642" s="6"/>
    </row>
    <row r="643" spans="28:38" ht="15.75" customHeight="1" x14ac:dyDescent="0.25">
      <c r="AB643" s="6"/>
      <c r="AC643" s="6"/>
      <c r="AD643" s="6"/>
      <c r="AE643" s="6"/>
      <c r="AF643" s="6"/>
      <c r="AG643" s="6"/>
      <c r="AH643" s="6"/>
      <c r="AI643" s="6"/>
      <c r="AJ643" s="6"/>
      <c r="AK643" s="6"/>
      <c r="AL643" s="6"/>
    </row>
    <row r="644" spans="28:38" ht="15.75" customHeight="1" x14ac:dyDescent="0.25">
      <c r="AB644" s="6"/>
      <c r="AC644" s="6"/>
      <c r="AD644" s="6"/>
      <c r="AE644" s="6"/>
      <c r="AF644" s="6"/>
      <c r="AG644" s="6"/>
      <c r="AH644" s="6"/>
      <c r="AI644" s="6"/>
      <c r="AJ644" s="6"/>
      <c r="AK644" s="6"/>
      <c r="AL644" s="6"/>
    </row>
    <row r="645" spans="28:38" ht="15.75" customHeight="1" x14ac:dyDescent="0.25">
      <c r="AB645" s="6"/>
      <c r="AC645" s="6"/>
      <c r="AD645" s="6"/>
      <c r="AE645" s="6"/>
      <c r="AF645" s="6"/>
      <c r="AG645" s="6"/>
      <c r="AH645" s="6"/>
      <c r="AI645" s="6"/>
      <c r="AJ645" s="6"/>
      <c r="AK645" s="6"/>
      <c r="AL645" s="6"/>
    </row>
    <row r="646" spans="28:38" ht="15.75" customHeight="1" x14ac:dyDescent="0.25">
      <c r="AB646" s="6"/>
      <c r="AC646" s="6"/>
      <c r="AD646" s="6"/>
      <c r="AE646" s="6"/>
      <c r="AF646" s="6"/>
      <c r="AG646" s="6"/>
      <c r="AH646" s="6"/>
      <c r="AI646" s="6"/>
      <c r="AJ646" s="6"/>
      <c r="AK646" s="6"/>
      <c r="AL646" s="6"/>
    </row>
    <row r="647" spans="28:38" ht="15.75" customHeight="1" x14ac:dyDescent="0.25">
      <c r="AB647" s="6"/>
      <c r="AC647" s="6"/>
      <c r="AD647" s="6"/>
      <c r="AE647" s="6"/>
      <c r="AF647" s="6"/>
      <c r="AG647" s="6"/>
      <c r="AH647" s="6"/>
      <c r="AI647" s="6"/>
      <c r="AJ647" s="6"/>
      <c r="AK647" s="6"/>
      <c r="AL647" s="6"/>
    </row>
    <row r="648" spans="28:38" ht="15.75" customHeight="1" x14ac:dyDescent="0.25">
      <c r="AB648" s="6"/>
      <c r="AC648" s="6"/>
      <c r="AD648" s="6"/>
      <c r="AE648" s="6"/>
      <c r="AF648" s="6"/>
      <c r="AG648" s="6"/>
      <c r="AH648" s="6"/>
      <c r="AI648" s="6"/>
      <c r="AJ648" s="6"/>
      <c r="AK648" s="6"/>
      <c r="AL648" s="6"/>
    </row>
    <row r="649" spans="28:38" ht="15.75" customHeight="1" x14ac:dyDescent="0.25">
      <c r="AB649" s="6"/>
      <c r="AC649" s="6"/>
      <c r="AD649" s="6"/>
      <c r="AE649" s="6"/>
      <c r="AF649" s="6"/>
      <c r="AG649" s="6"/>
      <c r="AH649" s="6"/>
      <c r="AI649" s="6"/>
      <c r="AJ649" s="6"/>
      <c r="AK649" s="6"/>
      <c r="AL649" s="6"/>
    </row>
    <row r="650" spans="28:38" ht="15.75" customHeight="1" x14ac:dyDescent="0.25">
      <c r="AB650" s="6"/>
      <c r="AC650" s="6"/>
      <c r="AD650" s="6"/>
      <c r="AE650" s="6"/>
      <c r="AF650" s="6"/>
      <c r="AG650" s="6"/>
      <c r="AH650" s="6"/>
      <c r="AI650" s="6"/>
      <c r="AJ650" s="6"/>
      <c r="AK650" s="6"/>
      <c r="AL650" s="6"/>
    </row>
    <row r="651" spans="28:38" ht="15.75" customHeight="1" x14ac:dyDescent="0.25">
      <c r="AB651" s="6"/>
      <c r="AC651" s="6"/>
      <c r="AD651" s="6"/>
      <c r="AE651" s="6"/>
      <c r="AF651" s="6"/>
      <c r="AG651" s="6"/>
      <c r="AH651" s="6"/>
      <c r="AI651" s="6"/>
      <c r="AJ651" s="6"/>
      <c r="AK651" s="6"/>
      <c r="AL651" s="6"/>
    </row>
    <row r="652" spans="28:38" ht="15.75" customHeight="1" x14ac:dyDescent="0.25">
      <c r="AB652" s="6"/>
      <c r="AC652" s="6"/>
      <c r="AD652" s="6"/>
      <c r="AE652" s="6"/>
      <c r="AF652" s="6"/>
      <c r="AG652" s="6"/>
      <c r="AH652" s="6"/>
      <c r="AI652" s="6"/>
      <c r="AJ652" s="6"/>
      <c r="AK652" s="6"/>
      <c r="AL652" s="6"/>
    </row>
    <row r="653" spans="28:38" ht="15.75" customHeight="1" x14ac:dyDescent="0.25">
      <c r="AB653" s="6"/>
      <c r="AC653" s="6"/>
      <c r="AD653" s="6"/>
      <c r="AE653" s="6"/>
      <c r="AF653" s="6"/>
      <c r="AG653" s="6"/>
      <c r="AH653" s="6"/>
      <c r="AI653" s="6"/>
      <c r="AJ653" s="6"/>
      <c r="AK653" s="6"/>
      <c r="AL653" s="6"/>
    </row>
    <row r="654" spans="28:38" ht="15.75" customHeight="1" x14ac:dyDescent="0.25">
      <c r="AB654" s="6"/>
      <c r="AC654" s="6"/>
      <c r="AD654" s="6"/>
      <c r="AE654" s="6"/>
      <c r="AF654" s="6"/>
      <c r="AG654" s="6"/>
      <c r="AH654" s="6"/>
      <c r="AI654" s="6"/>
      <c r="AJ654" s="6"/>
      <c r="AK654" s="6"/>
      <c r="AL654" s="6"/>
    </row>
    <row r="655" spans="28:38" ht="15.75" customHeight="1" x14ac:dyDescent="0.25">
      <c r="AB655" s="6"/>
      <c r="AC655" s="6"/>
      <c r="AD655" s="6"/>
      <c r="AE655" s="6"/>
      <c r="AF655" s="6"/>
      <c r="AG655" s="6"/>
      <c r="AH655" s="6"/>
      <c r="AI655" s="6"/>
      <c r="AJ655" s="6"/>
      <c r="AK655" s="6"/>
      <c r="AL655" s="6"/>
    </row>
    <row r="656" spans="28:38" ht="15.75" customHeight="1" x14ac:dyDescent="0.25">
      <c r="AB656" s="6"/>
      <c r="AC656" s="6"/>
      <c r="AD656" s="6"/>
      <c r="AE656" s="6"/>
      <c r="AF656" s="6"/>
      <c r="AG656" s="6"/>
      <c r="AH656" s="6"/>
      <c r="AI656" s="6"/>
      <c r="AJ656" s="6"/>
      <c r="AK656" s="6"/>
      <c r="AL656" s="6"/>
    </row>
    <row r="657" spans="28:38" ht="15.75" customHeight="1" x14ac:dyDescent="0.25">
      <c r="AB657" s="6"/>
      <c r="AC657" s="6"/>
      <c r="AD657" s="6"/>
      <c r="AE657" s="6"/>
      <c r="AF657" s="6"/>
      <c r="AG657" s="6"/>
      <c r="AH657" s="6"/>
      <c r="AI657" s="6"/>
      <c r="AJ657" s="6"/>
      <c r="AK657" s="6"/>
      <c r="AL657" s="6"/>
    </row>
    <row r="658" spans="28:38" ht="15.75" customHeight="1" x14ac:dyDescent="0.25">
      <c r="AB658" s="6"/>
      <c r="AC658" s="6"/>
      <c r="AD658" s="6"/>
      <c r="AE658" s="6"/>
      <c r="AF658" s="6"/>
      <c r="AG658" s="6"/>
      <c r="AH658" s="6"/>
      <c r="AI658" s="6"/>
      <c r="AJ658" s="6"/>
      <c r="AK658" s="6"/>
      <c r="AL658" s="6"/>
    </row>
    <row r="659" spans="28:38" ht="15.75" customHeight="1" x14ac:dyDescent="0.25">
      <c r="AB659" s="6"/>
      <c r="AC659" s="6"/>
      <c r="AD659" s="6"/>
      <c r="AE659" s="6"/>
      <c r="AF659" s="6"/>
      <c r="AG659" s="6"/>
      <c r="AH659" s="6"/>
      <c r="AI659" s="6"/>
      <c r="AJ659" s="6"/>
      <c r="AK659" s="6"/>
      <c r="AL659" s="6"/>
    </row>
    <row r="660" spans="28:38" ht="15.75" customHeight="1" x14ac:dyDescent="0.25">
      <c r="AB660" s="6"/>
      <c r="AC660" s="6"/>
      <c r="AD660" s="6"/>
      <c r="AE660" s="6"/>
      <c r="AF660" s="6"/>
      <c r="AG660" s="6"/>
      <c r="AH660" s="6"/>
      <c r="AI660" s="6"/>
      <c r="AJ660" s="6"/>
      <c r="AK660" s="6"/>
      <c r="AL660" s="6"/>
    </row>
    <row r="661" spans="28:38" ht="15.75" customHeight="1" x14ac:dyDescent="0.25">
      <c r="AB661" s="6"/>
      <c r="AC661" s="6"/>
      <c r="AD661" s="6"/>
      <c r="AE661" s="6"/>
      <c r="AF661" s="6"/>
      <c r="AG661" s="6"/>
      <c r="AH661" s="6"/>
      <c r="AI661" s="6"/>
      <c r="AJ661" s="6"/>
      <c r="AK661" s="6"/>
      <c r="AL661" s="6"/>
    </row>
    <row r="662" spans="28:38" ht="15.75" customHeight="1" x14ac:dyDescent="0.25">
      <c r="AB662" s="6"/>
      <c r="AC662" s="6"/>
      <c r="AD662" s="6"/>
      <c r="AE662" s="6"/>
      <c r="AF662" s="6"/>
      <c r="AG662" s="6"/>
      <c r="AH662" s="6"/>
      <c r="AI662" s="6"/>
      <c r="AJ662" s="6"/>
      <c r="AK662" s="6"/>
      <c r="AL662" s="6"/>
    </row>
    <row r="663" spans="28:38" ht="15.75" customHeight="1" x14ac:dyDescent="0.25">
      <c r="AB663" s="6"/>
      <c r="AC663" s="6"/>
      <c r="AD663" s="6"/>
      <c r="AE663" s="6"/>
      <c r="AF663" s="6"/>
      <c r="AG663" s="6"/>
      <c r="AH663" s="6"/>
      <c r="AI663" s="6"/>
      <c r="AJ663" s="6"/>
      <c r="AK663" s="6"/>
      <c r="AL663" s="6"/>
    </row>
    <row r="664" spans="28:38" ht="15.75" customHeight="1" x14ac:dyDescent="0.25">
      <c r="AB664" s="6"/>
      <c r="AC664" s="6"/>
      <c r="AD664" s="6"/>
      <c r="AE664" s="6"/>
      <c r="AF664" s="6"/>
      <c r="AG664" s="6"/>
      <c r="AH664" s="6"/>
      <c r="AI664" s="6"/>
      <c r="AJ664" s="6"/>
      <c r="AK664" s="6"/>
      <c r="AL664" s="6"/>
    </row>
    <row r="665" spans="28:38" ht="15.75" customHeight="1" x14ac:dyDescent="0.25">
      <c r="AB665" s="6"/>
      <c r="AC665" s="6"/>
      <c r="AD665" s="6"/>
      <c r="AE665" s="6"/>
      <c r="AF665" s="6"/>
      <c r="AG665" s="6"/>
      <c r="AH665" s="6"/>
      <c r="AI665" s="6"/>
      <c r="AJ665" s="6"/>
      <c r="AK665" s="6"/>
      <c r="AL665" s="6"/>
    </row>
    <row r="666" spans="28:38" ht="15.75" customHeight="1" x14ac:dyDescent="0.25">
      <c r="AB666" s="6"/>
      <c r="AC666" s="6"/>
      <c r="AD666" s="6"/>
      <c r="AE666" s="6"/>
      <c r="AF666" s="6"/>
      <c r="AG666" s="6"/>
      <c r="AH666" s="6"/>
      <c r="AI666" s="6"/>
      <c r="AJ666" s="6"/>
      <c r="AK666" s="6"/>
      <c r="AL666" s="6"/>
    </row>
    <row r="667" spans="28:38" ht="15.75" customHeight="1" x14ac:dyDescent="0.25">
      <c r="AB667" s="6"/>
      <c r="AC667" s="6"/>
      <c r="AD667" s="6"/>
      <c r="AE667" s="6"/>
      <c r="AF667" s="6"/>
      <c r="AG667" s="6"/>
      <c r="AH667" s="6"/>
      <c r="AI667" s="6"/>
      <c r="AJ667" s="6"/>
      <c r="AK667" s="6"/>
      <c r="AL667" s="6"/>
    </row>
    <row r="668" spans="28:38" ht="15.75" customHeight="1" x14ac:dyDescent="0.25">
      <c r="AB668" s="6"/>
      <c r="AC668" s="6"/>
      <c r="AD668" s="6"/>
      <c r="AE668" s="6"/>
      <c r="AF668" s="6"/>
      <c r="AG668" s="6"/>
      <c r="AH668" s="6"/>
      <c r="AI668" s="6"/>
      <c r="AJ668" s="6"/>
      <c r="AK668" s="6"/>
      <c r="AL668" s="6"/>
    </row>
    <row r="669" spans="28:38" ht="15.75" customHeight="1" x14ac:dyDescent="0.25">
      <c r="AB669" s="6"/>
      <c r="AC669" s="6"/>
      <c r="AD669" s="6"/>
      <c r="AE669" s="6"/>
      <c r="AF669" s="6"/>
      <c r="AG669" s="6"/>
      <c r="AH669" s="6"/>
      <c r="AI669" s="6"/>
      <c r="AJ669" s="6"/>
      <c r="AK669" s="6"/>
      <c r="AL669" s="6"/>
    </row>
    <row r="670" spans="28:38" ht="15.75" customHeight="1" x14ac:dyDescent="0.25">
      <c r="AB670" s="6"/>
      <c r="AC670" s="6"/>
      <c r="AD670" s="6"/>
      <c r="AE670" s="6"/>
      <c r="AF670" s="6"/>
      <c r="AG670" s="6"/>
      <c r="AH670" s="6"/>
      <c r="AI670" s="6"/>
      <c r="AJ670" s="6"/>
      <c r="AK670" s="6"/>
      <c r="AL670" s="6"/>
    </row>
    <row r="671" spans="28:38" ht="15.75" customHeight="1" x14ac:dyDescent="0.25">
      <c r="AB671" s="6"/>
      <c r="AC671" s="6"/>
      <c r="AD671" s="6"/>
      <c r="AE671" s="6"/>
      <c r="AF671" s="6"/>
      <c r="AG671" s="6"/>
      <c r="AH671" s="6"/>
      <c r="AI671" s="6"/>
      <c r="AJ671" s="6"/>
      <c r="AK671" s="6"/>
      <c r="AL671" s="6"/>
    </row>
    <row r="672" spans="28:38" ht="15.75" customHeight="1" x14ac:dyDescent="0.25">
      <c r="AB672" s="6"/>
      <c r="AC672" s="6"/>
      <c r="AD672" s="6"/>
      <c r="AE672" s="6"/>
      <c r="AF672" s="6"/>
      <c r="AG672" s="6"/>
      <c r="AH672" s="6"/>
      <c r="AI672" s="6"/>
      <c r="AJ672" s="6"/>
      <c r="AK672" s="6"/>
      <c r="AL672" s="6"/>
    </row>
    <row r="673" spans="28:38" ht="15.75" customHeight="1" x14ac:dyDescent="0.25">
      <c r="AB673" s="6"/>
      <c r="AC673" s="6"/>
      <c r="AD673" s="6"/>
      <c r="AE673" s="6"/>
      <c r="AF673" s="6"/>
      <c r="AG673" s="6"/>
      <c r="AH673" s="6"/>
      <c r="AI673" s="6"/>
      <c r="AJ673" s="6"/>
      <c r="AK673" s="6"/>
      <c r="AL673" s="6"/>
    </row>
    <row r="674" spans="28:38" ht="15.75" customHeight="1" x14ac:dyDescent="0.25">
      <c r="AB674" s="6"/>
      <c r="AC674" s="6"/>
      <c r="AD674" s="6"/>
      <c r="AE674" s="6"/>
      <c r="AF674" s="6"/>
      <c r="AG674" s="6"/>
      <c r="AH674" s="6"/>
      <c r="AI674" s="6"/>
      <c r="AJ674" s="6"/>
      <c r="AK674" s="6"/>
      <c r="AL674" s="6"/>
    </row>
    <row r="675" spans="28:38" ht="15.75" customHeight="1" x14ac:dyDescent="0.25">
      <c r="AB675" s="6"/>
      <c r="AC675" s="6"/>
      <c r="AD675" s="6"/>
      <c r="AE675" s="6"/>
      <c r="AF675" s="6"/>
      <c r="AG675" s="6"/>
      <c r="AH675" s="6"/>
      <c r="AI675" s="6"/>
      <c r="AJ675" s="6"/>
      <c r="AK675" s="6"/>
      <c r="AL675" s="6"/>
    </row>
    <row r="676" spans="28:38" ht="15.75" customHeight="1" x14ac:dyDescent="0.25">
      <c r="AB676" s="6"/>
      <c r="AC676" s="6"/>
      <c r="AD676" s="6"/>
      <c r="AE676" s="6"/>
      <c r="AF676" s="6"/>
      <c r="AG676" s="6"/>
      <c r="AH676" s="6"/>
      <c r="AI676" s="6"/>
      <c r="AJ676" s="6"/>
      <c r="AK676" s="6"/>
      <c r="AL676" s="6"/>
    </row>
    <row r="677" spans="28:38" ht="15.75" customHeight="1" x14ac:dyDescent="0.25">
      <c r="AB677" s="6"/>
      <c r="AC677" s="6"/>
      <c r="AD677" s="6"/>
      <c r="AE677" s="6"/>
      <c r="AF677" s="6"/>
      <c r="AG677" s="6"/>
      <c r="AH677" s="6"/>
      <c r="AI677" s="6"/>
      <c r="AJ677" s="6"/>
      <c r="AK677" s="6"/>
      <c r="AL677" s="6"/>
    </row>
    <row r="678" spans="28:38" ht="15.75" customHeight="1" x14ac:dyDescent="0.25">
      <c r="AB678" s="6"/>
      <c r="AC678" s="6"/>
      <c r="AD678" s="6"/>
      <c r="AE678" s="6"/>
      <c r="AF678" s="6"/>
      <c r="AG678" s="6"/>
      <c r="AH678" s="6"/>
      <c r="AI678" s="6"/>
      <c r="AJ678" s="6"/>
      <c r="AK678" s="6"/>
      <c r="AL678" s="6"/>
    </row>
    <row r="679" spans="28:38" ht="15.75" customHeight="1" x14ac:dyDescent="0.25">
      <c r="AB679" s="6"/>
      <c r="AC679" s="6"/>
      <c r="AD679" s="6"/>
      <c r="AE679" s="6"/>
      <c r="AF679" s="6"/>
      <c r="AG679" s="6"/>
      <c r="AH679" s="6"/>
      <c r="AI679" s="6"/>
      <c r="AJ679" s="6"/>
      <c r="AK679" s="6"/>
      <c r="AL679" s="6"/>
    </row>
    <row r="680" spans="28:38" ht="15.75" customHeight="1" x14ac:dyDescent="0.25">
      <c r="AB680" s="6"/>
      <c r="AC680" s="6"/>
      <c r="AD680" s="6"/>
      <c r="AE680" s="6"/>
      <c r="AF680" s="6"/>
      <c r="AG680" s="6"/>
      <c r="AH680" s="6"/>
      <c r="AI680" s="6"/>
      <c r="AJ680" s="6"/>
      <c r="AK680" s="6"/>
      <c r="AL680" s="6"/>
    </row>
    <row r="681" spans="28:38" ht="15.75" customHeight="1" x14ac:dyDescent="0.25">
      <c r="AB681" s="6"/>
      <c r="AC681" s="6"/>
      <c r="AD681" s="6"/>
      <c r="AE681" s="6"/>
      <c r="AF681" s="6"/>
      <c r="AG681" s="6"/>
      <c r="AH681" s="6"/>
      <c r="AI681" s="6"/>
      <c r="AJ681" s="6"/>
      <c r="AK681" s="6"/>
      <c r="AL681" s="6"/>
    </row>
    <row r="682" spans="28:38" ht="15.75" customHeight="1" x14ac:dyDescent="0.25">
      <c r="AB682" s="6"/>
      <c r="AC682" s="6"/>
      <c r="AD682" s="6"/>
      <c r="AE682" s="6"/>
      <c r="AF682" s="6"/>
      <c r="AG682" s="6"/>
      <c r="AH682" s="6"/>
      <c r="AI682" s="6"/>
      <c r="AJ682" s="6"/>
      <c r="AK682" s="6"/>
      <c r="AL682" s="6"/>
    </row>
    <row r="683" spans="28:38" ht="15.75" customHeight="1" x14ac:dyDescent="0.25">
      <c r="AB683" s="6"/>
      <c r="AC683" s="6"/>
      <c r="AD683" s="6"/>
      <c r="AE683" s="6"/>
      <c r="AF683" s="6"/>
      <c r="AG683" s="6"/>
      <c r="AH683" s="6"/>
      <c r="AI683" s="6"/>
      <c r="AJ683" s="6"/>
      <c r="AK683" s="6"/>
      <c r="AL683" s="6"/>
    </row>
    <row r="684" spans="28:38" ht="15.75" customHeight="1" x14ac:dyDescent="0.25">
      <c r="AB684" s="6"/>
      <c r="AC684" s="6"/>
      <c r="AD684" s="6"/>
      <c r="AE684" s="6"/>
      <c r="AF684" s="6"/>
      <c r="AG684" s="6"/>
      <c r="AH684" s="6"/>
      <c r="AI684" s="6"/>
      <c r="AJ684" s="6"/>
      <c r="AK684" s="6"/>
      <c r="AL684" s="6"/>
    </row>
    <row r="685" spans="28:38" ht="15.75" customHeight="1" x14ac:dyDescent="0.25">
      <c r="AB685" s="6"/>
      <c r="AC685" s="6"/>
      <c r="AD685" s="6"/>
      <c r="AE685" s="6"/>
      <c r="AF685" s="6"/>
      <c r="AG685" s="6"/>
      <c r="AH685" s="6"/>
      <c r="AI685" s="6"/>
      <c r="AJ685" s="6"/>
      <c r="AK685" s="6"/>
      <c r="AL685" s="6"/>
    </row>
    <row r="686" spans="28:38" ht="15.75" customHeight="1" x14ac:dyDescent="0.25">
      <c r="AB686" s="6"/>
      <c r="AC686" s="6"/>
      <c r="AD686" s="6"/>
      <c r="AE686" s="6"/>
      <c r="AF686" s="6"/>
      <c r="AG686" s="6"/>
      <c r="AH686" s="6"/>
      <c r="AI686" s="6"/>
      <c r="AJ686" s="6"/>
      <c r="AK686" s="6"/>
      <c r="AL686" s="6"/>
    </row>
    <row r="687" spans="28:38" ht="15.75" customHeight="1" x14ac:dyDescent="0.25">
      <c r="AB687" s="6"/>
      <c r="AC687" s="6"/>
      <c r="AD687" s="6"/>
      <c r="AE687" s="6"/>
      <c r="AF687" s="6"/>
      <c r="AG687" s="6"/>
      <c r="AH687" s="6"/>
      <c r="AI687" s="6"/>
      <c r="AJ687" s="6"/>
      <c r="AK687" s="6"/>
      <c r="AL687" s="6"/>
    </row>
    <row r="688" spans="28:38" ht="15.75" customHeight="1" x14ac:dyDescent="0.25">
      <c r="AB688" s="6"/>
      <c r="AC688" s="6"/>
      <c r="AD688" s="6"/>
      <c r="AE688" s="6"/>
      <c r="AF688" s="6"/>
      <c r="AG688" s="6"/>
      <c r="AH688" s="6"/>
      <c r="AI688" s="6"/>
      <c r="AJ688" s="6"/>
      <c r="AK688" s="6"/>
      <c r="AL688" s="6"/>
    </row>
    <row r="689" spans="28:38" ht="15.75" customHeight="1" x14ac:dyDescent="0.25">
      <c r="AB689" s="6"/>
      <c r="AC689" s="6"/>
      <c r="AD689" s="6"/>
      <c r="AE689" s="6"/>
      <c r="AF689" s="6"/>
      <c r="AG689" s="6"/>
      <c r="AH689" s="6"/>
      <c r="AI689" s="6"/>
      <c r="AJ689" s="6"/>
      <c r="AK689" s="6"/>
      <c r="AL689" s="6"/>
    </row>
    <row r="690" spans="28:38" ht="15.75" customHeight="1" x14ac:dyDescent="0.25">
      <c r="AB690" s="6"/>
      <c r="AC690" s="6"/>
      <c r="AD690" s="6"/>
      <c r="AE690" s="6"/>
      <c r="AF690" s="6"/>
      <c r="AG690" s="6"/>
      <c r="AH690" s="6"/>
      <c r="AI690" s="6"/>
      <c r="AJ690" s="6"/>
      <c r="AK690" s="6"/>
      <c r="AL690" s="6"/>
    </row>
    <row r="691" spans="28:38" ht="15.75" customHeight="1" x14ac:dyDescent="0.25">
      <c r="AB691" s="6"/>
      <c r="AC691" s="6"/>
      <c r="AD691" s="6"/>
      <c r="AE691" s="6"/>
      <c r="AF691" s="6"/>
      <c r="AG691" s="6"/>
      <c r="AH691" s="6"/>
      <c r="AI691" s="6"/>
      <c r="AJ691" s="6"/>
      <c r="AK691" s="6"/>
      <c r="AL691" s="6"/>
    </row>
    <row r="692" spans="28:38" ht="15.75" customHeight="1" x14ac:dyDescent="0.25">
      <c r="AB692" s="6"/>
      <c r="AC692" s="6"/>
      <c r="AD692" s="6"/>
      <c r="AE692" s="6"/>
      <c r="AF692" s="6"/>
      <c r="AG692" s="6"/>
      <c r="AH692" s="6"/>
      <c r="AI692" s="6"/>
      <c r="AJ692" s="6"/>
      <c r="AK692" s="6"/>
      <c r="AL692" s="6"/>
    </row>
    <row r="693" spans="28:38" ht="15.75" customHeight="1" x14ac:dyDescent="0.25">
      <c r="AB693" s="6"/>
      <c r="AC693" s="6"/>
      <c r="AD693" s="6"/>
      <c r="AE693" s="6"/>
      <c r="AF693" s="6"/>
      <c r="AG693" s="6"/>
      <c r="AH693" s="6"/>
      <c r="AI693" s="6"/>
      <c r="AJ693" s="6"/>
      <c r="AK693" s="6"/>
      <c r="AL693" s="6"/>
    </row>
    <row r="694" spans="28:38" ht="15.75" customHeight="1" x14ac:dyDescent="0.25">
      <c r="AB694" s="6"/>
      <c r="AC694" s="6"/>
      <c r="AD694" s="6"/>
      <c r="AE694" s="6"/>
      <c r="AF694" s="6"/>
      <c r="AG694" s="6"/>
      <c r="AH694" s="6"/>
      <c r="AI694" s="6"/>
      <c r="AJ694" s="6"/>
      <c r="AK694" s="6"/>
      <c r="AL694" s="6"/>
    </row>
    <row r="695" spans="28:38" ht="15.75" customHeight="1" x14ac:dyDescent="0.25">
      <c r="AB695" s="6"/>
      <c r="AC695" s="6"/>
      <c r="AD695" s="6"/>
      <c r="AE695" s="6"/>
      <c r="AF695" s="6"/>
      <c r="AG695" s="6"/>
      <c r="AH695" s="6"/>
      <c r="AI695" s="6"/>
      <c r="AJ695" s="6"/>
      <c r="AK695" s="6"/>
      <c r="AL695" s="6"/>
    </row>
    <row r="696" spans="28:38" ht="15.75" customHeight="1" x14ac:dyDescent="0.25">
      <c r="AB696" s="6"/>
      <c r="AC696" s="6"/>
      <c r="AD696" s="6"/>
      <c r="AE696" s="6"/>
      <c r="AF696" s="6"/>
      <c r="AG696" s="6"/>
      <c r="AH696" s="6"/>
      <c r="AI696" s="6"/>
      <c r="AJ696" s="6"/>
      <c r="AK696" s="6"/>
      <c r="AL696" s="6"/>
    </row>
    <row r="697" spans="28:38" ht="15.75" customHeight="1" x14ac:dyDescent="0.25">
      <c r="AB697" s="6"/>
      <c r="AC697" s="6"/>
      <c r="AD697" s="6"/>
      <c r="AE697" s="6"/>
      <c r="AF697" s="6"/>
      <c r="AG697" s="6"/>
      <c r="AH697" s="6"/>
      <c r="AI697" s="6"/>
      <c r="AJ697" s="6"/>
      <c r="AK697" s="6"/>
      <c r="AL697" s="6"/>
    </row>
    <row r="698" spans="28:38" ht="15.75" customHeight="1" x14ac:dyDescent="0.25">
      <c r="AB698" s="6"/>
      <c r="AC698" s="6"/>
      <c r="AD698" s="6"/>
      <c r="AE698" s="6"/>
      <c r="AF698" s="6"/>
      <c r="AG698" s="6"/>
      <c r="AH698" s="6"/>
      <c r="AI698" s="6"/>
      <c r="AJ698" s="6"/>
      <c r="AK698" s="6"/>
      <c r="AL698" s="6"/>
    </row>
    <row r="699" spans="28:38" ht="15.75" customHeight="1" x14ac:dyDescent="0.25">
      <c r="AB699" s="6"/>
      <c r="AC699" s="6"/>
      <c r="AD699" s="6"/>
      <c r="AE699" s="6"/>
      <c r="AF699" s="6"/>
      <c r="AG699" s="6"/>
      <c r="AH699" s="6"/>
      <c r="AI699" s="6"/>
      <c r="AJ699" s="6"/>
      <c r="AK699" s="6"/>
      <c r="AL699" s="6"/>
    </row>
    <row r="700" spans="28:38" ht="15.75" customHeight="1" x14ac:dyDescent="0.25">
      <c r="AB700" s="6"/>
      <c r="AC700" s="6"/>
      <c r="AD700" s="6"/>
      <c r="AE700" s="6"/>
      <c r="AF700" s="6"/>
      <c r="AG700" s="6"/>
      <c r="AH700" s="6"/>
      <c r="AI700" s="6"/>
      <c r="AJ700" s="6"/>
      <c r="AK700" s="6"/>
      <c r="AL700" s="6"/>
    </row>
    <row r="701" spans="28:38" ht="15.75" customHeight="1" x14ac:dyDescent="0.25">
      <c r="AB701" s="6"/>
      <c r="AC701" s="6"/>
      <c r="AD701" s="6"/>
      <c r="AE701" s="6"/>
      <c r="AF701" s="6"/>
      <c r="AG701" s="6"/>
      <c r="AH701" s="6"/>
      <c r="AI701" s="6"/>
      <c r="AJ701" s="6"/>
      <c r="AK701" s="6"/>
      <c r="AL701" s="6"/>
    </row>
    <row r="702" spans="28:38" ht="15.75" customHeight="1" x14ac:dyDescent="0.25">
      <c r="AB702" s="6"/>
      <c r="AC702" s="6"/>
      <c r="AD702" s="6"/>
      <c r="AE702" s="6"/>
      <c r="AF702" s="6"/>
      <c r="AG702" s="6"/>
      <c r="AH702" s="6"/>
      <c r="AI702" s="6"/>
      <c r="AJ702" s="6"/>
      <c r="AK702" s="6"/>
      <c r="AL702" s="6"/>
    </row>
    <row r="703" spans="28:38" ht="15.75" customHeight="1" x14ac:dyDescent="0.25">
      <c r="AB703" s="6"/>
      <c r="AC703" s="6"/>
      <c r="AD703" s="6"/>
      <c r="AE703" s="6"/>
      <c r="AF703" s="6"/>
      <c r="AG703" s="6"/>
      <c r="AH703" s="6"/>
      <c r="AI703" s="6"/>
      <c r="AJ703" s="6"/>
      <c r="AK703" s="6"/>
      <c r="AL703" s="6"/>
    </row>
    <row r="704" spans="28:38" ht="15.75" customHeight="1" x14ac:dyDescent="0.25">
      <c r="AB704" s="6"/>
      <c r="AC704" s="6"/>
      <c r="AD704" s="6"/>
      <c r="AE704" s="6"/>
      <c r="AF704" s="6"/>
      <c r="AG704" s="6"/>
      <c r="AH704" s="6"/>
      <c r="AI704" s="6"/>
      <c r="AJ704" s="6"/>
      <c r="AK704" s="6"/>
      <c r="AL704" s="6"/>
    </row>
    <row r="705" spans="28:38" ht="15.75" customHeight="1" x14ac:dyDescent="0.25">
      <c r="AB705" s="6"/>
      <c r="AC705" s="6"/>
      <c r="AD705" s="6"/>
      <c r="AE705" s="6"/>
      <c r="AF705" s="6"/>
      <c r="AG705" s="6"/>
      <c r="AH705" s="6"/>
      <c r="AI705" s="6"/>
      <c r="AJ705" s="6"/>
      <c r="AK705" s="6"/>
      <c r="AL705" s="6"/>
    </row>
    <row r="706" spans="28:38" ht="15.75" customHeight="1" x14ac:dyDescent="0.25">
      <c r="AB706" s="6"/>
      <c r="AC706" s="6"/>
      <c r="AD706" s="6"/>
      <c r="AE706" s="6"/>
      <c r="AF706" s="6"/>
      <c r="AG706" s="6"/>
      <c r="AH706" s="6"/>
      <c r="AI706" s="6"/>
      <c r="AJ706" s="6"/>
      <c r="AK706" s="6"/>
      <c r="AL706" s="6"/>
    </row>
    <row r="707" spans="28:38" ht="15.75" customHeight="1" x14ac:dyDescent="0.25">
      <c r="AB707" s="6"/>
      <c r="AC707" s="6"/>
      <c r="AD707" s="6"/>
      <c r="AE707" s="6"/>
      <c r="AF707" s="6"/>
      <c r="AG707" s="6"/>
      <c r="AH707" s="6"/>
      <c r="AI707" s="6"/>
      <c r="AJ707" s="6"/>
      <c r="AK707" s="6"/>
      <c r="AL707" s="6"/>
    </row>
    <row r="708" spans="28:38" ht="15.75" customHeight="1" x14ac:dyDescent="0.25">
      <c r="AB708" s="6"/>
      <c r="AC708" s="6"/>
      <c r="AD708" s="6"/>
      <c r="AE708" s="6"/>
      <c r="AF708" s="6"/>
      <c r="AG708" s="6"/>
      <c r="AH708" s="6"/>
      <c r="AI708" s="6"/>
      <c r="AJ708" s="6"/>
      <c r="AK708" s="6"/>
      <c r="AL708" s="6"/>
    </row>
    <row r="709" spans="28:38" ht="15.75" customHeight="1" x14ac:dyDescent="0.25">
      <c r="AB709" s="6"/>
      <c r="AC709" s="6"/>
      <c r="AD709" s="6"/>
      <c r="AE709" s="6"/>
      <c r="AF709" s="6"/>
      <c r="AG709" s="6"/>
      <c r="AH709" s="6"/>
      <c r="AI709" s="6"/>
      <c r="AJ709" s="6"/>
      <c r="AK709" s="6"/>
      <c r="AL709" s="6"/>
    </row>
    <row r="710" spans="28:38" ht="15.75" customHeight="1" x14ac:dyDescent="0.25">
      <c r="AB710" s="6"/>
      <c r="AC710" s="6"/>
      <c r="AD710" s="6"/>
      <c r="AE710" s="6"/>
      <c r="AF710" s="6"/>
      <c r="AG710" s="6"/>
      <c r="AH710" s="6"/>
      <c r="AI710" s="6"/>
      <c r="AJ710" s="6"/>
      <c r="AK710" s="6"/>
      <c r="AL710" s="6"/>
    </row>
    <row r="711" spans="28:38" ht="15.75" customHeight="1" x14ac:dyDescent="0.25">
      <c r="AB711" s="6"/>
      <c r="AC711" s="6"/>
      <c r="AD711" s="6"/>
      <c r="AE711" s="6"/>
      <c r="AF711" s="6"/>
      <c r="AG711" s="6"/>
      <c r="AH711" s="6"/>
      <c r="AI711" s="6"/>
      <c r="AJ711" s="6"/>
      <c r="AK711" s="6"/>
      <c r="AL711" s="6"/>
    </row>
    <row r="712" spans="28:38" ht="15.75" customHeight="1" x14ac:dyDescent="0.25">
      <c r="AB712" s="6"/>
      <c r="AC712" s="6"/>
      <c r="AD712" s="6"/>
      <c r="AE712" s="6"/>
      <c r="AF712" s="6"/>
      <c r="AG712" s="6"/>
      <c r="AH712" s="6"/>
      <c r="AI712" s="6"/>
      <c r="AJ712" s="6"/>
      <c r="AK712" s="6"/>
      <c r="AL712" s="6"/>
    </row>
    <row r="713" spans="28:38" ht="15.75" customHeight="1" x14ac:dyDescent="0.25">
      <c r="AB713" s="6"/>
      <c r="AC713" s="6"/>
      <c r="AD713" s="6"/>
      <c r="AE713" s="6"/>
      <c r="AF713" s="6"/>
      <c r="AG713" s="6"/>
      <c r="AH713" s="6"/>
      <c r="AI713" s="6"/>
      <c r="AJ713" s="6"/>
      <c r="AK713" s="6"/>
      <c r="AL713" s="6"/>
    </row>
    <row r="714" spans="28:38" ht="15.75" customHeight="1" x14ac:dyDescent="0.25">
      <c r="AB714" s="6"/>
      <c r="AC714" s="6"/>
      <c r="AD714" s="6"/>
      <c r="AE714" s="6"/>
      <c r="AF714" s="6"/>
      <c r="AG714" s="6"/>
      <c r="AH714" s="6"/>
      <c r="AI714" s="6"/>
      <c r="AJ714" s="6"/>
      <c r="AK714" s="6"/>
      <c r="AL714" s="6"/>
    </row>
    <row r="715" spans="28:38" ht="15.75" customHeight="1" x14ac:dyDescent="0.25">
      <c r="AB715" s="6"/>
      <c r="AC715" s="6"/>
      <c r="AD715" s="6"/>
      <c r="AE715" s="6"/>
      <c r="AF715" s="6"/>
      <c r="AG715" s="6"/>
      <c r="AH715" s="6"/>
      <c r="AI715" s="6"/>
      <c r="AJ715" s="6"/>
      <c r="AK715" s="6"/>
      <c r="AL715" s="6"/>
    </row>
    <row r="716" spans="28:38" ht="15.75" customHeight="1" x14ac:dyDescent="0.25">
      <c r="AB716" s="6"/>
      <c r="AC716" s="6"/>
      <c r="AD716" s="6"/>
      <c r="AE716" s="6"/>
      <c r="AF716" s="6"/>
      <c r="AG716" s="6"/>
      <c r="AH716" s="6"/>
      <c r="AI716" s="6"/>
      <c r="AJ716" s="6"/>
      <c r="AK716" s="6"/>
      <c r="AL716" s="6"/>
    </row>
    <row r="717" spans="28:38" ht="15.75" customHeight="1" x14ac:dyDescent="0.25">
      <c r="AB717" s="6"/>
      <c r="AC717" s="6"/>
      <c r="AD717" s="6"/>
      <c r="AE717" s="6"/>
      <c r="AF717" s="6"/>
      <c r="AG717" s="6"/>
      <c r="AH717" s="6"/>
      <c r="AI717" s="6"/>
      <c r="AJ717" s="6"/>
      <c r="AK717" s="6"/>
      <c r="AL717" s="6"/>
    </row>
    <row r="718" spans="28:38" ht="15.75" customHeight="1" x14ac:dyDescent="0.25">
      <c r="AB718" s="6"/>
      <c r="AC718" s="6"/>
      <c r="AD718" s="6"/>
      <c r="AE718" s="6"/>
      <c r="AF718" s="6"/>
      <c r="AG718" s="6"/>
      <c r="AH718" s="6"/>
      <c r="AI718" s="6"/>
      <c r="AJ718" s="6"/>
      <c r="AK718" s="6"/>
      <c r="AL718" s="6"/>
    </row>
    <row r="719" spans="28:38" ht="15.75" customHeight="1" x14ac:dyDescent="0.25">
      <c r="AB719" s="6"/>
      <c r="AC719" s="6"/>
      <c r="AD719" s="6"/>
      <c r="AE719" s="6"/>
      <c r="AF719" s="6"/>
      <c r="AG719" s="6"/>
      <c r="AH719" s="6"/>
      <c r="AI719" s="6"/>
      <c r="AJ719" s="6"/>
      <c r="AK719" s="6"/>
      <c r="AL719" s="6"/>
    </row>
    <row r="720" spans="28:38" ht="15.75" customHeight="1" x14ac:dyDescent="0.25">
      <c r="AB720" s="6"/>
      <c r="AC720" s="6"/>
      <c r="AD720" s="6"/>
      <c r="AE720" s="6"/>
      <c r="AF720" s="6"/>
      <c r="AG720" s="6"/>
      <c r="AH720" s="6"/>
      <c r="AI720" s="6"/>
      <c r="AJ720" s="6"/>
      <c r="AK720" s="6"/>
      <c r="AL720" s="6"/>
    </row>
    <row r="721" spans="28:38" ht="15.75" customHeight="1" x14ac:dyDescent="0.25">
      <c r="AB721" s="6"/>
      <c r="AC721" s="6"/>
      <c r="AD721" s="6"/>
      <c r="AE721" s="6"/>
      <c r="AF721" s="6"/>
      <c r="AG721" s="6"/>
      <c r="AH721" s="6"/>
      <c r="AI721" s="6"/>
      <c r="AJ721" s="6"/>
      <c r="AK721" s="6"/>
      <c r="AL721" s="6"/>
    </row>
    <row r="722" spans="28:38" ht="15.75" customHeight="1" x14ac:dyDescent="0.25">
      <c r="AB722" s="6"/>
      <c r="AC722" s="6"/>
      <c r="AD722" s="6"/>
      <c r="AE722" s="6"/>
      <c r="AF722" s="6"/>
      <c r="AG722" s="6"/>
      <c r="AH722" s="6"/>
      <c r="AI722" s="6"/>
      <c r="AJ722" s="6"/>
      <c r="AK722" s="6"/>
      <c r="AL722" s="6"/>
    </row>
    <row r="723" spans="28:38" ht="15.75" customHeight="1" x14ac:dyDescent="0.25">
      <c r="AB723" s="6"/>
      <c r="AC723" s="6"/>
      <c r="AD723" s="6"/>
      <c r="AE723" s="6"/>
      <c r="AF723" s="6"/>
      <c r="AG723" s="6"/>
      <c r="AH723" s="6"/>
      <c r="AI723" s="6"/>
      <c r="AJ723" s="6"/>
      <c r="AK723" s="6"/>
      <c r="AL723" s="6"/>
    </row>
    <row r="724" spans="28:38" ht="15.75" customHeight="1" x14ac:dyDescent="0.25">
      <c r="AB724" s="6"/>
      <c r="AC724" s="6"/>
      <c r="AD724" s="6"/>
      <c r="AE724" s="6"/>
      <c r="AF724" s="6"/>
      <c r="AG724" s="6"/>
      <c r="AH724" s="6"/>
      <c r="AI724" s="6"/>
      <c r="AJ724" s="6"/>
      <c r="AK724" s="6"/>
      <c r="AL724" s="6"/>
    </row>
    <row r="725" spans="28:38" ht="15.75" customHeight="1" x14ac:dyDescent="0.25">
      <c r="AB725" s="6"/>
      <c r="AC725" s="6"/>
      <c r="AD725" s="6"/>
      <c r="AE725" s="6"/>
      <c r="AF725" s="6"/>
      <c r="AG725" s="6"/>
      <c r="AH725" s="6"/>
      <c r="AI725" s="6"/>
      <c r="AJ725" s="6"/>
      <c r="AK725" s="6"/>
      <c r="AL725" s="6"/>
    </row>
    <row r="726" spans="28:38" ht="15.75" customHeight="1" x14ac:dyDescent="0.25">
      <c r="AB726" s="6"/>
      <c r="AC726" s="6"/>
      <c r="AD726" s="6"/>
      <c r="AE726" s="6"/>
      <c r="AF726" s="6"/>
      <c r="AG726" s="6"/>
      <c r="AH726" s="6"/>
      <c r="AI726" s="6"/>
      <c r="AJ726" s="6"/>
      <c r="AK726" s="6"/>
      <c r="AL726" s="6"/>
    </row>
    <row r="727" spans="28:38" ht="15.75" customHeight="1" x14ac:dyDescent="0.25">
      <c r="AB727" s="6"/>
      <c r="AC727" s="6"/>
      <c r="AD727" s="6"/>
      <c r="AE727" s="6"/>
      <c r="AF727" s="6"/>
      <c r="AG727" s="6"/>
      <c r="AH727" s="6"/>
      <c r="AI727" s="6"/>
      <c r="AJ727" s="6"/>
      <c r="AK727" s="6"/>
      <c r="AL727" s="6"/>
    </row>
    <row r="728" spans="28:38" ht="15.75" customHeight="1" x14ac:dyDescent="0.25">
      <c r="AB728" s="6"/>
      <c r="AC728" s="6"/>
      <c r="AD728" s="6"/>
      <c r="AE728" s="6"/>
      <c r="AF728" s="6"/>
      <c r="AG728" s="6"/>
      <c r="AH728" s="6"/>
      <c r="AI728" s="6"/>
      <c r="AJ728" s="6"/>
      <c r="AK728" s="6"/>
      <c r="AL728" s="6"/>
    </row>
    <row r="729" spans="28:38" ht="15.75" customHeight="1" x14ac:dyDescent="0.25">
      <c r="AB729" s="6"/>
      <c r="AC729" s="6"/>
      <c r="AD729" s="6"/>
      <c r="AE729" s="6"/>
      <c r="AF729" s="6"/>
      <c r="AG729" s="6"/>
      <c r="AH729" s="6"/>
      <c r="AI729" s="6"/>
      <c r="AJ729" s="6"/>
      <c r="AK729" s="6"/>
      <c r="AL729" s="6"/>
    </row>
    <row r="730" spans="28:38" ht="15.75" customHeight="1" x14ac:dyDescent="0.25">
      <c r="AB730" s="6"/>
      <c r="AC730" s="6"/>
      <c r="AD730" s="6"/>
      <c r="AE730" s="6"/>
      <c r="AF730" s="6"/>
      <c r="AG730" s="6"/>
      <c r="AH730" s="6"/>
      <c r="AI730" s="6"/>
      <c r="AJ730" s="6"/>
      <c r="AK730" s="6"/>
      <c r="AL730" s="6"/>
    </row>
    <row r="731" spans="28:38" ht="15.75" customHeight="1" x14ac:dyDescent="0.25">
      <c r="AB731" s="6"/>
      <c r="AC731" s="6"/>
      <c r="AD731" s="6"/>
      <c r="AE731" s="6"/>
      <c r="AF731" s="6"/>
      <c r="AG731" s="6"/>
      <c r="AH731" s="6"/>
      <c r="AI731" s="6"/>
      <c r="AJ731" s="6"/>
      <c r="AK731" s="6"/>
      <c r="AL731" s="6"/>
    </row>
    <row r="732" spans="28:38" ht="15.75" customHeight="1" x14ac:dyDescent="0.25">
      <c r="AB732" s="6"/>
      <c r="AC732" s="6"/>
      <c r="AD732" s="6"/>
      <c r="AE732" s="6"/>
      <c r="AF732" s="6"/>
      <c r="AG732" s="6"/>
      <c r="AH732" s="6"/>
      <c r="AI732" s="6"/>
      <c r="AJ732" s="6"/>
      <c r="AK732" s="6"/>
      <c r="AL732" s="6"/>
    </row>
    <row r="733" spans="28:38" ht="15.75" customHeight="1" x14ac:dyDescent="0.25">
      <c r="AB733" s="6"/>
      <c r="AC733" s="6"/>
      <c r="AD733" s="6"/>
      <c r="AE733" s="6"/>
      <c r="AF733" s="6"/>
      <c r="AG733" s="6"/>
      <c r="AH733" s="6"/>
      <c r="AI733" s="6"/>
      <c r="AJ733" s="6"/>
      <c r="AK733" s="6"/>
      <c r="AL733" s="6"/>
    </row>
    <row r="734" spans="28:38" ht="15.75" customHeight="1" x14ac:dyDescent="0.25">
      <c r="AB734" s="6"/>
      <c r="AC734" s="6"/>
      <c r="AD734" s="6"/>
      <c r="AE734" s="6"/>
      <c r="AF734" s="6"/>
      <c r="AG734" s="6"/>
      <c r="AH734" s="6"/>
      <c r="AI734" s="6"/>
      <c r="AJ734" s="6"/>
      <c r="AK734" s="6"/>
      <c r="AL734" s="6"/>
    </row>
    <row r="735" spans="28:38" ht="15.75" customHeight="1" x14ac:dyDescent="0.25">
      <c r="AB735" s="6"/>
      <c r="AC735" s="6"/>
      <c r="AD735" s="6"/>
      <c r="AE735" s="6"/>
      <c r="AF735" s="6"/>
      <c r="AG735" s="6"/>
      <c r="AH735" s="6"/>
      <c r="AI735" s="6"/>
      <c r="AJ735" s="6"/>
      <c r="AK735" s="6"/>
      <c r="AL735" s="6"/>
    </row>
    <row r="736" spans="28:38" ht="15.75" customHeight="1" x14ac:dyDescent="0.25">
      <c r="AB736" s="6"/>
      <c r="AC736" s="6"/>
      <c r="AD736" s="6"/>
      <c r="AE736" s="6"/>
      <c r="AF736" s="6"/>
      <c r="AG736" s="6"/>
      <c r="AH736" s="6"/>
      <c r="AI736" s="6"/>
      <c r="AJ736" s="6"/>
      <c r="AK736" s="6"/>
      <c r="AL736" s="6"/>
    </row>
    <row r="737" spans="28:38" ht="15.75" customHeight="1" x14ac:dyDescent="0.25">
      <c r="AB737" s="6"/>
      <c r="AC737" s="6"/>
      <c r="AD737" s="6"/>
      <c r="AE737" s="6"/>
      <c r="AF737" s="6"/>
      <c r="AG737" s="6"/>
      <c r="AH737" s="6"/>
      <c r="AI737" s="6"/>
      <c r="AJ737" s="6"/>
      <c r="AK737" s="6"/>
      <c r="AL737" s="6"/>
    </row>
    <row r="738" spans="28:38" ht="15.75" customHeight="1" x14ac:dyDescent="0.25">
      <c r="AB738" s="6"/>
      <c r="AC738" s="6"/>
      <c r="AD738" s="6"/>
      <c r="AE738" s="6"/>
      <c r="AF738" s="6"/>
      <c r="AG738" s="6"/>
      <c r="AH738" s="6"/>
      <c r="AI738" s="6"/>
      <c r="AJ738" s="6"/>
      <c r="AK738" s="6"/>
      <c r="AL738" s="6"/>
    </row>
    <row r="739" spans="28:38" ht="15.75" customHeight="1" x14ac:dyDescent="0.25">
      <c r="AB739" s="6"/>
      <c r="AC739" s="6"/>
      <c r="AD739" s="6"/>
      <c r="AE739" s="6"/>
      <c r="AF739" s="6"/>
      <c r="AG739" s="6"/>
      <c r="AH739" s="6"/>
      <c r="AI739" s="6"/>
      <c r="AJ739" s="6"/>
      <c r="AK739" s="6"/>
      <c r="AL739" s="6"/>
    </row>
    <row r="740" spans="28:38" ht="15.75" customHeight="1" x14ac:dyDescent="0.25">
      <c r="AB740" s="6"/>
      <c r="AC740" s="6"/>
      <c r="AD740" s="6"/>
      <c r="AE740" s="6"/>
      <c r="AF740" s="6"/>
      <c r="AG740" s="6"/>
      <c r="AH740" s="6"/>
      <c r="AI740" s="6"/>
      <c r="AJ740" s="6"/>
      <c r="AK740" s="6"/>
      <c r="AL740" s="6"/>
    </row>
    <row r="741" spans="28:38" ht="15.75" customHeight="1" x14ac:dyDescent="0.25">
      <c r="AB741" s="6"/>
      <c r="AC741" s="6"/>
      <c r="AD741" s="6"/>
      <c r="AE741" s="6"/>
      <c r="AF741" s="6"/>
      <c r="AG741" s="6"/>
      <c r="AH741" s="6"/>
      <c r="AI741" s="6"/>
      <c r="AJ741" s="6"/>
      <c r="AK741" s="6"/>
      <c r="AL741" s="6"/>
    </row>
    <row r="742" spans="28:38" ht="15.75" customHeight="1" x14ac:dyDescent="0.25">
      <c r="AB742" s="6"/>
      <c r="AC742" s="6"/>
      <c r="AD742" s="6"/>
      <c r="AE742" s="6"/>
      <c r="AF742" s="6"/>
      <c r="AG742" s="6"/>
      <c r="AH742" s="6"/>
      <c r="AI742" s="6"/>
      <c r="AJ742" s="6"/>
      <c r="AK742" s="6"/>
      <c r="AL742" s="6"/>
    </row>
    <row r="743" spans="28:38" ht="15.75" customHeight="1" x14ac:dyDescent="0.25">
      <c r="AB743" s="6"/>
      <c r="AC743" s="6"/>
      <c r="AD743" s="6"/>
      <c r="AE743" s="6"/>
      <c r="AF743" s="6"/>
      <c r="AG743" s="6"/>
      <c r="AH743" s="6"/>
      <c r="AI743" s="6"/>
      <c r="AJ743" s="6"/>
      <c r="AK743" s="6"/>
      <c r="AL743" s="6"/>
    </row>
    <row r="744" spans="28:38" ht="15.75" customHeight="1" x14ac:dyDescent="0.25">
      <c r="AB744" s="6"/>
      <c r="AC744" s="6"/>
      <c r="AD744" s="6"/>
      <c r="AE744" s="6"/>
      <c r="AF744" s="6"/>
      <c r="AG744" s="6"/>
      <c r="AH744" s="6"/>
      <c r="AI744" s="6"/>
      <c r="AJ744" s="6"/>
      <c r="AK744" s="6"/>
      <c r="AL744" s="6"/>
    </row>
    <row r="745" spans="28:38" ht="15.75" customHeight="1" x14ac:dyDescent="0.25">
      <c r="AB745" s="6"/>
      <c r="AC745" s="6"/>
      <c r="AD745" s="6"/>
      <c r="AE745" s="6"/>
      <c r="AF745" s="6"/>
      <c r="AG745" s="6"/>
      <c r="AH745" s="6"/>
      <c r="AI745" s="6"/>
      <c r="AJ745" s="6"/>
      <c r="AK745" s="6"/>
      <c r="AL745" s="6"/>
    </row>
    <row r="746" spans="28:38" ht="15.75" customHeight="1" x14ac:dyDescent="0.25">
      <c r="AB746" s="6"/>
      <c r="AC746" s="6"/>
      <c r="AD746" s="6"/>
      <c r="AE746" s="6"/>
      <c r="AF746" s="6"/>
      <c r="AG746" s="6"/>
      <c r="AH746" s="6"/>
      <c r="AI746" s="6"/>
      <c r="AJ746" s="6"/>
      <c r="AK746" s="6"/>
      <c r="AL746" s="6"/>
    </row>
    <row r="747" spans="28:38" ht="15.75" customHeight="1" x14ac:dyDescent="0.25">
      <c r="AB747" s="6"/>
      <c r="AC747" s="6"/>
      <c r="AD747" s="6"/>
      <c r="AE747" s="6"/>
      <c r="AF747" s="6"/>
      <c r="AG747" s="6"/>
      <c r="AH747" s="6"/>
      <c r="AI747" s="6"/>
      <c r="AJ747" s="6"/>
      <c r="AK747" s="6"/>
      <c r="AL747" s="6"/>
    </row>
    <row r="748" spans="28:38" ht="15.75" customHeight="1" x14ac:dyDescent="0.25">
      <c r="AB748" s="6"/>
      <c r="AC748" s="6"/>
      <c r="AD748" s="6"/>
      <c r="AE748" s="6"/>
      <c r="AF748" s="6"/>
      <c r="AG748" s="6"/>
      <c r="AH748" s="6"/>
      <c r="AI748" s="6"/>
      <c r="AJ748" s="6"/>
      <c r="AK748" s="6"/>
      <c r="AL748" s="6"/>
    </row>
    <row r="749" spans="28:38" ht="15.75" customHeight="1" x14ac:dyDescent="0.25">
      <c r="AB749" s="6"/>
      <c r="AC749" s="6"/>
      <c r="AD749" s="6"/>
      <c r="AE749" s="6"/>
      <c r="AF749" s="6"/>
      <c r="AG749" s="6"/>
      <c r="AH749" s="6"/>
      <c r="AI749" s="6"/>
      <c r="AJ749" s="6"/>
      <c r="AK749" s="6"/>
      <c r="AL749" s="6"/>
    </row>
    <row r="750" spans="28:38" ht="15.75" customHeight="1" x14ac:dyDescent="0.25">
      <c r="AB750" s="6"/>
      <c r="AC750" s="6"/>
      <c r="AD750" s="6"/>
      <c r="AE750" s="6"/>
      <c r="AF750" s="6"/>
      <c r="AG750" s="6"/>
      <c r="AH750" s="6"/>
      <c r="AI750" s="6"/>
      <c r="AJ750" s="6"/>
      <c r="AK750" s="6"/>
      <c r="AL750" s="6"/>
    </row>
    <row r="751" spans="28:38" ht="15.75" customHeight="1" x14ac:dyDescent="0.25">
      <c r="AB751" s="6"/>
      <c r="AC751" s="6"/>
      <c r="AD751" s="6"/>
      <c r="AE751" s="6"/>
      <c r="AF751" s="6"/>
      <c r="AG751" s="6"/>
      <c r="AH751" s="6"/>
      <c r="AI751" s="6"/>
      <c r="AJ751" s="6"/>
      <c r="AK751" s="6"/>
      <c r="AL751" s="6"/>
    </row>
    <row r="752" spans="28:38" ht="15.75" customHeight="1" x14ac:dyDescent="0.25">
      <c r="AB752" s="6"/>
      <c r="AC752" s="6"/>
      <c r="AD752" s="6"/>
      <c r="AE752" s="6"/>
      <c r="AF752" s="6"/>
      <c r="AG752" s="6"/>
      <c r="AH752" s="6"/>
      <c r="AI752" s="6"/>
      <c r="AJ752" s="6"/>
      <c r="AK752" s="6"/>
      <c r="AL752" s="6"/>
    </row>
    <row r="753" spans="28:38" ht="15.75" customHeight="1" x14ac:dyDescent="0.25">
      <c r="AB753" s="6"/>
      <c r="AC753" s="6"/>
      <c r="AD753" s="6"/>
      <c r="AE753" s="6"/>
      <c r="AF753" s="6"/>
      <c r="AG753" s="6"/>
      <c r="AH753" s="6"/>
      <c r="AI753" s="6"/>
      <c r="AJ753" s="6"/>
      <c r="AK753" s="6"/>
      <c r="AL753" s="6"/>
    </row>
    <row r="754" spans="28:38" ht="15.75" customHeight="1" x14ac:dyDescent="0.25">
      <c r="AB754" s="6"/>
      <c r="AC754" s="6"/>
      <c r="AD754" s="6"/>
      <c r="AE754" s="6"/>
      <c r="AF754" s="6"/>
      <c r="AG754" s="6"/>
      <c r="AH754" s="6"/>
      <c r="AI754" s="6"/>
      <c r="AJ754" s="6"/>
      <c r="AK754" s="6"/>
      <c r="AL754" s="6"/>
    </row>
    <row r="755" spans="28:38" ht="15.75" customHeight="1" x14ac:dyDescent="0.25">
      <c r="AB755" s="6"/>
      <c r="AC755" s="6"/>
      <c r="AD755" s="6"/>
      <c r="AE755" s="6"/>
      <c r="AF755" s="6"/>
      <c r="AG755" s="6"/>
      <c r="AH755" s="6"/>
      <c r="AI755" s="6"/>
      <c r="AJ755" s="6"/>
      <c r="AK755" s="6"/>
      <c r="AL755" s="6"/>
    </row>
    <row r="756" spans="28:38" ht="15.75" customHeight="1" x14ac:dyDescent="0.25">
      <c r="AB756" s="6"/>
      <c r="AC756" s="6"/>
      <c r="AD756" s="6"/>
      <c r="AE756" s="6"/>
      <c r="AF756" s="6"/>
      <c r="AG756" s="6"/>
      <c r="AH756" s="6"/>
      <c r="AI756" s="6"/>
      <c r="AJ756" s="6"/>
      <c r="AK756" s="6"/>
      <c r="AL756" s="6"/>
    </row>
    <row r="757" spans="28:38" ht="15.75" customHeight="1" x14ac:dyDescent="0.25">
      <c r="AB757" s="6"/>
      <c r="AC757" s="6"/>
      <c r="AD757" s="6"/>
      <c r="AE757" s="6"/>
      <c r="AF757" s="6"/>
      <c r="AG757" s="6"/>
      <c r="AH757" s="6"/>
      <c r="AI757" s="6"/>
      <c r="AJ757" s="6"/>
      <c r="AK757" s="6"/>
      <c r="AL757" s="6"/>
    </row>
    <row r="758" spans="28:38" ht="15.75" customHeight="1" x14ac:dyDescent="0.25">
      <c r="AB758" s="6"/>
      <c r="AC758" s="6"/>
      <c r="AD758" s="6"/>
      <c r="AE758" s="6"/>
      <c r="AF758" s="6"/>
      <c r="AG758" s="6"/>
      <c r="AH758" s="6"/>
      <c r="AI758" s="6"/>
      <c r="AJ758" s="6"/>
      <c r="AK758" s="6"/>
      <c r="AL758" s="6"/>
    </row>
    <row r="759" spans="28:38" ht="15.75" customHeight="1" x14ac:dyDescent="0.25">
      <c r="AB759" s="6"/>
      <c r="AC759" s="6"/>
      <c r="AD759" s="6"/>
      <c r="AE759" s="6"/>
      <c r="AF759" s="6"/>
      <c r="AG759" s="6"/>
      <c r="AH759" s="6"/>
      <c r="AI759" s="6"/>
      <c r="AJ759" s="6"/>
      <c r="AK759" s="6"/>
      <c r="AL759" s="6"/>
    </row>
    <row r="760" spans="28:38" ht="15.75" customHeight="1" x14ac:dyDescent="0.25">
      <c r="AB760" s="6"/>
      <c r="AC760" s="6"/>
      <c r="AD760" s="6"/>
      <c r="AE760" s="6"/>
      <c r="AF760" s="6"/>
      <c r="AG760" s="6"/>
      <c r="AH760" s="6"/>
      <c r="AI760" s="6"/>
      <c r="AJ760" s="6"/>
      <c r="AK760" s="6"/>
      <c r="AL760" s="6"/>
    </row>
    <row r="761" spans="28:38" ht="15.75" customHeight="1" x14ac:dyDescent="0.25">
      <c r="AB761" s="6"/>
      <c r="AC761" s="6"/>
      <c r="AD761" s="6"/>
      <c r="AE761" s="6"/>
      <c r="AF761" s="6"/>
      <c r="AG761" s="6"/>
      <c r="AH761" s="6"/>
      <c r="AI761" s="6"/>
      <c r="AJ761" s="6"/>
      <c r="AK761" s="6"/>
      <c r="AL761" s="6"/>
    </row>
    <row r="762" spans="28:38" ht="15.75" customHeight="1" x14ac:dyDescent="0.25">
      <c r="AB762" s="6"/>
      <c r="AC762" s="6"/>
      <c r="AD762" s="6"/>
      <c r="AE762" s="6"/>
      <c r="AF762" s="6"/>
      <c r="AG762" s="6"/>
      <c r="AH762" s="6"/>
      <c r="AI762" s="6"/>
      <c r="AJ762" s="6"/>
      <c r="AK762" s="6"/>
      <c r="AL762" s="6"/>
    </row>
    <row r="763" spans="28:38" ht="15.75" customHeight="1" x14ac:dyDescent="0.25">
      <c r="AB763" s="6"/>
      <c r="AC763" s="6"/>
      <c r="AD763" s="6"/>
      <c r="AE763" s="6"/>
      <c r="AF763" s="6"/>
      <c r="AG763" s="6"/>
      <c r="AH763" s="6"/>
      <c r="AI763" s="6"/>
      <c r="AJ763" s="6"/>
      <c r="AK763" s="6"/>
      <c r="AL763" s="6"/>
    </row>
    <row r="764" spans="28:38" ht="15.75" customHeight="1" x14ac:dyDescent="0.25">
      <c r="AB764" s="6"/>
      <c r="AC764" s="6"/>
      <c r="AD764" s="6"/>
      <c r="AE764" s="6"/>
      <c r="AF764" s="6"/>
      <c r="AG764" s="6"/>
      <c r="AH764" s="6"/>
      <c r="AI764" s="6"/>
      <c r="AJ764" s="6"/>
      <c r="AK764" s="6"/>
      <c r="AL764" s="6"/>
    </row>
    <row r="765" spans="28:38" ht="15.75" customHeight="1" x14ac:dyDescent="0.25">
      <c r="AB765" s="6"/>
      <c r="AC765" s="6"/>
      <c r="AD765" s="6"/>
      <c r="AE765" s="6"/>
      <c r="AF765" s="6"/>
      <c r="AG765" s="6"/>
      <c r="AH765" s="6"/>
      <c r="AI765" s="6"/>
      <c r="AJ765" s="6"/>
      <c r="AK765" s="6"/>
      <c r="AL765" s="6"/>
    </row>
    <row r="766" spans="28:38" ht="15.75" customHeight="1" x14ac:dyDescent="0.25">
      <c r="AB766" s="6"/>
      <c r="AC766" s="6"/>
      <c r="AD766" s="6"/>
      <c r="AE766" s="6"/>
      <c r="AF766" s="6"/>
      <c r="AG766" s="6"/>
      <c r="AH766" s="6"/>
      <c r="AI766" s="6"/>
      <c r="AJ766" s="6"/>
      <c r="AK766" s="6"/>
      <c r="AL766" s="6"/>
    </row>
    <row r="767" spans="28:38" ht="15.75" customHeight="1" x14ac:dyDescent="0.25">
      <c r="AB767" s="6"/>
      <c r="AC767" s="6"/>
      <c r="AD767" s="6"/>
      <c r="AE767" s="6"/>
      <c r="AF767" s="6"/>
      <c r="AG767" s="6"/>
      <c r="AH767" s="6"/>
      <c r="AI767" s="6"/>
      <c r="AJ767" s="6"/>
      <c r="AK767" s="6"/>
      <c r="AL767" s="6"/>
    </row>
    <row r="768" spans="28:38" ht="15.75" customHeight="1" x14ac:dyDescent="0.25">
      <c r="AB768" s="6"/>
      <c r="AC768" s="6"/>
      <c r="AD768" s="6"/>
      <c r="AE768" s="6"/>
      <c r="AF768" s="6"/>
      <c r="AG768" s="6"/>
      <c r="AH768" s="6"/>
      <c r="AI768" s="6"/>
      <c r="AJ768" s="6"/>
      <c r="AK768" s="6"/>
      <c r="AL768" s="6"/>
    </row>
    <row r="769" spans="28:38" ht="15.75" customHeight="1" x14ac:dyDescent="0.25">
      <c r="AB769" s="6"/>
      <c r="AC769" s="6"/>
      <c r="AD769" s="6"/>
      <c r="AE769" s="6"/>
      <c r="AF769" s="6"/>
      <c r="AG769" s="6"/>
      <c r="AH769" s="6"/>
      <c r="AI769" s="6"/>
      <c r="AJ769" s="6"/>
      <c r="AK769" s="6"/>
      <c r="AL769" s="6"/>
    </row>
    <row r="770" spans="28:38" ht="15.75" customHeight="1" x14ac:dyDescent="0.25">
      <c r="AB770" s="6"/>
      <c r="AC770" s="6"/>
      <c r="AD770" s="6"/>
      <c r="AE770" s="6"/>
      <c r="AF770" s="6"/>
      <c r="AG770" s="6"/>
      <c r="AH770" s="6"/>
      <c r="AI770" s="6"/>
      <c r="AJ770" s="6"/>
      <c r="AK770" s="6"/>
      <c r="AL770" s="6"/>
    </row>
    <row r="771" spans="28:38" ht="15.75" customHeight="1" x14ac:dyDescent="0.25">
      <c r="AB771" s="6"/>
      <c r="AC771" s="6"/>
      <c r="AD771" s="6"/>
      <c r="AE771" s="6"/>
      <c r="AF771" s="6"/>
      <c r="AG771" s="6"/>
      <c r="AH771" s="6"/>
      <c r="AI771" s="6"/>
      <c r="AJ771" s="6"/>
      <c r="AK771" s="6"/>
      <c r="AL771" s="6"/>
    </row>
    <row r="772" spans="28:38" ht="15.75" customHeight="1" x14ac:dyDescent="0.25">
      <c r="AB772" s="6"/>
      <c r="AC772" s="6"/>
      <c r="AD772" s="6"/>
      <c r="AE772" s="6"/>
      <c r="AF772" s="6"/>
      <c r="AG772" s="6"/>
      <c r="AH772" s="6"/>
      <c r="AI772" s="6"/>
      <c r="AJ772" s="6"/>
      <c r="AK772" s="6"/>
      <c r="AL772" s="6"/>
    </row>
    <row r="773" spans="28:38" ht="15.75" customHeight="1" x14ac:dyDescent="0.25">
      <c r="AB773" s="6"/>
      <c r="AC773" s="6"/>
      <c r="AD773" s="6"/>
      <c r="AE773" s="6"/>
      <c r="AF773" s="6"/>
      <c r="AG773" s="6"/>
      <c r="AH773" s="6"/>
      <c r="AI773" s="6"/>
      <c r="AJ773" s="6"/>
      <c r="AK773" s="6"/>
      <c r="AL773" s="6"/>
    </row>
    <row r="774" spans="28:38" ht="15.75" customHeight="1" x14ac:dyDescent="0.25">
      <c r="AB774" s="6"/>
      <c r="AC774" s="6"/>
      <c r="AD774" s="6"/>
      <c r="AE774" s="6"/>
      <c r="AF774" s="6"/>
      <c r="AG774" s="6"/>
      <c r="AH774" s="6"/>
      <c r="AI774" s="6"/>
      <c r="AJ774" s="6"/>
      <c r="AK774" s="6"/>
      <c r="AL774" s="6"/>
    </row>
    <row r="775" spans="28:38" ht="15.75" customHeight="1" x14ac:dyDescent="0.25">
      <c r="AB775" s="6"/>
      <c r="AC775" s="6"/>
      <c r="AD775" s="6"/>
      <c r="AE775" s="6"/>
      <c r="AF775" s="6"/>
      <c r="AG775" s="6"/>
      <c r="AH775" s="6"/>
      <c r="AI775" s="6"/>
      <c r="AJ775" s="6"/>
      <c r="AK775" s="6"/>
      <c r="AL775" s="6"/>
    </row>
    <row r="776" spans="28:38" ht="15.75" customHeight="1" x14ac:dyDescent="0.25">
      <c r="AB776" s="6"/>
      <c r="AC776" s="6"/>
      <c r="AD776" s="6"/>
      <c r="AE776" s="6"/>
      <c r="AF776" s="6"/>
      <c r="AG776" s="6"/>
      <c r="AH776" s="6"/>
      <c r="AI776" s="6"/>
      <c r="AJ776" s="6"/>
      <c r="AK776" s="6"/>
      <c r="AL776" s="6"/>
    </row>
    <row r="777" spans="28:38" ht="15.75" customHeight="1" x14ac:dyDescent="0.25">
      <c r="AB777" s="6"/>
      <c r="AC777" s="6"/>
      <c r="AD777" s="6"/>
      <c r="AE777" s="6"/>
      <c r="AF777" s="6"/>
      <c r="AG777" s="6"/>
      <c r="AH777" s="6"/>
      <c r="AI777" s="6"/>
      <c r="AJ777" s="6"/>
      <c r="AK777" s="6"/>
      <c r="AL777" s="6"/>
    </row>
    <row r="778" spans="28:38" ht="15.75" customHeight="1" x14ac:dyDescent="0.25">
      <c r="AB778" s="6"/>
      <c r="AC778" s="6"/>
      <c r="AD778" s="6"/>
      <c r="AE778" s="6"/>
      <c r="AF778" s="6"/>
      <c r="AG778" s="6"/>
      <c r="AH778" s="6"/>
      <c r="AI778" s="6"/>
      <c r="AJ778" s="6"/>
      <c r="AK778" s="6"/>
      <c r="AL778" s="6"/>
    </row>
    <row r="779" spans="28:38" ht="15.75" customHeight="1" x14ac:dyDescent="0.25">
      <c r="AB779" s="6"/>
      <c r="AC779" s="6"/>
      <c r="AD779" s="6"/>
      <c r="AE779" s="6"/>
      <c r="AF779" s="6"/>
      <c r="AG779" s="6"/>
      <c r="AH779" s="6"/>
      <c r="AI779" s="6"/>
      <c r="AJ779" s="6"/>
      <c r="AK779" s="6"/>
      <c r="AL779" s="6"/>
    </row>
    <row r="780" spans="28:38" ht="15.75" customHeight="1" x14ac:dyDescent="0.25">
      <c r="AB780" s="6"/>
      <c r="AC780" s="6"/>
      <c r="AD780" s="6"/>
      <c r="AE780" s="6"/>
      <c r="AF780" s="6"/>
      <c r="AG780" s="6"/>
      <c r="AH780" s="6"/>
      <c r="AI780" s="6"/>
      <c r="AJ780" s="6"/>
      <c r="AK780" s="6"/>
      <c r="AL780" s="6"/>
    </row>
    <row r="781" spans="28:38" ht="15.75" customHeight="1" x14ac:dyDescent="0.25">
      <c r="AB781" s="6"/>
      <c r="AC781" s="6"/>
      <c r="AD781" s="6"/>
      <c r="AE781" s="6"/>
      <c r="AF781" s="6"/>
      <c r="AG781" s="6"/>
      <c r="AH781" s="6"/>
      <c r="AI781" s="6"/>
      <c r="AJ781" s="6"/>
      <c r="AK781" s="6"/>
      <c r="AL781" s="6"/>
    </row>
    <row r="782" spans="28:38" ht="15.75" customHeight="1" x14ac:dyDescent="0.25">
      <c r="AB782" s="6"/>
      <c r="AC782" s="6"/>
      <c r="AD782" s="6"/>
      <c r="AE782" s="6"/>
      <c r="AF782" s="6"/>
      <c r="AG782" s="6"/>
      <c r="AH782" s="6"/>
      <c r="AI782" s="6"/>
      <c r="AJ782" s="6"/>
      <c r="AK782" s="6"/>
      <c r="AL782" s="6"/>
    </row>
    <row r="783" spans="28:38" ht="15.75" customHeight="1" x14ac:dyDescent="0.25">
      <c r="AB783" s="6"/>
      <c r="AC783" s="6"/>
      <c r="AD783" s="6"/>
      <c r="AE783" s="6"/>
      <c r="AF783" s="6"/>
      <c r="AG783" s="6"/>
      <c r="AH783" s="6"/>
      <c r="AI783" s="6"/>
      <c r="AJ783" s="6"/>
      <c r="AK783" s="6"/>
      <c r="AL783" s="6"/>
    </row>
    <row r="784" spans="28:38" ht="15.75" customHeight="1" x14ac:dyDescent="0.25">
      <c r="AB784" s="6"/>
      <c r="AC784" s="6"/>
      <c r="AD784" s="6"/>
      <c r="AE784" s="6"/>
      <c r="AF784" s="6"/>
      <c r="AG784" s="6"/>
      <c r="AH784" s="6"/>
      <c r="AI784" s="6"/>
      <c r="AJ784" s="6"/>
      <c r="AK784" s="6"/>
      <c r="AL784" s="6"/>
    </row>
    <row r="785" spans="28:38" ht="15.75" customHeight="1" x14ac:dyDescent="0.25">
      <c r="AB785" s="6"/>
      <c r="AC785" s="6"/>
      <c r="AD785" s="6"/>
      <c r="AE785" s="6"/>
      <c r="AF785" s="6"/>
      <c r="AG785" s="6"/>
      <c r="AH785" s="6"/>
      <c r="AI785" s="6"/>
      <c r="AJ785" s="6"/>
      <c r="AK785" s="6"/>
      <c r="AL785" s="6"/>
    </row>
    <row r="786" spans="28:38" ht="15.75" customHeight="1" x14ac:dyDescent="0.25">
      <c r="AB786" s="6"/>
      <c r="AC786" s="6"/>
      <c r="AD786" s="6"/>
      <c r="AE786" s="6"/>
      <c r="AF786" s="6"/>
      <c r="AG786" s="6"/>
      <c r="AH786" s="6"/>
      <c r="AI786" s="6"/>
      <c r="AJ786" s="6"/>
      <c r="AK786" s="6"/>
      <c r="AL786" s="6"/>
    </row>
    <row r="787" spans="28:38" ht="15.75" customHeight="1" x14ac:dyDescent="0.25">
      <c r="AB787" s="6"/>
      <c r="AC787" s="6"/>
      <c r="AD787" s="6"/>
      <c r="AE787" s="6"/>
      <c r="AF787" s="6"/>
      <c r="AG787" s="6"/>
      <c r="AH787" s="6"/>
      <c r="AI787" s="6"/>
      <c r="AJ787" s="6"/>
      <c r="AK787" s="6"/>
      <c r="AL787" s="6"/>
    </row>
    <row r="788" spans="28:38" ht="15.75" customHeight="1" x14ac:dyDescent="0.25">
      <c r="AB788" s="6"/>
      <c r="AC788" s="6"/>
      <c r="AD788" s="6"/>
      <c r="AE788" s="6"/>
      <c r="AF788" s="6"/>
      <c r="AG788" s="6"/>
      <c r="AH788" s="6"/>
      <c r="AI788" s="6"/>
      <c r="AJ788" s="6"/>
      <c r="AK788" s="6"/>
      <c r="AL788" s="6"/>
    </row>
    <row r="789" spans="28:38" ht="15.75" customHeight="1" x14ac:dyDescent="0.25">
      <c r="AB789" s="6"/>
      <c r="AC789" s="6"/>
      <c r="AD789" s="6"/>
      <c r="AE789" s="6"/>
      <c r="AF789" s="6"/>
      <c r="AG789" s="6"/>
      <c r="AH789" s="6"/>
      <c r="AI789" s="6"/>
      <c r="AJ789" s="6"/>
      <c r="AK789" s="6"/>
      <c r="AL789" s="6"/>
    </row>
    <row r="790" spans="28:38" ht="15.75" customHeight="1" x14ac:dyDescent="0.25">
      <c r="AB790" s="6"/>
      <c r="AC790" s="6"/>
      <c r="AD790" s="6"/>
      <c r="AE790" s="6"/>
      <c r="AF790" s="6"/>
      <c r="AG790" s="6"/>
      <c r="AH790" s="6"/>
      <c r="AI790" s="6"/>
      <c r="AJ790" s="6"/>
      <c r="AK790" s="6"/>
      <c r="AL790" s="6"/>
    </row>
    <row r="791" spans="28:38" ht="15.75" customHeight="1" x14ac:dyDescent="0.25">
      <c r="AB791" s="6"/>
      <c r="AC791" s="6"/>
      <c r="AD791" s="6"/>
      <c r="AE791" s="6"/>
      <c r="AF791" s="6"/>
      <c r="AG791" s="6"/>
      <c r="AH791" s="6"/>
      <c r="AI791" s="6"/>
      <c r="AJ791" s="6"/>
      <c r="AK791" s="6"/>
      <c r="AL791" s="6"/>
    </row>
    <row r="792" spans="28:38" ht="15.75" customHeight="1" x14ac:dyDescent="0.25">
      <c r="AB792" s="6"/>
      <c r="AC792" s="6"/>
      <c r="AD792" s="6"/>
      <c r="AE792" s="6"/>
      <c r="AF792" s="6"/>
      <c r="AG792" s="6"/>
      <c r="AH792" s="6"/>
      <c r="AI792" s="6"/>
      <c r="AJ792" s="6"/>
      <c r="AK792" s="6"/>
      <c r="AL792" s="6"/>
    </row>
    <row r="793" spans="28:38" ht="15.75" customHeight="1" x14ac:dyDescent="0.25">
      <c r="AB793" s="6"/>
      <c r="AC793" s="6"/>
      <c r="AD793" s="6"/>
      <c r="AE793" s="6"/>
      <c r="AF793" s="6"/>
      <c r="AG793" s="6"/>
      <c r="AH793" s="6"/>
      <c r="AI793" s="6"/>
      <c r="AJ793" s="6"/>
      <c r="AK793" s="6"/>
      <c r="AL793" s="6"/>
    </row>
    <row r="794" spans="28:38" ht="15.75" customHeight="1" x14ac:dyDescent="0.25">
      <c r="AB794" s="6"/>
      <c r="AC794" s="6"/>
      <c r="AD794" s="6"/>
      <c r="AE794" s="6"/>
      <c r="AF794" s="6"/>
      <c r="AG794" s="6"/>
      <c r="AH794" s="6"/>
      <c r="AI794" s="6"/>
      <c r="AJ794" s="6"/>
      <c r="AK794" s="6"/>
      <c r="AL794" s="6"/>
    </row>
    <row r="795" spans="28:38" ht="15.75" customHeight="1" x14ac:dyDescent="0.25">
      <c r="AB795" s="6"/>
      <c r="AC795" s="6"/>
      <c r="AD795" s="6"/>
      <c r="AE795" s="6"/>
      <c r="AF795" s="6"/>
      <c r="AG795" s="6"/>
      <c r="AH795" s="6"/>
      <c r="AI795" s="6"/>
      <c r="AJ795" s="6"/>
      <c r="AK795" s="6"/>
      <c r="AL795" s="6"/>
    </row>
    <row r="796" spans="28:38" ht="15.75" customHeight="1" x14ac:dyDescent="0.25">
      <c r="AB796" s="6"/>
      <c r="AC796" s="6"/>
      <c r="AD796" s="6"/>
      <c r="AE796" s="6"/>
      <c r="AF796" s="6"/>
      <c r="AG796" s="6"/>
      <c r="AH796" s="6"/>
      <c r="AI796" s="6"/>
      <c r="AJ796" s="6"/>
      <c r="AK796" s="6"/>
      <c r="AL796" s="6"/>
    </row>
    <row r="797" spans="28:38" ht="15.75" customHeight="1" x14ac:dyDescent="0.25">
      <c r="AB797" s="6"/>
      <c r="AC797" s="6"/>
      <c r="AD797" s="6"/>
      <c r="AE797" s="6"/>
      <c r="AF797" s="6"/>
      <c r="AG797" s="6"/>
      <c r="AH797" s="6"/>
      <c r="AI797" s="6"/>
      <c r="AJ797" s="6"/>
      <c r="AK797" s="6"/>
      <c r="AL797" s="6"/>
    </row>
    <row r="798" spans="28:38" ht="15.75" customHeight="1" x14ac:dyDescent="0.25">
      <c r="AB798" s="6"/>
      <c r="AC798" s="6"/>
      <c r="AD798" s="6"/>
      <c r="AE798" s="6"/>
      <c r="AF798" s="6"/>
      <c r="AG798" s="6"/>
      <c r="AH798" s="6"/>
      <c r="AI798" s="6"/>
      <c r="AJ798" s="6"/>
      <c r="AK798" s="6"/>
      <c r="AL798" s="6"/>
    </row>
    <row r="799" spans="28:38" ht="15.75" customHeight="1" x14ac:dyDescent="0.25">
      <c r="AB799" s="6"/>
      <c r="AC799" s="6"/>
      <c r="AD799" s="6"/>
      <c r="AE799" s="6"/>
      <c r="AF799" s="6"/>
      <c r="AG799" s="6"/>
      <c r="AH799" s="6"/>
      <c r="AI799" s="6"/>
      <c r="AJ799" s="6"/>
      <c r="AK799" s="6"/>
      <c r="AL799" s="6"/>
    </row>
    <row r="800" spans="28:38" ht="15.75" customHeight="1" x14ac:dyDescent="0.25">
      <c r="AB800" s="6"/>
      <c r="AC800" s="6"/>
      <c r="AD800" s="6"/>
      <c r="AE800" s="6"/>
      <c r="AF800" s="6"/>
      <c r="AG800" s="6"/>
      <c r="AH800" s="6"/>
      <c r="AI800" s="6"/>
      <c r="AJ800" s="6"/>
      <c r="AK800" s="6"/>
      <c r="AL800" s="6"/>
    </row>
    <row r="801" spans="28:38" ht="15.75" customHeight="1" x14ac:dyDescent="0.25">
      <c r="AB801" s="6"/>
      <c r="AC801" s="6"/>
      <c r="AD801" s="6"/>
      <c r="AE801" s="6"/>
      <c r="AF801" s="6"/>
      <c r="AG801" s="6"/>
      <c r="AH801" s="6"/>
      <c r="AI801" s="6"/>
      <c r="AJ801" s="6"/>
      <c r="AK801" s="6"/>
      <c r="AL801" s="6"/>
    </row>
    <row r="802" spans="28:38" ht="15.75" customHeight="1" x14ac:dyDescent="0.25">
      <c r="AB802" s="6"/>
      <c r="AC802" s="6"/>
      <c r="AD802" s="6"/>
      <c r="AE802" s="6"/>
      <c r="AF802" s="6"/>
      <c r="AG802" s="6"/>
      <c r="AH802" s="6"/>
      <c r="AI802" s="6"/>
      <c r="AJ802" s="6"/>
      <c r="AK802" s="6"/>
      <c r="AL802" s="6"/>
    </row>
    <row r="803" spans="28:38" ht="15.75" customHeight="1" x14ac:dyDescent="0.25">
      <c r="AB803" s="6"/>
      <c r="AC803" s="6"/>
      <c r="AD803" s="6"/>
      <c r="AE803" s="6"/>
      <c r="AF803" s="6"/>
      <c r="AG803" s="6"/>
      <c r="AH803" s="6"/>
      <c r="AI803" s="6"/>
      <c r="AJ803" s="6"/>
      <c r="AK803" s="6"/>
      <c r="AL803" s="6"/>
    </row>
    <row r="804" spans="28:38" ht="15.75" customHeight="1" x14ac:dyDescent="0.25">
      <c r="AB804" s="6"/>
      <c r="AC804" s="6"/>
      <c r="AD804" s="6"/>
      <c r="AE804" s="6"/>
      <c r="AF804" s="6"/>
      <c r="AG804" s="6"/>
      <c r="AH804" s="6"/>
      <c r="AI804" s="6"/>
      <c r="AJ804" s="6"/>
      <c r="AK804" s="6"/>
      <c r="AL804" s="6"/>
    </row>
    <row r="805" spans="28:38" ht="15.75" customHeight="1" x14ac:dyDescent="0.25">
      <c r="AB805" s="6"/>
      <c r="AC805" s="6"/>
      <c r="AD805" s="6"/>
      <c r="AE805" s="6"/>
      <c r="AF805" s="6"/>
      <c r="AG805" s="6"/>
      <c r="AH805" s="6"/>
      <c r="AI805" s="6"/>
      <c r="AJ805" s="6"/>
      <c r="AK805" s="6"/>
      <c r="AL805" s="6"/>
    </row>
    <row r="806" spans="28:38" ht="15.75" customHeight="1" x14ac:dyDescent="0.25">
      <c r="AB806" s="6"/>
      <c r="AC806" s="6"/>
      <c r="AD806" s="6"/>
      <c r="AE806" s="6"/>
      <c r="AF806" s="6"/>
      <c r="AG806" s="6"/>
      <c r="AH806" s="6"/>
      <c r="AI806" s="6"/>
      <c r="AJ806" s="6"/>
      <c r="AK806" s="6"/>
      <c r="AL806" s="6"/>
    </row>
    <row r="807" spans="28:38" ht="15.75" customHeight="1" x14ac:dyDescent="0.25">
      <c r="AB807" s="6"/>
      <c r="AC807" s="6"/>
      <c r="AD807" s="6"/>
      <c r="AE807" s="6"/>
      <c r="AF807" s="6"/>
      <c r="AG807" s="6"/>
      <c r="AH807" s="6"/>
      <c r="AI807" s="6"/>
      <c r="AJ807" s="6"/>
      <c r="AK807" s="6"/>
      <c r="AL807" s="6"/>
    </row>
    <row r="808" spans="28:38" ht="15.75" customHeight="1" x14ac:dyDescent="0.25">
      <c r="AB808" s="6"/>
      <c r="AC808" s="6"/>
      <c r="AD808" s="6"/>
      <c r="AE808" s="6"/>
      <c r="AF808" s="6"/>
      <c r="AG808" s="6"/>
      <c r="AH808" s="6"/>
      <c r="AI808" s="6"/>
      <c r="AJ808" s="6"/>
      <c r="AK808" s="6"/>
      <c r="AL808" s="6"/>
    </row>
    <row r="809" spans="28:38" ht="15.75" customHeight="1" x14ac:dyDescent="0.25">
      <c r="AB809" s="6"/>
      <c r="AC809" s="6"/>
      <c r="AD809" s="6"/>
      <c r="AE809" s="6"/>
      <c r="AF809" s="6"/>
      <c r="AG809" s="6"/>
      <c r="AH809" s="6"/>
      <c r="AI809" s="6"/>
      <c r="AJ809" s="6"/>
      <c r="AK809" s="6"/>
      <c r="AL809" s="6"/>
    </row>
    <row r="810" spans="28:38" ht="15.75" customHeight="1" x14ac:dyDescent="0.25">
      <c r="AB810" s="6"/>
      <c r="AC810" s="6"/>
      <c r="AD810" s="6"/>
      <c r="AE810" s="6"/>
      <c r="AF810" s="6"/>
      <c r="AG810" s="6"/>
      <c r="AH810" s="6"/>
      <c r="AI810" s="6"/>
      <c r="AJ810" s="6"/>
      <c r="AK810" s="6"/>
      <c r="AL810" s="6"/>
    </row>
    <row r="811" spans="28:38" ht="15.75" customHeight="1" x14ac:dyDescent="0.25">
      <c r="AB811" s="6"/>
      <c r="AC811" s="6"/>
      <c r="AD811" s="6"/>
      <c r="AE811" s="6"/>
      <c r="AF811" s="6"/>
      <c r="AG811" s="6"/>
      <c r="AH811" s="6"/>
      <c r="AI811" s="6"/>
      <c r="AJ811" s="6"/>
      <c r="AK811" s="6"/>
      <c r="AL811" s="6"/>
    </row>
    <row r="812" spans="28:38" ht="15.75" customHeight="1" x14ac:dyDescent="0.25">
      <c r="AB812" s="6"/>
      <c r="AC812" s="6"/>
      <c r="AD812" s="6"/>
      <c r="AE812" s="6"/>
      <c r="AF812" s="6"/>
      <c r="AG812" s="6"/>
      <c r="AH812" s="6"/>
      <c r="AI812" s="6"/>
      <c r="AJ812" s="6"/>
      <c r="AK812" s="6"/>
      <c r="AL812" s="6"/>
    </row>
    <row r="813" spans="28:38" ht="15.75" customHeight="1" x14ac:dyDescent="0.25">
      <c r="AB813" s="6"/>
      <c r="AC813" s="6"/>
      <c r="AD813" s="6"/>
      <c r="AE813" s="6"/>
      <c r="AF813" s="6"/>
      <c r="AG813" s="6"/>
      <c r="AH813" s="6"/>
      <c r="AI813" s="6"/>
      <c r="AJ813" s="6"/>
      <c r="AK813" s="6"/>
      <c r="AL813" s="6"/>
    </row>
    <row r="814" spans="28:38" ht="15.75" customHeight="1" x14ac:dyDescent="0.25">
      <c r="AB814" s="6"/>
      <c r="AC814" s="6"/>
      <c r="AD814" s="6"/>
      <c r="AE814" s="6"/>
      <c r="AF814" s="6"/>
      <c r="AG814" s="6"/>
      <c r="AH814" s="6"/>
      <c r="AI814" s="6"/>
      <c r="AJ814" s="6"/>
      <c r="AK814" s="6"/>
      <c r="AL814" s="6"/>
    </row>
    <row r="815" spans="28:38" ht="15.75" customHeight="1" x14ac:dyDescent="0.25">
      <c r="AB815" s="6"/>
      <c r="AC815" s="6"/>
      <c r="AD815" s="6"/>
      <c r="AE815" s="6"/>
      <c r="AF815" s="6"/>
      <c r="AG815" s="6"/>
      <c r="AH815" s="6"/>
      <c r="AI815" s="6"/>
      <c r="AJ815" s="6"/>
      <c r="AK815" s="6"/>
      <c r="AL815" s="6"/>
    </row>
    <row r="816" spans="28:38" ht="15.75" customHeight="1" x14ac:dyDescent="0.25">
      <c r="AB816" s="6"/>
      <c r="AC816" s="6"/>
      <c r="AD816" s="6"/>
      <c r="AE816" s="6"/>
      <c r="AF816" s="6"/>
      <c r="AG816" s="6"/>
      <c r="AH816" s="6"/>
      <c r="AI816" s="6"/>
      <c r="AJ816" s="6"/>
      <c r="AK816" s="6"/>
      <c r="AL816" s="6"/>
    </row>
    <row r="817" spans="28:38" ht="15.75" customHeight="1" x14ac:dyDescent="0.25">
      <c r="AB817" s="6"/>
      <c r="AC817" s="6"/>
      <c r="AD817" s="6"/>
      <c r="AE817" s="6"/>
      <c r="AF817" s="6"/>
      <c r="AG817" s="6"/>
      <c r="AH817" s="6"/>
      <c r="AI817" s="6"/>
      <c r="AJ817" s="6"/>
      <c r="AK817" s="6"/>
      <c r="AL817" s="6"/>
    </row>
    <row r="818" spans="28:38" ht="15.75" customHeight="1" x14ac:dyDescent="0.25">
      <c r="AB818" s="6"/>
      <c r="AC818" s="6"/>
      <c r="AD818" s="6"/>
      <c r="AE818" s="6"/>
      <c r="AF818" s="6"/>
      <c r="AG818" s="6"/>
      <c r="AH818" s="6"/>
      <c r="AI818" s="6"/>
      <c r="AJ818" s="6"/>
      <c r="AK818" s="6"/>
      <c r="AL818" s="6"/>
    </row>
    <row r="819" spans="28:38" ht="15.75" customHeight="1" x14ac:dyDescent="0.25">
      <c r="AB819" s="6"/>
      <c r="AC819" s="6"/>
      <c r="AD819" s="6"/>
      <c r="AE819" s="6"/>
      <c r="AF819" s="6"/>
      <c r="AG819" s="6"/>
      <c r="AH819" s="6"/>
      <c r="AI819" s="6"/>
      <c r="AJ819" s="6"/>
      <c r="AK819" s="6"/>
      <c r="AL819" s="6"/>
    </row>
    <row r="820" spans="28:38" ht="15.75" customHeight="1" x14ac:dyDescent="0.25">
      <c r="AB820" s="6"/>
      <c r="AC820" s="6"/>
      <c r="AD820" s="6"/>
      <c r="AE820" s="6"/>
      <c r="AF820" s="6"/>
      <c r="AG820" s="6"/>
      <c r="AH820" s="6"/>
      <c r="AI820" s="6"/>
      <c r="AJ820" s="6"/>
      <c r="AK820" s="6"/>
      <c r="AL820" s="6"/>
    </row>
    <row r="821" spans="28:38" ht="15.75" customHeight="1" x14ac:dyDescent="0.25">
      <c r="AB821" s="6"/>
      <c r="AC821" s="6"/>
      <c r="AD821" s="6"/>
      <c r="AE821" s="6"/>
      <c r="AF821" s="6"/>
      <c r="AG821" s="6"/>
      <c r="AH821" s="6"/>
      <c r="AI821" s="6"/>
      <c r="AJ821" s="6"/>
      <c r="AK821" s="6"/>
      <c r="AL821" s="6"/>
    </row>
    <row r="822" spans="28:38" ht="15.75" customHeight="1" x14ac:dyDescent="0.25">
      <c r="AB822" s="6"/>
      <c r="AC822" s="6"/>
      <c r="AD822" s="6"/>
      <c r="AE822" s="6"/>
      <c r="AF822" s="6"/>
      <c r="AG822" s="6"/>
      <c r="AH822" s="6"/>
      <c r="AI822" s="6"/>
      <c r="AJ822" s="6"/>
      <c r="AK822" s="6"/>
      <c r="AL822" s="6"/>
    </row>
    <row r="823" spans="28:38" ht="15.75" customHeight="1" x14ac:dyDescent="0.25">
      <c r="AB823" s="6"/>
      <c r="AC823" s="6"/>
      <c r="AD823" s="6"/>
      <c r="AE823" s="6"/>
      <c r="AF823" s="6"/>
      <c r="AG823" s="6"/>
      <c r="AH823" s="6"/>
      <c r="AI823" s="6"/>
      <c r="AJ823" s="6"/>
      <c r="AK823" s="6"/>
      <c r="AL823" s="6"/>
    </row>
    <row r="824" spans="28:38" ht="15.75" customHeight="1" x14ac:dyDescent="0.25">
      <c r="AB824" s="6"/>
      <c r="AC824" s="6"/>
      <c r="AD824" s="6"/>
      <c r="AE824" s="6"/>
      <c r="AF824" s="6"/>
      <c r="AG824" s="6"/>
      <c r="AH824" s="6"/>
      <c r="AI824" s="6"/>
      <c r="AJ824" s="6"/>
      <c r="AK824" s="6"/>
      <c r="AL824" s="6"/>
    </row>
    <row r="825" spans="28:38" ht="15.75" customHeight="1" x14ac:dyDescent="0.25">
      <c r="AB825" s="6"/>
      <c r="AC825" s="6"/>
      <c r="AD825" s="6"/>
      <c r="AE825" s="6"/>
      <c r="AF825" s="6"/>
      <c r="AG825" s="6"/>
      <c r="AH825" s="6"/>
      <c r="AI825" s="6"/>
      <c r="AJ825" s="6"/>
      <c r="AK825" s="6"/>
      <c r="AL825" s="6"/>
    </row>
    <row r="826" spans="28:38" ht="15.75" customHeight="1" x14ac:dyDescent="0.25">
      <c r="AB826" s="6"/>
      <c r="AC826" s="6"/>
      <c r="AD826" s="6"/>
      <c r="AE826" s="6"/>
      <c r="AF826" s="6"/>
      <c r="AG826" s="6"/>
      <c r="AH826" s="6"/>
      <c r="AI826" s="6"/>
      <c r="AJ826" s="6"/>
      <c r="AK826" s="6"/>
      <c r="AL826" s="6"/>
    </row>
    <row r="827" spans="28:38" ht="15.75" customHeight="1" x14ac:dyDescent="0.25">
      <c r="AB827" s="6"/>
      <c r="AC827" s="6"/>
      <c r="AD827" s="6"/>
      <c r="AE827" s="6"/>
      <c r="AF827" s="6"/>
      <c r="AG827" s="6"/>
      <c r="AH827" s="6"/>
      <c r="AI827" s="6"/>
      <c r="AJ827" s="6"/>
      <c r="AK827" s="6"/>
      <c r="AL827" s="6"/>
    </row>
    <row r="828" spans="28:38" ht="15.75" customHeight="1" x14ac:dyDescent="0.25">
      <c r="AB828" s="6"/>
      <c r="AC828" s="6"/>
      <c r="AD828" s="6"/>
      <c r="AE828" s="6"/>
      <c r="AF828" s="6"/>
      <c r="AG828" s="6"/>
      <c r="AH828" s="6"/>
      <c r="AI828" s="6"/>
      <c r="AJ828" s="6"/>
      <c r="AK828" s="6"/>
      <c r="AL828" s="6"/>
    </row>
    <row r="829" spans="28:38" ht="15.75" customHeight="1" x14ac:dyDescent="0.25">
      <c r="AB829" s="6"/>
      <c r="AC829" s="6"/>
      <c r="AD829" s="6"/>
      <c r="AE829" s="6"/>
      <c r="AF829" s="6"/>
      <c r="AG829" s="6"/>
      <c r="AH829" s="6"/>
      <c r="AI829" s="6"/>
      <c r="AJ829" s="6"/>
      <c r="AK829" s="6"/>
      <c r="AL829" s="6"/>
    </row>
    <row r="830" spans="28:38" ht="15.75" customHeight="1" x14ac:dyDescent="0.25">
      <c r="AB830" s="6"/>
      <c r="AC830" s="6"/>
      <c r="AD830" s="6"/>
      <c r="AE830" s="6"/>
      <c r="AF830" s="6"/>
      <c r="AG830" s="6"/>
      <c r="AH830" s="6"/>
      <c r="AI830" s="6"/>
      <c r="AJ830" s="6"/>
      <c r="AK830" s="6"/>
      <c r="AL830" s="6"/>
    </row>
    <row r="831" spans="28:38" ht="15.75" customHeight="1" x14ac:dyDescent="0.25">
      <c r="AB831" s="6"/>
      <c r="AC831" s="6"/>
      <c r="AD831" s="6"/>
      <c r="AE831" s="6"/>
      <c r="AF831" s="6"/>
      <c r="AG831" s="6"/>
      <c r="AH831" s="6"/>
      <c r="AI831" s="6"/>
      <c r="AJ831" s="6"/>
      <c r="AK831" s="6"/>
      <c r="AL831" s="6"/>
    </row>
    <row r="832" spans="28:38" ht="15.75" customHeight="1" x14ac:dyDescent="0.25">
      <c r="AB832" s="6"/>
      <c r="AC832" s="6"/>
      <c r="AD832" s="6"/>
      <c r="AE832" s="6"/>
      <c r="AF832" s="6"/>
      <c r="AG832" s="6"/>
      <c r="AH832" s="6"/>
      <c r="AI832" s="6"/>
      <c r="AJ832" s="6"/>
      <c r="AK832" s="6"/>
      <c r="AL832" s="6"/>
    </row>
    <row r="833" spans="28:38" ht="15.75" customHeight="1" x14ac:dyDescent="0.25">
      <c r="AB833" s="6"/>
      <c r="AC833" s="6"/>
      <c r="AD833" s="6"/>
      <c r="AE833" s="6"/>
      <c r="AF833" s="6"/>
      <c r="AG833" s="6"/>
      <c r="AH833" s="6"/>
      <c r="AI833" s="6"/>
      <c r="AJ833" s="6"/>
      <c r="AK833" s="6"/>
      <c r="AL833" s="6"/>
    </row>
    <row r="834" spans="28:38" ht="15.75" customHeight="1" x14ac:dyDescent="0.25">
      <c r="AB834" s="6"/>
      <c r="AC834" s="6"/>
      <c r="AD834" s="6"/>
      <c r="AE834" s="6"/>
      <c r="AF834" s="6"/>
      <c r="AG834" s="6"/>
      <c r="AH834" s="6"/>
      <c r="AI834" s="6"/>
      <c r="AJ834" s="6"/>
      <c r="AK834" s="6"/>
      <c r="AL834" s="6"/>
    </row>
    <row r="835" spans="28:38" ht="15.75" customHeight="1" x14ac:dyDescent="0.25">
      <c r="AB835" s="6"/>
      <c r="AC835" s="6"/>
      <c r="AD835" s="6"/>
      <c r="AE835" s="6"/>
      <c r="AF835" s="6"/>
      <c r="AG835" s="6"/>
      <c r="AH835" s="6"/>
      <c r="AI835" s="6"/>
      <c r="AJ835" s="6"/>
      <c r="AK835" s="6"/>
      <c r="AL835" s="6"/>
    </row>
    <row r="836" spans="28:38" ht="15.75" customHeight="1" x14ac:dyDescent="0.25">
      <c r="AB836" s="6"/>
      <c r="AC836" s="6"/>
      <c r="AD836" s="6"/>
      <c r="AE836" s="6"/>
      <c r="AF836" s="6"/>
      <c r="AG836" s="6"/>
      <c r="AH836" s="6"/>
      <c r="AI836" s="6"/>
      <c r="AJ836" s="6"/>
      <c r="AK836" s="6"/>
      <c r="AL836" s="6"/>
    </row>
    <row r="837" spans="28:38" ht="15.75" customHeight="1" x14ac:dyDescent="0.25">
      <c r="AB837" s="6"/>
      <c r="AC837" s="6"/>
      <c r="AD837" s="6"/>
      <c r="AE837" s="6"/>
      <c r="AF837" s="6"/>
      <c r="AG837" s="6"/>
      <c r="AH837" s="6"/>
      <c r="AI837" s="6"/>
      <c r="AJ837" s="6"/>
      <c r="AK837" s="6"/>
      <c r="AL837" s="6"/>
    </row>
    <row r="838" spans="28:38" ht="15.75" customHeight="1" x14ac:dyDescent="0.25">
      <c r="AB838" s="6"/>
      <c r="AC838" s="6"/>
      <c r="AD838" s="6"/>
      <c r="AE838" s="6"/>
      <c r="AF838" s="6"/>
      <c r="AG838" s="6"/>
      <c r="AH838" s="6"/>
      <c r="AI838" s="6"/>
      <c r="AJ838" s="6"/>
      <c r="AK838" s="6"/>
      <c r="AL838" s="6"/>
    </row>
    <row r="839" spans="28:38" ht="15.75" customHeight="1" x14ac:dyDescent="0.25">
      <c r="AB839" s="6"/>
      <c r="AC839" s="6"/>
      <c r="AD839" s="6"/>
      <c r="AE839" s="6"/>
      <c r="AF839" s="6"/>
      <c r="AG839" s="6"/>
      <c r="AH839" s="6"/>
      <c r="AI839" s="6"/>
      <c r="AJ839" s="6"/>
      <c r="AK839" s="6"/>
      <c r="AL839" s="6"/>
    </row>
    <row r="840" spans="28:38" ht="15.75" customHeight="1" x14ac:dyDescent="0.25">
      <c r="AB840" s="6"/>
      <c r="AC840" s="6"/>
      <c r="AD840" s="6"/>
      <c r="AE840" s="6"/>
      <c r="AF840" s="6"/>
      <c r="AG840" s="6"/>
      <c r="AH840" s="6"/>
      <c r="AI840" s="6"/>
      <c r="AJ840" s="6"/>
      <c r="AK840" s="6"/>
      <c r="AL840" s="6"/>
    </row>
    <row r="841" spans="28:38" ht="15.75" customHeight="1" x14ac:dyDescent="0.25">
      <c r="AB841" s="6"/>
      <c r="AC841" s="6"/>
      <c r="AD841" s="6"/>
      <c r="AE841" s="6"/>
      <c r="AF841" s="6"/>
      <c r="AG841" s="6"/>
      <c r="AH841" s="6"/>
      <c r="AI841" s="6"/>
      <c r="AJ841" s="6"/>
      <c r="AK841" s="6"/>
      <c r="AL841" s="6"/>
    </row>
    <row r="842" spans="28:38" ht="15.75" customHeight="1" x14ac:dyDescent="0.25">
      <c r="AB842" s="6"/>
      <c r="AC842" s="6"/>
      <c r="AD842" s="6"/>
      <c r="AE842" s="6"/>
      <c r="AF842" s="6"/>
      <c r="AG842" s="6"/>
      <c r="AH842" s="6"/>
      <c r="AI842" s="6"/>
      <c r="AJ842" s="6"/>
      <c r="AK842" s="6"/>
      <c r="AL842" s="6"/>
    </row>
    <row r="843" spans="28:38" ht="15.75" customHeight="1" x14ac:dyDescent="0.25">
      <c r="AB843" s="6"/>
      <c r="AC843" s="6"/>
      <c r="AD843" s="6"/>
      <c r="AE843" s="6"/>
      <c r="AF843" s="6"/>
      <c r="AG843" s="6"/>
      <c r="AH843" s="6"/>
      <c r="AI843" s="6"/>
      <c r="AJ843" s="6"/>
      <c r="AK843" s="6"/>
      <c r="AL843" s="6"/>
    </row>
    <row r="844" spans="28:38" ht="15.75" customHeight="1" x14ac:dyDescent="0.25">
      <c r="AB844" s="6"/>
      <c r="AC844" s="6"/>
      <c r="AD844" s="6"/>
      <c r="AE844" s="6"/>
      <c r="AF844" s="6"/>
      <c r="AG844" s="6"/>
      <c r="AH844" s="6"/>
      <c r="AI844" s="6"/>
      <c r="AJ844" s="6"/>
      <c r="AK844" s="6"/>
      <c r="AL844" s="6"/>
    </row>
    <row r="845" spans="28:38" ht="15.75" customHeight="1" x14ac:dyDescent="0.25">
      <c r="AB845" s="6"/>
      <c r="AC845" s="6"/>
      <c r="AD845" s="6"/>
      <c r="AE845" s="6"/>
      <c r="AF845" s="6"/>
      <c r="AG845" s="6"/>
      <c r="AH845" s="6"/>
      <c r="AI845" s="6"/>
      <c r="AJ845" s="6"/>
      <c r="AK845" s="6"/>
      <c r="AL845" s="6"/>
    </row>
    <row r="846" spans="28:38" ht="15.75" customHeight="1" x14ac:dyDescent="0.25">
      <c r="AB846" s="6"/>
      <c r="AC846" s="6"/>
      <c r="AD846" s="6"/>
      <c r="AE846" s="6"/>
      <c r="AF846" s="6"/>
      <c r="AG846" s="6"/>
      <c r="AH846" s="6"/>
      <c r="AI846" s="6"/>
      <c r="AJ846" s="6"/>
      <c r="AK846" s="6"/>
      <c r="AL846" s="6"/>
    </row>
    <row r="847" spans="28:38" ht="15.75" customHeight="1" x14ac:dyDescent="0.25">
      <c r="AB847" s="6"/>
      <c r="AC847" s="6"/>
      <c r="AD847" s="6"/>
      <c r="AE847" s="6"/>
      <c r="AF847" s="6"/>
      <c r="AG847" s="6"/>
      <c r="AH847" s="6"/>
      <c r="AI847" s="6"/>
      <c r="AJ847" s="6"/>
      <c r="AK847" s="6"/>
      <c r="AL847" s="6"/>
    </row>
    <row r="848" spans="28:38" ht="15.75" customHeight="1" x14ac:dyDescent="0.25">
      <c r="AB848" s="6"/>
      <c r="AC848" s="6"/>
      <c r="AD848" s="6"/>
      <c r="AE848" s="6"/>
      <c r="AF848" s="6"/>
      <c r="AG848" s="6"/>
      <c r="AH848" s="6"/>
      <c r="AI848" s="6"/>
      <c r="AJ848" s="6"/>
      <c r="AK848" s="6"/>
      <c r="AL848" s="6"/>
    </row>
    <row r="849" spans="28:38" ht="15.75" customHeight="1" x14ac:dyDescent="0.25">
      <c r="AB849" s="6"/>
      <c r="AC849" s="6"/>
      <c r="AD849" s="6"/>
      <c r="AE849" s="6"/>
      <c r="AF849" s="6"/>
      <c r="AG849" s="6"/>
      <c r="AH849" s="6"/>
      <c r="AI849" s="6"/>
      <c r="AJ849" s="6"/>
      <c r="AK849" s="6"/>
      <c r="AL849" s="6"/>
    </row>
    <row r="850" spans="28:38" ht="15.75" customHeight="1" x14ac:dyDescent="0.25">
      <c r="AB850" s="6"/>
      <c r="AC850" s="6"/>
      <c r="AD850" s="6"/>
      <c r="AE850" s="6"/>
      <c r="AF850" s="6"/>
      <c r="AG850" s="6"/>
      <c r="AH850" s="6"/>
      <c r="AI850" s="6"/>
      <c r="AJ850" s="6"/>
      <c r="AK850" s="6"/>
      <c r="AL850" s="6"/>
    </row>
    <row r="851" spans="28:38" ht="15.75" customHeight="1" x14ac:dyDescent="0.25">
      <c r="AB851" s="6"/>
      <c r="AC851" s="6"/>
      <c r="AD851" s="6"/>
      <c r="AE851" s="6"/>
      <c r="AF851" s="6"/>
      <c r="AG851" s="6"/>
      <c r="AH851" s="6"/>
      <c r="AI851" s="6"/>
      <c r="AJ851" s="6"/>
      <c r="AK851" s="6"/>
      <c r="AL851" s="6"/>
    </row>
    <row r="852" spans="28:38" ht="15.75" customHeight="1" x14ac:dyDescent="0.25">
      <c r="AB852" s="6"/>
      <c r="AC852" s="6"/>
      <c r="AD852" s="6"/>
      <c r="AE852" s="6"/>
      <c r="AF852" s="6"/>
      <c r="AG852" s="6"/>
      <c r="AH852" s="6"/>
      <c r="AI852" s="6"/>
      <c r="AJ852" s="6"/>
      <c r="AK852" s="6"/>
      <c r="AL852" s="6"/>
    </row>
    <row r="853" spans="28:38" ht="15.75" customHeight="1" x14ac:dyDescent="0.25">
      <c r="AB853" s="6"/>
      <c r="AC853" s="6"/>
      <c r="AD853" s="6"/>
      <c r="AE853" s="6"/>
      <c r="AF853" s="6"/>
      <c r="AG853" s="6"/>
      <c r="AH853" s="6"/>
      <c r="AI853" s="6"/>
      <c r="AJ853" s="6"/>
      <c r="AK853" s="6"/>
      <c r="AL853" s="6"/>
    </row>
    <row r="854" spans="28:38" ht="15.75" customHeight="1" x14ac:dyDescent="0.25">
      <c r="AB854" s="6"/>
      <c r="AC854" s="6"/>
      <c r="AD854" s="6"/>
      <c r="AE854" s="6"/>
      <c r="AF854" s="6"/>
      <c r="AG854" s="6"/>
      <c r="AH854" s="6"/>
      <c r="AI854" s="6"/>
      <c r="AJ854" s="6"/>
      <c r="AK854" s="6"/>
      <c r="AL854" s="6"/>
    </row>
    <row r="855" spans="28:38" ht="15.75" customHeight="1" x14ac:dyDescent="0.25">
      <c r="AB855" s="6"/>
      <c r="AC855" s="6"/>
      <c r="AD855" s="6"/>
      <c r="AE855" s="6"/>
      <c r="AF855" s="6"/>
      <c r="AG855" s="6"/>
      <c r="AH855" s="6"/>
      <c r="AI855" s="6"/>
      <c r="AJ855" s="6"/>
      <c r="AK855" s="6"/>
      <c r="AL855" s="6"/>
    </row>
    <row r="856" spans="28:38" ht="15.75" customHeight="1" x14ac:dyDescent="0.25">
      <c r="AB856" s="6"/>
      <c r="AC856" s="6"/>
      <c r="AD856" s="6"/>
      <c r="AE856" s="6"/>
      <c r="AF856" s="6"/>
      <c r="AG856" s="6"/>
      <c r="AH856" s="6"/>
      <c r="AI856" s="6"/>
      <c r="AJ856" s="6"/>
      <c r="AK856" s="6"/>
      <c r="AL856" s="6"/>
    </row>
    <row r="857" spans="28:38" ht="15.75" customHeight="1" x14ac:dyDescent="0.25">
      <c r="AB857" s="6"/>
      <c r="AC857" s="6"/>
      <c r="AD857" s="6"/>
      <c r="AE857" s="6"/>
      <c r="AF857" s="6"/>
      <c r="AG857" s="6"/>
      <c r="AH857" s="6"/>
      <c r="AI857" s="6"/>
      <c r="AJ857" s="6"/>
      <c r="AK857" s="6"/>
      <c r="AL857" s="6"/>
    </row>
    <row r="858" spans="28:38" ht="15.75" customHeight="1" x14ac:dyDescent="0.25">
      <c r="AB858" s="6"/>
      <c r="AC858" s="6"/>
      <c r="AD858" s="6"/>
      <c r="AE858" s="6"/>
      <c r="AF858" s="6"/>
      <c r="AG858" s="6"/>
      <c r="AH858" s="6"/>
      <c r="AI858" s="6"/>
      <c r="AJ858" s="6"/>
      <c r="AK858" s="6"/>
      <c r="AL858" s="6"/>
    </row>
    <row r="859" spans="28:38" ht="15.75" customHeight="1" x14ac:dyDescent="0.25">
      <c r="AB859" s="6"/>
      <c r="AC859" s="6"/>
      <c r="AD859" s="6"/>
      <c r="AE859" s="6"/>
      <c r="AF859" s="6"/>
      <c r="AG859" s="6"/>
      <c r="AH859" s="6"/>
      <c r="AI859" s="6"/>
      <c r="AJ859" s="6"/>
      <c r="AK859" s="6"/>
      <c r="AL859" s="6"/>
    </row>
    <row r="860" spans="28:38" ht="15.75" customHeight="1" x14ac:dyDescent="0.25">
      <c r="AB860" s="6"/>
      <c r="AC860" s="6"/>
      <c r="AD860" s="6"/>
      <c r="AE860" s="6"/>
      <c r="AF860" s="6"/>
      <c r="AG860" s="6"/>
      <c r="AH860" s="6"/>
      <c r="AI860" s="6"/>
      <c r="AJ860" s="6"/>
      <c r="AK860" s="6"/>
      <c r="AL860" s="6"/>
    </row>
    <row r="861" spans="28:38" ht="15.75" customHeight="1" x14ac:dyDescent="0.25">
      <c r="AB861" s="6"/>
      <c r="AC861" s="6"/>
      <c r="AD861" s="6"/>
      <c r="AE861" s="6"/>
      <c r="AF861" s="6"/>
      <c r="AG861" s="6"/>
      <c r="AH861" s="6"/>
      <c r="AI861" s="6"/>
      <c r="AJ861" s="6"/>
      <c r="AK861" s="6"/>
      <c r="AL861" s="6"/>
    </row>
    <row r="862" spans="28:38" ht="15.75" customHeight="1" x14ac:dyDescent="0.25">
      <c r="AB862" s="6"/>
      <c r="AC862" s="6"/>
      <c r="AD862" s="6"/>
      <c r="AE862" s="6"/>
      <c r="AF862" s="6"/>
      <c r="AG862" s="6"/>
      <c r="AH862" s="6"/>
      <c r="AI862" s="6"/>
      <c r="AJ862" s="6"/>
      <c r="AK862" s="6"/>
      <c r="AL862" s="6"/>
    </row>
    <row r="863" spans="28:38" ht="15.75" customHeight="1" x14ac:dyDescent="0.25">
      <c r="AB863" s="6"/>
      <c r="AC863" s="6"/>
      <c r="AD863" s="6"/>
      <c r="AE863" s="6"/>
      <c r="AF863" s="6"/>
      <c r="AG863" s="6"/>
      <c r="AH863" s="6"/>
      <c r="AI863" s="6"/>
      <c r="AJ863" s="6"/>
      <c r="AK863" s="6"/>
      <c r="AL863" s="6"/>
    </row>
    <row r="864" spans="28:38" ht="15.75" customHeight="1" x14ac:dyDescent="0.25">
      <c r="AB864" s="6"/>
      <c r="AC864" s="6"/>
      <c r="AD864" s="6"/>
      <c r="AE864" s="6"/>
      <c r="AF864" s="6"/>
      <c r="AG864" s="6"/>
      <c r="AH864" s="6"/>
      <c r="AI864" s="6"/>
      <c r="AJ864" s="6"/>
      <c r="AK864" s="6"/>
      <c r="AL864" s="6"/>
    </row>
    <row r="865" spans="28:38" ht="15.75" customHeight="1" x14ac:dyDescent="0.25">
      <c r="AB865" s="6"/>
      <c r="AC865" s="6"/>
      <c r="AD865" s="6"/>
      <c r="AE865" s="6"/>
      <c r="AF865" s="6"/>
      <c r="AG865" s="6"/>
      <c r="AH865" s="6"/>
      <c r="AI865" s="6"/>
      <c r="AJ865" s="6"/>
      <c r="AK865" s="6"/>
      <c r="AL865" s="6"/>
    </row>
    <row r="866" spans="28:38" ht="15.75" customHeight="1" x14ac:dyDescent="0.25">
      <c r="AB866" s="6"/>
      <c r="AC866" s="6"/>
      <c r="AD866" s="6"/>
      <c r="AE866" s="6"/>
      <c r="AF866" s="6"/>
      <c r="AG866" s="6"/>
      <c r="AH866" s="6"/>
      <c r="AI866" s="6"/>
      <c r="AJ866" s="6"/>
      <c r="AK866" s="6"/>
      <c r="AL866" s="6"/>
    </row>
    <row r="867" spans="28:38" ht="15.75" customHeight="1" x14ac:dyDescent="0.25">
      <c r="AB867" s="6"/>
      <c r="AC867" s="6"/>
      <c r="AD867" s="6"/>
      <c r="AE867" s="6"/>
      <c r="AF867" s="6"/>
      <c r="AG867" s="6"/>
      <c r="AH867" s="6"/>
      <c r="AI867" s="6"/>
      <c r="AJ867" s="6"/>
      <c r="AK867" s="6"/>
      <c r="AL867" s="6"/>
    </row>
    <row r="868" spans="28:38" ht="15.75" customHeight="1" x14ac:dyDescent="0.25">
      <c r="AB868" s="6"/>
      <c r="AC868" s="6"/>
      <c r="AD868" s="6"/>
      <c r="AE868" s="6"/>
      <c r="AF868" s="6"/>
      <c r="AG868" s="6"/>
      <c r="AH868" s="6"/>
      <c r="AI868" s="6"/>
      <c r="AJ868" s="6"/>
      <c r="AK868" s="6"/>
      <c r="AL868" s="6"/>
    </row>
    <row r="869" spans="28:38" ht="15.75" customHeight="1" x14ac:dyDescent="0.25">
      <c r="AB869" s="6"/>
      <c r="AC869" s="6"/>
      <c r="AD869" s="6"/>
      <c r="AE869" s="6"/>
      <c r="AF869" s="6"/>
      <c r="AG869" s="6"/>
      <c r="AH869" s="6"/>
      <c r="AI869" s="6"/>
      <c r="AJ869" s="6"/>
      <c r="AK869" s="6"/>
      <c r="AL869" s="6"/>
    </row>
    <row r="870" spans="28:38" ht="15.75" customHeight="1" x14ac:dyDescent="0.25">
      <c r="AB870" s="6"/>
      <c r="AC870" s="6"/>
      <c r="AD870" s="6"/>
      <c r="AE870" s="6"/>
      <c r="AF870" s="6"/>
      <c r="AG870" s="6"/>
      <c r="AH870" s="6"/>
      <c r="AI870" s="6"/>
      <c r="AJ870" s="6"/>
      <c r="AK870" s="6"/>
      <c r="AL870" s="6"/>
    </row>
    <row r="871" spans="28:38" ht="15.75" customHeight="1" x14ac:dyDescent="0.25">
      <c r="AB871" s="6"/>
      <c r="AC871" s="6"/>
      <c r="AD871" s="6"/>
      <c r="AE871" s="6"/>
      <c r="AF871" s="6"/>
      <c r="AG871" s="6"/>
      <c r="AH871" s="6"/>
      <c r="AI871" s="6"/>
      <c r="AJ871" s="6"/>
      <c r="AK871" s="6"/>
      <c r="AL871" s="6"/>
    </row>
    <row r="872" spans="28:38" ht="15.75" customHeight="1" x14ac:dyDescent="0.25">
      <c r="AB872" s="6"/>
      <c r="AC872" s="6"/>
      <c r="AD872" s="6"/>
      <c r="AE872" s="6"/>
      <c r="AF872" s="6"/>
      <c r="AG872" s="6"/>
      <c r="AH872" s="6"/>
      <c r="AI872" s="6"/>
      <c r="AJ872" s="6"/>
      <c r="AK872" s="6"/>
      <c r="AL872" s="6"/>
    </row>
    <row r="873" spans="28:38" ht="15.75" customHeight="1" x14ac:dyDescent="0.25">
      <c r="AB873" s="6"/>
      <c r="AC873" s="6"/>
      <c r="AD873" s="6"/>
      <c r="AE873" s="6"/>
      <c r="AF873" s="6"/>
      <c r="AG873" s="6"/>
      <c r="AH873" s="6"/>
      <c r="AI873" s="6"/>
      <c r="AJ873" s="6"/>
      <c r="AK873" s="6"/>
      <c r="AL873" s="6"/>
    </row>
    <row r="874" spans="28:38" ht="15.75" customHeight="1" x14ac:dyDescent="0.25">
      <c r="AB874" s="6"/>
      <c r="AC874" s="6"/>
      <c r="AD874" s="6"/>
      <c r="AE874" s="6"/>
      <c r="AF874" s="6"/>
      <c r="AG874" s="6"/>
      <c r="AH874" s="6"/>
      <c r="AI874" s="6"/>
      <c r="AJ874" s="6"/>
      <c r="AK874" s="6"/>
      <c r="AL874" s="6"/>
    </row>
    <row r="875" spans="28:38" ht="15.75" customHeight="1" x14ac:dyDescent="0.25">
      <c r="AB875" s="6"/>
      <c r="AC875" s="6"/>
      <c r="AD875" s="6"/>
      <c r="AE875" s="6"/>
      <c r="AF875" s="6"/>
      <c r="AG875" s="6"/>
      <c r="AH875" s="6"/>
      <c r="AI875" s="6"/>
      <c r="AJ875" s="6"/>
      <c r="AK875" s="6"/>
      <c r="AL875" s="6"/>
    </row>
    <row r="876" spans="28:38" ht="15.75" customHeight="1" x14ac:dyDescent="0.25">
      <c r="AB876" s="6"/>
      <c r="AC876" s="6"/>
      <c r="AD876" s="6"/>
      <c r="AE876" s="6"/>
      <c r="AF876" s="6"/>
      <c r="AG876" s="6"/>
      <c r="AH876" s="6"/>
      <c r="AI876" s="6"/>
      <c r="AJ876" s="6"/>
      <c r="AK876" s="6"/>
      <c r="AL876" s="6"/>
    </row>
    <row r="877" spans="28:38" ht="15.75" customHeight="1" x14ac:dyDescent="0.25">
      <c r="AB877" s="6"/>
      <c r="AC877" s="6"/>
      <c r="AD877" s="6"/>
      <c r="AE877" s="6"/>
      <c r="AF877" s="6"/>
      <c r="AG877" s="6"/>
      <c r="AH877" s="6"/>
      <c r="AI877" s="6"/>
      <c r="AJ877" s="6"/>
      <c r="AK877" s="6"/>
      <c r="AL877" s="6"/>
    </row>
    <row r="878" spans="28:38" ht="15.75" customHeight="1" x14ac:dyDescent="0.25">
      <c r="AB878" s="6"/>
      <c r="AC878" s="6"/>
      <c r="AD878" s="6"/>
      <c r="AE878" s="6"/>
      <c r="AF878" s="6"/>
      <c r="AG878" s="6"/>
      <c r="AH878" s="6"/>
      <c r="AI878" s="6"/>
      <c r="AJ878" s="6"/>
      <c r="AK878" s="6"/>
      <c r="AL878" s="6"/>
    </row>
    <row r="879" spans="28:38" ht="15.75" customHeight="1" x14ac:dyDescent="0.25">
      <c r="AB879" s="6"/>
      <c r="AC879" s="6"/>
      <c r="AD879" s="6"/>
      <c r="AE879" s="6"/>
      <c r="AF879" s="6"/>
      <c r="AG879" s="6"/>
      <c r="AH879" s="6"/>
      <c r="AI879" s="6"/>
      <c r="AJ879" s="6"/>
      <c r="AK879" s="6"/>
      <c r="AL879" s="6"/>
    </row>
    <row r="880" spans="28:38" ht="15.75" customHeight="1" x14ac:dyDescent="0.25">
      <c r="AB880" s="6"/>
      <c r="AC880" s="6"/>
      <c r="AD880" s="6"/>
      <c r="AE880" s="6"/>
      <c r="AF880" s="6"/>
      <c r="AG880" s="6"/>
      <c r="AH880" s="6"/>
      <c r="AI880" s="6"/>
      <c r="AJ880" s="6"/>
      <c r="AK880" s="6"/>
      <c r="AL880" s="6"/>
    </row>
    <row r="881" spans="28:38" ht="15.75" customHeight="1" x14ac:dyDescent="0.25">
      <c r="AB881" s="6"/>
      <c r="AC881" s="6"/>
      <c r="AD881" s="6"/>
      <c r="AE881" s="6"/>
      <c r="AF881" s="6"/>
      <c r="AG881" s="6"/>
      <c r="AH881" s="6"/>
      <c r="AI881" s="6"/>
      <c r="AJ881" s="6"/>
      <c r="AK881" s="6"/>
      <c r="AL881" s="6"/>
    </row>
    <row r="882" spans="28:38" ht="15.75" customHeight="1" x14ac:dyDescent="0.25">
      <c r="AB882" s="6"/>
      <c r="AC882" s="6"/>
      <c r="AD882" s="6"/>
      <c r="AE882" s="6"/>
      <c r="AF882" s="6"/>
      <c r="AG882" s="6"/>
      <c r="AH882" s="6"/>
      <c r="AI882" s="6"/>
      <c r="AJ882" s="6"/>
      <c r="AK882" s="6"/>
      <c r="AL882" s="6"/>
    </row>
    <row r="883" spans="28:38" ht="15.75" customHeight="1" x14ac:dyDescent="0.25">
      <c r="AB883" s="6"/>
      <c r="AC883" s="6"/>
      <c r="AD883" s="6"/>
      <c r="AE883" s="6"/>
      <c r="AF883" s="6"/>
      <c r="AG883" s="6"/>
      <c r="AH883" s="6"/>
      <c r="AI883" s="6"/>
      <c r="AJ883" s="6"/>
      <c r="AK883" s="6"/>
      <c r="AL883" s="6"/>
    </row>
    <row r="884" spans="28:38" ht="15.75" customHeight="1" x14ac:dyDescent="0.25">
      <c r="AB884" s="6"/>
      <c r="AC884" s="6"/>
      <c r="AD884" s="6"/>
      <c r="AE884" s="6"/>
      <c r="AF884" s="6"/>
      <c r="AG884" s="6"/>
      <c r="AH884" s="6"/>
      <c r="AI884" s="6"/>
      <c r="AJ884" s="6"/>
      <c r="AK884" s="6"/>
      <c r="AL884" s="6"/>
    </row>
    <row r="885" spans="28:38" ht="15.75" customHeight="1" x14ac:dyDescent="0.25">
      <c r="AB885" s="6"/>
      <c r="AC885" s="6"/>
      <c r="AD885" s="6"/>
      <c r="AE885" s="6"/>
      <c r="AF885" s="6"/>
      <c r="AG885" s="6"/>
      <c r="AH885" s="6"/>
      <c r="AI885" s="6"/>
      <c r="AJ885" s="6"/>
      <c r="AK885" s="6"/>
      <c r="AL885" s="6"/>
    </row>
    <row r="886" spans="28:38" ht="15.75" customHeight="1" x14ac:dyDescent="0.25">
      <c r="AB886" s="6"/>
      <c r="AC886" s="6"/>
      <c r="AD886" s="6"/>
      <c r="AE886" s="6"/>
      <c r="AF886" s="6"/>
      <c r="AG886" s="6"/>
      <c r="AH886" s="6"/>
      <c r="AI886" s="6"/>
      <c r="AJ886" s="6"/>
      <c r="AK886" s="6"/>
      <c r="AL886" s="6"/>
    </row>
    <row r="887" spans="28:38" ht="15.75" customHeight="1" x14ac:dyDescent="0.25">
      <c r="AB887" s="6"/>
      <c r="AC887" s="6"/>
      <c r="AD887" s="6"/>
      <c r="AE887" s="6"/>
      <c r="AF887" s="6"/>
      <c r="AG887" s="6"/>
      <c r="AH887" s="6"/>
      <c r="AI887" s="6"/>
      <c r="AJ887" s="6"/>
      <c r="AK887" s="6"/>
      <c r="AL887" s="6"/>
    </row>
    <row r="888" spans="28:38" ht="15.75" customHeight="1" x14ac:dyDescent="0.25">
      <c r="AB888" s="6"/>
      <c r="AC888" s="6"/>
      <c r="AD888" s="6"/>
      <c r="AE888" s="6"/>
      <c r="AF888" s="6"/>
      <c r="AG888" s="6"/>
      <c r="AH888" s="6"/>
      <c r="AI888" s="6"/>
      <c r="AJ888" s="6"/>
      <c r="AK888" s="6"/>
      <c r="AL888" s="6"/>
    </row>
    <row r="889" spans="28:38" ht="15.75" customHeight="1" x14ac:dyDescent="0.25">
      <c r="AB889" s="6"/>
      <c r="AC889" s="6"/>
      <c r="AD889" s="6"/>
      <c r="AE889" s="6"/>
      <c r="AF889" s="6"/>
      <c r="AG889" s="6"/>
      <c r="AH889" s="6"/>
      <c r="AI889" s="6"/>
      <c r="AJ889" s="6"/>
      <c r="AK889" s="6"/>
      <c r="AL889" s="6"/>
    </row>
    <row r="890" spans="28:38" ht="15.75" customHeight="1" x14ac:dyDescent="0.25">
      <c r="AB890" s="6"/>
      <c r="AC890" s="6"/>
      <c r="AD890" s="6"/>
      <c r="AE890" s="6"/>
      <c r="AF890" s="6"/>
      <c r="AG890" s="6"/>
      <c r="AH890" s="6"/>
      <c r="AI890" s="6"/>
      <c r="AJ890" s="6"/>
      <c r="AK890" s="6"/>
      <c r="AL890" s="6"/>
    </row>
    <row r="891" spans="28:38" ht="15.75" customHeight="1" x14ac:dyDescent="0.25">
      <c r="AB891" s="6"/>
      <c r="AC891" s="6"/>
      <c r="AD891" s="6"/>
      <c r="AE891" s="6"/>
      <c r="AF891" s="6"/>
      <c r="AG891" s="6"/>
      <c r="AH891" s="6"/>
      <c r="AI891" s="6"/>
      <c r="AJ891" s="6"/>
      <c r="AK891" s="6"/>
      <c r="AL891" s="6"/>
    </row>
    <row r="892" spans="28:38" ht="15.75" customHeight="1" x14ac:dyDescent="0.25">
      <c r="AB892" s="6"/>
      <c r="AC892" s="6"/>
      <c r="AD892" s="6"/>
      <c r="AE892" s="6"/>
      <c r="AF892" s="6"/>
      <c r="AG892" s="6"/>
      <c r="AH892" s="6"/>
      <c r="AI892" s="6"/>
      <c r="AJ892" s="6"/>
      <c r="AK892" s="6"/>
      <c r="AL892" s="6"/>
    </row>
    <row r="893" spans="28:38" ht="15.75" customHeight="1" x14ac:dyDescent="0.25">
      <c r="AB893" s="6"/>
      <c r="AC893" s="6"/>
      <c r="AD893" s="6"/>
      <c r="AE893" s="6"/>
      <c r="AF893" s="6"/>
      <c r="AG893" s="6"/>
      <c r="AH893" s="6"/>
      <c r="AI893" s="6"/>
      <c r="AJ893" s="6"/>
      <c r="AK893" s="6"/>
      <c r="AL893" s="6"/>
    </row>
    <row r="894" spans="28:38" ht="15.75" customHeight="1" x14ac:dyDescent="0.25">
      <c r="AB894" s="6"/>
      <c r="AC894" s="6"/>
      <c r="AD894" s="6"/>
      <c r="AE894" s="6"/>
      <c r="AF894" s="6"/>
      <c r="AG894" s="6"/>
      <c r="AH894" s="6"/>
      <c r="AI894" s="6"/>
      <c r="AJ894" s="6"/>
      <c r="AK894" s="6"/>
      <c r="AL894" s="6"/>
    </row>
    <row r="895" spans="28:38" ht="15.75" customHeight="1" x14ac:dyDescent="0.25">
      <c r="AB895" s="6"/>
      <c r="AC895" s="6"/>
      <c r="AD895" s="6"/>
      <c r="AE895" s="6"/>
      <c r="AF895" s="6"/>
      <c r="AG895" s="6"/>
      <c r="AH895" s="6"/>
      <c r="AI895" s="6"/>
      <c r="AJ895" s="6"/>
      <c r="AK895" s="6"/>
      <c r="AL895" s="6"/>
    </row>
    <row r="896" spans="28:38" ht="15.75" customHeight="1" x14ac:dyDescent="0.25">
      <c r="AB896" s="6"/>
      <c r="AC896" s="6"/>
      <c r="AD896" s="6"/>
      <c r="AE896" s="6"/>
      <c r="AF896" s="6"/>
      <c r="AG896" s="6"/>
      <c r="AH896" s="6"/>
      <c r="AI896" s="6"/>
      <c r="AJ896" s="6"/>
      <c r="AK896" s="6"/>
      <c r="AL896" s="6"/>
    </row>
    <row r="897" spans="28:38" ht="15.75" customHeight="1" x14ac:dyDescent="0.25">
      <c r="AB897" s="6"/>
      <c r="AC897" s="6"/>
      <c r="AD897" s="6"/>
      <c r="AE897" s="6"/>
      <c r="AF897" s="6"/>
      <c r="AG897" s="6"/>
      <c r="AH897" s="6"/>
      <c r="AI897" s="6"/>
      <c r="AJ897" s="6"/>
      <c r="AK897" s="6"/>
      <c r="AL897" s="6"/>
    </row>
    <row r="898" spans="28:38" ht="15.75" customHeight="1" x14ac:dyDescent="0.25">
      <c r="AB898" s="6"/>
      <c r="AC898" s="6"/>
      <c r="AD898" s="6"/>
      <c r="AE898" s="6"/>
      <c r="AF898" s="6"/>
      <c r="AG898" s="6"/>
      <c r="AH898" s="6"/>
      <c r="AI898" s="6"/>
      <c r="AJ898" s="6"/>
      <c r="AK898" s="6"/>
      <c r="AL898" s="6"/>
    </row>
    <row r="899" spans="28:38" ht="15.75" customHeight="1" x14ac:dyDescent="0.25">
      <c r="AB899" s="6"/>
      <c r="AC899" s="6"/>
      <c r="AD899" s="6"/>
      <c r="AE899" s="6"/>
      <c r="AF899" s="6"/>
      <c r="AG899" s="6"/>
      <c r="AH899" s="6"/>
      <c r="AI899" s="6"/>
      <c r="AJ899" s="6"/>
      <c r="AK899" s="6"/>
      <c r="AL899" s="6"/>
    </row>
    <row r="900" spans="28:38" ht="15.75" customHeight="1" x14ac:dyDescent="0.25">
      <c r="AB900" s="6"/>
      <c r="AC900" s="6"/>
      <c r="AD900" s="6"/>
      <c r="AE900" s="6"/>
      <c r="AF900" s="6"/>
      <c r="AG900" s="6"/>
      <c r="AH900" s="6"/>
      <c r="AI900" s="6"/>
      <c r="AJ900" s="6"/>
      <c r="AK900" s="6"/>
      <c r="AL900" s="6"/>
    </row>
    <row r="901" spans="28:38" ht="15.75" customHeight="1" x14ac:dyDescent="0.25">
      <c r="AB901" s="6"/>
      <c r="AC901" s="6"/>
      <c r="AD901" s="6"/>
      <c r="AE901" s="6"/>
      <c r="AF901" s="6"/>
      <c r="AG901" s="6"/>
      <c r="AH901" s="6"/>
      <c r="AI901" s="6"/>
      <c r="AJ901" s="6"/>
      <c r="AK901" s="6"/>
      <c r="AL901" s="6"/>
    </row>
    <row r="902" spans="28:38" ht="15.75" customHeight="1" x14ac:dyDescent="0.25">
      <c r="AB902" s="6"/>
      <c r="AC902" s="6"/>
      <c r="AD902" s="6"/>
      <c r="AE902" s="6"/>
      <c r="AF902" s="6"/>
      <c r="AG902" s="6"/>
      <c r="AH902" s="6"/>
      <c r="AI902" s="6"/>
      <c r="AJ902" s="6"/>
      <c r="AK902" s="6"/>
      <c r="AL902" s="6"/>
    </row>
    <row r="903" spans="28:38" ht="15.75" customHeight="1" x14ac:dyDescent="0.25">
      <c r="AB903" s="6"/>
      <c r="AC903" s="6"/>
      <c r="AD903" s="6"/>
      <c r="AE903" s="6"/>
      <c r="AF903" s="6"/>
      <c r="AG903" s="6"/>
      <c r="AH903" s="6"/>
      <c r="AI903" s="6"/>
      <c r="AJ903" s="6"/>
      <c r="AK903" s="6"/>
      <c r="AL903" s="6"/>
    </row>
    <row r="904" spans="28:38" ht="15.75" customHeight="1" x14ac:dyDescent="0.25">
      <c r="AB904" s="6"/>
      <c r="AC904" s="6"/>
      <c r="AD904" s="6"/>
      <c r="AE904" s="6"/>
      <c r="AF904" s="6"/>
      <c r="AG904" s="6"/>
      <c r="AH904" s="6"/>
      <c r="AI904" s="6"/>
      <c r="AJ904" s="6"/>
      <c r="AK904" s="6"/>
      <c r="AL904" s="6"/>
    </row>
    <row r="905" spans="28:38" ht="15.75" customHeight="1" x14ac:dyDescent="0.25">
      <c r="AB905" s="6"/>
      <c r="AC905" s="6"/>
      <c r="AD905" s="6"/>
      <c r="AE905" s="6"/>
      <c r="AF905" s="6"/>
      <c r="AG905" s="6"/>
      <c r="AH905" s="6"/>
      <c r="AI905" s="6"/>
      <c r="AJ905" s="6"/>
      <c r="AK905" s="6"/>
      <c r="AL905" s="6"/>
    </row>
    <row r="906" spans="28:38" ht="15.75" customHeight="1" x14ac:dyDescent="0.25">
      <c r="AB906" s="6"/>
      <c r="AC906" s="6"/>
      <c r="AD906" s="6"/>
      <c r="AE906" s="6"/>
      <c r="AF906" s="6"/>
      <c r="AG906" s="6"/>
      <c r="AH906" s="6"/>
      <c r="AI906" s="6"/>
      <c r="AJ906" s="6"/>
      <c r="AK906" s="6"/>
      <c r="AL906" s="6"/>
    </row>
    <row r="907" spans="28:38" ht="15.75" customHeight="1" x14ac:dyDescent="0.25">
      <c r="AB907" s="6"/>
      <c r="AC907" s="6"/>
      <c r="AD907" s="6"/>
      <c r="AE907" s="6"/>
      <c r="AF907" s="6"/>
      <c r="AG907" s="6"/>
      <c r="AH907" s="6"/>
      <c r="AI907" s="6"/>
      <c r="AJ907" s="6"/>
      <c r="AK907" s="6"/>
      <c r="AL907" s="6"/>
    </row>
    <row r="908" spans="28:38" ht="15.75" customHeight="1" x14ac:dyDescent="0.25">
      <c r="AB908" s="6"/>
      <c r="AC908" s="6"/>
      <c r="AD908" s="6"/>
      <c r="AE908" s="6"/>
      <c r="AF908" s="6"/>
      <c r="AG908" s="6"/>
      <c r="AH908" s="6"/>
      <c r="AI908" s="6"/>
      <c r="AJ908" s="6"/>
      <c r="AK908" s="6"/>
      <c r="AL908" s="6"/>
    </row>
    <row r="909" spans="28:38" ht="15.75" customHeight="1" x14ac:dyDescent="0.25">
      <c r="AB909" s="6"/>
      <c r="AC909" s="6"/>
      <c r="AD909" s="6"/>
      <c r="AE909" s="6"/>
      <c r="AF909" s="6"/>
      <c r="AG909" s="6"/>
      <c r="AH909" s="6"/>
      <c r="AI909" s="6"/>
      <c r="AJ909" s="6"/>
      <c r="AK909" s="6"/>
      <c r="AL909" s="6"/>
    </row>
    <row r="910" spans="28:38" ht="15.75" customHeight="1" x14ac:dyDescent="0.25">
      <c r="AB910" s="6"/>
      <c r="AC910" s="6"/>
      <c r="AD910" s="6"/>
      <c r="AE910" s="6"/>
      <c r="AF910" s="6"/>
      <c r="AG910" s="6"/>
      <c r="AH910" s="6"/>
      <c r="AI910" s="6"/>
      <c r="AJ910" s="6"/>
      <c r="AK910" s="6"/>
      <c r="AL910" s="6"/>
    </row>
    <row r="911" spans="28:38" ht="15.75" customHeight="1" x14ac:dyDescent="0.25">
      <c r="AB911" s="6"/>
      <c r="AC911" s="6"/>
      <c r="AD911" s="6"/>
      <c r="AE911" s="6"/>
      <c r="AF911" s="6"/>
      <c r="AG911" s="6"/>
      <c r="AH911" s="6"/>
      <c r="AI911" s="6"/>
      <c r="AJ911" s="6"/>
      <c r="AK911" s="6"/>
      <c r="AL911" s="6"/>
    </row>
    <row r="912" spans="28:38" ht="15.75" customHeight="1" x14ac:dyDescent="0.25">
      <c r="AB912" s="6"/>
      <c r="AC912" s="6"/>
      <c r="AD912" s="6"/>
      <c r="AE912" s="6"/>
      <c r="AF912" s="6"/>
      <c r="AG912" s="6"/>
      <c r="AH912" s="6"/>
      <c r="AI912" s="6"/>
      <c r="AJ912" s="6"/>
      <c r="AK912" s="6"/>
      <c r="AL912" s="6"/>
    </row>
    <row r="913" spans="28:38" ht="15.75" customHeight="1" x14ac:dyDescent="0.25">
      <c r="AB913" s="6"/>
      <c r="AC913" s="6"/>
      <c r="AD913" s="6"/>
      <c r="AE913" s="6"/>
      <c r="AF913" s="6"/>
      <c r="AG913" s="6"/>
      <c r="AH913" s="6"/>
      <c r="AI913" s="6"/>
      <c r="AJ913" s="6"/>
      <c r="AK913" s="6"/>
      <c r="AL913" s="6"/>
    </row>
    <row r="914" spans="28:38" ht="15.75" customHeight="1" x14ac:dyDescent="0.25">
      <c r="AB914" s="6"/>
      <c r="AC914" s="6"/>
      <c r="AD914" s="6"/>
      <c r="AE914" s="6"/>
      <c r="AF914" s="6"/>
      <c r="AG914" s="6"/>
      <c r="AH914" s="6"/>
      <c r="AI914" s="6"/>
      <c r="AJ914" s="6"/>
      <c r="AK914" s="6"/>
      <c r="AL914" s="6"/>
    </row>
    <row r="915" spans="28:38" ht="15.75" customHeight="1" x14ac:dyDescent="0.25">
      <c r="AB915" s="6"/>
      <c r="AC915" s="6"/>
      <c r="AD915" s="6"/>
      <c r="AE915" s="6"/>
      <c r="AF915" s="6"/>
      <c r="AG915" s="6"/>
      <c r="AH915" s="6"/>
      <c r="AI915" s="6"/>
      <c r="AJ915" s="6"/>
      <c r="AK915" s="6"/>
      <c r="AL915" s="6"/>
    </row>
    <row r="916" spans="28:38" ht="15.75" customHeight="1" x14ac:dyDescent="0.25">
      <c r="AB916" s="6"/>
      <c r="AC916" s="6"/>
      <c r="AD916" s="6"/>
      <c r="AE916" s="6"/>
      <c r="AF916" s="6"/>
      <c r="AG916" s="6"/>
      <c r="AH916" s="6"/>
      <c r="AI916" s="6"/>
      <c r="AJ916" s="6"/>
      <c r="AK916" s="6"/>
      <c r="AL916" s="6"/>
    </row>
    <row r="917" spans="28:38" ht="15.75" customHeight="1" x14ac:dyDescent="0.25">
      <c r="AB917" s="6"/>
      <c r="AC917" s="6"/>
      <c r="AD917" s="6"/>
      <c r="AE917" s="6"/>
      <c r="AF917" s="6"/>
      <c r="AG917" s="6"/>
      <c r="AH917" s="6"/>
      <c r="AI917" s="6"/>
      <c r="AJ917" s="6"/>
      <c r="AK917" s="6"/>
      <c r="AL917" s="6"/>
    </row>
    <row r="918" spans="28:38" ht="15.75" customHeight="1" x14ac:dyDescent="0.25">
      <c r="AB918" s="6"/>
      <c r="AC918" s="6"/>
      <c r="AD918" s="6"/>
      <c r="AE918" s="6"/>
      <c r="AF918" s="6"/>
      <c r="AG918" s="6"/>
      <c r="AH918" s="6"/>
      <c r="AI918" s="6"/>
      <c r="AJ918" s="6"/>
      <c r="AK918" s="6"/>
      <c r="AL918" s="6"/>
    </row>
    <row r="919" spans="28:38" ht="15.75" customHeight="1" x14ac:dyDescent="0.25">
      <c r="AB919" s="6"/>
      <c r="AC919" s="6"/>
      <c r="AD919" s="6"/>
      <c r="AE919" s="6"/>
      <c r="AF919" s="6"/>
      <c r="AG919" s="6"/>
      <c r="AH919" s="6"/>
      <c r="AI919" s="6"/>
      <c r="AJ919" s="6"/>
      <c r="AK919" s="6"/>
      <c r="AL919" s="6"/>
    </row>
    <row r="920" spans="28:38" ht="15.75" customHeight="1" x14ac:dyDescent="0.25">
      <c r="AB920" s="6"/>
      <c r="AC920" s="6"/>
      <c r="AD920" s="6"/>
      <c r="AE920" s="6"/>
      <c r="AF920" s="6"/>
      <c r="AG920" s="6"/>
      <c r="AH920" s="6"/>
      <c r="AI920" s="6"/>
      <c r="AJ920" s="6"/>
      <c r="AK920" s="6"/>
      <c r="AL920" s="6"/>
    </row>
    <row r="921" spans="28:38" ht="15.75" customHeight="1" x14ac:dyDescent="0.25">
      <c r="AB921" s="6"/>
      <c r="AC921" s="6"/>
      <c r="AD921" s="6"/>
      <c r="AE921" s="6"/>
      <c r="AF921" s="6"/>
      <c r="AG921" s="6"/>
      <c r="AH921" s="6"/>
      <c r="AI921" s="6"/>
      <c r="AJ921" s="6"/>
      <c r="AK921" s="6"/>
      <c r="AL921" s="6"/>
    </row>
    <row r="922" spans="28:38" ht="15.75" customHeight="1" x14ac:dyDescent="0.25">
      <c r="AB922" s="6"/>
      <c r="AC922" s="6"/>
      <c r="AD922" s="6"/>
      <c r="AE922" s="6"/>
      <c r="AF922" s="6"/>
      <c r="AG922" s="6"/>
      <c r="AH922" s="6"/>
      <c r="AI922" s="6"/>
      <c r="AJ922" s="6"/>
      <c r="AK922" s="6"/>
      <c r="AL922" s="6"/>
    </row>
    <row r="923" spans="28:38" ht="15.75" customHeight="1" x14ac:dyDescent="0.25">
      <c r="AB923" s="6"/>
      <c r="AC923" s="6"/>
      <c r="AD923" s="6"/>
      <c r="AE923" s="6"/>
      <c r="AF923" s="6"/>
      <c r="AG923" s="6"/>
      <c r="AH923" s="6"/>
      <c r="AI923" s="6"/>
      <c r="AJ923" s="6"/>
      <c r="AK923" s="6"/>
      <c r="AL923" s="6"/>
    </row>
    <row r="924" spans="28:38" ht="15.75" customHeight="1" x14ac:dyDescent="0.25">
      <c r="AB924" s="6"/>
      <c r="AC924" s="6"/>
      <c r="AD924" s="6"/>
      <c r="AE924" s="6"/>
      <c r="AF924" s="6"/>
      <c r="AG924" s="6"/>
      <c r="AH924" s="6"/>
      <c r="AI924" s="6"/>
      <c r="AJ924" s="6"/>
      <c r="AK924" s="6"/>
      <c r="AL924" s="6"/>
    </row>
    <row r="925" spans="28:38" ht="15.75" customHeight="1" x14ac:dyDescent="0.25">
      <c r="AB925" s="6"/>
      <c r="AC925" s="6"/>
      <c r="AD925" s="6"/>
      <c r="AE925" s="6"/>
      <c r="AF925" s="6"/>
      <c r="AG925" s="6"/>
      <c r="AH925" s="6"/>
      <c r="AI925" s="6"/>
      <c r="AJ925" s="6"/>
      <c r="AK925" s="6"/>
      <c r="AL925" s="6"/>
    </row>
    <row r="926" spans="28:38" ht="15.75" customHeight="1" x14ac:dyDescent="0.25">
      <c r="AB926" s="6"/>
      <c r="AC926" s="6"/>
      <c r="AD926" s="6"/>
      <c r="AE926" s="6"/>
      <c r="AF926" s="6"/>
      <c r="AG926" s="6"/>
      <c r="AH926" s="6"/>
      <c r="AI926" s="6"/>
      <c r="AJ926" s="6"/>
      <c r="AK926" s="6"/>
      <c r="AL926" s="6"/>
    </row>
    <row r="927" spans="28:38" ht="15.75" customHeight="1" x14ac:dyDescent="0.25">
      <c r="AB927" s="6"/>
      <c r="AC927" s="6"/>
      <c r="AD927" s="6"/>
      <c r="AE927" s="6"/>
      <c r="AF927" s="6"/>
      <c r="AG927" s="6"/>
      <c r="AH927" s="6"/>
      <c r="AI927" s="6"/>
      <c r="AJ927" s="6"/>
      <c r="AK927" s="6"/>
      <c r="AL927" s="6"/>
    </row>
    <row r="928" spans="28:38" ht="15.75" customHeight="1" x14ac:dyDescent="0.25">
      <c r="AB928" s="6"/>
      <c r="AC928" s="6"/>
      <c r="AD928" s="6"/>
      <c r="AE928" s="6"/>
      <c r="AF928" s="6"/>
      <c r="AG928" s="6"/>
      <c r="AH928" s="6"/>
      <c r="AI928" s="6"/>
      <c r="AJ928" s="6"/>
      <c r="AK928" s="6"/>
      <c r="AL928" s="6"/>
    </row>
    <row r="929" spans="28:38" ht="15.75" customHeight="1" x14ac:dyDescent="0.25">
      <c r="AB929" s="6"/>
      <c r="AC929" s="6"/>
      <c r="AD929" s="6"/>
      <c r="AE929" s="6"/>
      <c r="AF929" s="6"/>
      <c r="AG929" s="6"/>
      <c r="AH929" s="6"/>
      <c r="AI929" s="6"/>
      <c r="AJ929" s="6"/>
      <c r="AK929" s="6"/>
      <c r="AL929" s="6"/>
    </row>
    <row r="930" spans="28:38" ht="15.75" customHeight="1" x14ac:dyDescent="0.25">
      <c r="AB930" s="6"/>
      <c r="AC930" s="6"/>
      <c r="AD930" s="6"/>
      <c r="AE930" s="6"/>
      <c r="AF930" s="6"/>
      <c r="AG930" s="6"/>
      <c r="AH930" s="6"/>
      <c r="AI930" s="6"/>
      <c r="AJ930" s="6"/>
      <c r="AK930" s="6"/>
      <c r="AL930" s="6"/>
    </row>
    <row r="931" spans="28:38" ht="15.75" customHeight="1" x14ac:dyDescent="0.25">
      <c r="AB931" s="6"/>
      <c r="AC931" s="6"/>
      <c r="AD931" s="6"/>
      <c r="AE931" s="6"/>
      <c r="AF931" s="6"/>
      <c r="AG931" s="6"/>
      <c r="AH931" s="6"/>
      <c r="AI931" s="6"/>
      <c r="AJ931" s="6"/>
      <c r="AK931" s="6"/>
      <c r="AL931" s="6"/>
    </row>
    <row r="932" spans="28:38" ht="15.75" customHeight="1" x14ac:dyDescent="0.25">
      <c r="AB932" s="6"/>
      <c r="AC932" s="6"/>
      <c r="AD932" s="6"/>
      <c r="AE932" s="6"/>
      <c r="AF932" s="6"/>
      <c r="AG932" s="6"/>
      <c r="AH932" s="6"/>
      <c r="AI932" s="6"/>
      <c r="AJ932" s="6"/>
      <c r="AK932" s="6"/>
      <c r="AL932" s="6"/>
    </row>
    <row r="933" spans="28:38" ht="15.75" customHeight="1" x14ac:dyDescent="0.25">
      <c r="AB933" s="6"/>
      <c r="AC933" s="6"/>
      <c r="AD933" s="6"/>
      <c r="AE933" s="6"/>
      <c r="AF933" s="6"/>
      <c r="AG933" s="6"/>
      <c r="AH933" s="6"/>
      <c r="AI933" s="6"/>
      <c r="AJ933" s="6"/>
      <c r="AK933" s="6"/>
      <c r="AL933" s="6"/>
    </row>
    <row r="934" spans="28:38" ht="15.75" customHeight="1" x14ac:dyDescent="0.25">
      <c r="AB934" s="6"/>
      <c r="AC934" s="6"/>
      <c r="AD934" s="6"/>
      <c r="AE934" s="6"/>
      <c r="AF934" s="6"/>
      <c r="AG934" s="6"/>
      <c r="AH934" s="6"/>
      <c r="AI934" s="6"/>
      <c r="AJ934" s="6"/>
      <c r="AK934" s="6"/>
      <c r="AL934" s="6"/>
    </row>
    <row r="935" spans="28:38" ht="15.75" customHeight="1" x14ac:dyDescent="0.25">
      <c r="AB935" s="6"/>
      <c r="AC935" s="6"/>
      <c r="AD935" s="6"/>
      <c r="AE935" s="6"/>
      <c r="AF935" s="6"/>
      <c r="AG935" s="6"/>
      <c r="AH935" s="6"/>
      <c r="AI935" s="6"/>
      <c r="AJ935" s="6"/>
      <c r="AK935" s="6"/>
      <c r="AL935" s="6"/>
    </row>
    <row r="936" spans="28:38" ht="15.75" customHeight="1" x14ac:dyDescent="0.25">
      <c r="AB936" s="6"/>
      <c r="AC936" s="6"/>
      <c r="AD936" s="6"/>
      <c r="AE936" s="6"/>
      <c r="AF936" s="6"/>
      <c r="AG936" s="6"/>
      <c r="AH936" s="6"/>
      <c r="AI936" s="6"/>
      <c r="AJ936" s="6"/>
      <c r="AK936" s="6"/>
      <c r="AL936" s="6"/>
    </row>
    <row r="937" spans="28:38" ht="15.75" customHeight="1" x14ac:dyDescent="0.25">
      <c r="AB937" s="6"/>
      <c r="AC937" s="6"/>
      <c r="AD937" s="6"/>
      <c r="AE937" s="6"/>
      <c r="AF937" s="6"/>
      <c r="AG937" s="6"/>
      <c r="AH937" s="6"/>
      <c r="AI937" s="6"/>
      <c r="AJ937" s="6"/>
      <c r="AK937" s="6"/>
      <c r="AL937" s="6"/>
    </row>
    <row r="938" spans="28:38" ht="15.75" customHeight="1" x14ac:dyDescent="0.25">
      <c r="AB938" s="6"/>
      <c r="AC938" s="6"/>
      <c r="AD938" s="6"/>
      <c r="AE938" s="6"/>
      <c r="AF938" s="6"/>
      <c r="AG938" s="6"/>
      <c r="AH938" s="6"/>
      <c r="AI938" s="6"/>
      <c r="AJ938" s="6"/>
      <c r="AK938" s="6"/>
      <c r="AL938" s="6"/>
    </row>
    <row r="939" spans="28:38" ht="15.75" customHeight="1" x14ac:dyDescent="0.25">
      <c r="AB939" s="6"/>
      <c r="AC939" s="6"/>
      <c r="AD939" s="6"/>
      <c r="AE939" s="6"/>
      <c r="AF939" s="6"/>
      <c r="AG939" s="6"/>
      <c r="AH939" s="6"/>
      <c r="AI939" s="6"/>
      <c r="AJ939" s="6"/>
      <c r="AK939" s="6"/>
      <c r="AL939" s="6"/>
    </row>
    <row r="940" spans="28:38" ht="15.75" customHeight="1" x14ac:dyDescent="0.25">
      <c r="AB940" s="6"/>
      <c r="AC940" s="6"/>
      <c r="AD940" s="6"/>
      <c r="AE940" s="6"/>
      <c r="AF940" s="6"/>
      <c r="AG940" s="6"/>
      <c r="AH940" s="6"/>
      <c r="AI940" s="6"/>
      <c r="AJ940" s="6"/>
      <c r="AK940" s="6"/>
      <c r="AL940" s="6"/>
    </row>
    <row r="941" spans="28:38" ht="15.75" customHeight="1" x14ac:dyDescent="0.25">
      <c r="AB941" s="6"/>
      <c r="AC941" s="6"/>
      <c r="AD941" s="6"/>
      <c r="AE941" s="6"/>
      <c r="AF941" s="6"/>
      <c r="AG941" s="6"/>
      <c r="AH941" s="6"/>
      <c r="AI941" s="6"/>
      <c r="AJ941" s="6"/>
      <c r="AK941" s="6"/>
      <c r="AL941" s="6"/>
    </row>
    <row r="942" spans="28:38" ht="15.75" customHeight="1" x14ac:dyDescent="0.25">
      <c r="AB942" s="6"/>
      <c r="AC942" s="6"/>
      <c r="AD942" s="6"/>
      <c r="AE942" s="6"/>
      <c r="AF942" s="6"/>
      <c r="AG942" s="6"/>
      <c r="AH942" s="6"/>
      <c r="AI942" s="6"/>
      <c r="AJ942" s="6"/>
      <c r="AK942" s="6"/>
      <c r="AL942" s="6"/>
    </row>
    <row r="943" spans="28:38" ht="15.75" customHeight="1" x14ac:dyDescent="0.25">
      <c r="AB943" s="6"/>
      <c r="AC943" s="6"/>
      <c r="AD943" s="6"/>
      <c r="AE943" s="6"/>
      <c r="AF943" s="6"/>
      <c r="AG943" s="6"/>
      <c r="AH943" s="6"/>
      <c r="AI943" s="6"/>
      <c r="AJ943" s="6"/>
      <c r="AK943" s="6"/>
      <c r="AL943" s="6"/>
    </row>
    <row r="944" spans="28:38" ht="15.75" customHeight="1" x14ac:dyDescent="0.25">
      <c r="AB944" s="6"/>
      <c r="AC944" s="6"/>
      <c r="AD944" s="6"/>
      <c r="AE944" s="6"/>
      <c r="AF944" s="6"/>
      <c r="AG944" s="6"/>
      <c r="AH944" s="6"/>
      <c r="AI944" s="6"/>
      <c r="AJ944" s="6"/>
      <c r="AK944" s="6"/>
      <c r="AL944" s="6"/>
    </row>
    <row r="945" spans="28:38" ht="15.75" customHeight="1" x14ac:dyDescent="0.25">
      <c r="AB945" s="6"/>
      <c r="AC945" s="6"/>
      <c r="AD945" s="6"/>
      <c r="AE945" s="6"/>
      <c r="AF945" s="6"/>
      <c r="AG945" s="6"/>
      <c r="AH945" s="6"/>
      <c r="AI945" s="6"/>
      <c r="AJ945" s="6"/>
      <c r="AK945" s="6"/>
      <c r="AL945" s="6"/>
    </row>
    <row r="946" spans="28:38" ht="15.75" customHeight="1" x14ac:dyDescent="0.25">
      <c r="AB946" s="6"/>
      <c r="AC946" s="6"/>
      <c r="AD946" s="6"/>
      <c r="AE946" s="6"/>
      <c r="AF946" s="6"/>
      <c r="AG946" s="6"/>
      <c r="AH946" s="6"/>
      <c r="AI946" s="6"/>
      <c r="AJ946" s="6"/>
      <c r="AK946" s="6"/>
      <c r="AL946" s="6"/>
    </row>
    <row r="947" spans="28:38" ht="15.75" customHeight="1" x14ac:dyDescent="0.25">
      <c r="AB947" s="6"/>
      <c r="AC947" s="6"/>
      <c r="AD947" s="6"/>
      <c r="AE947" s="6"/>
      <c r="AF947" s="6"/>
      <c r="AG947" s="6"/>
      <c r="AH947" s="6"/>
      <c r="AI947" s="6"/>
      <c r="AJ947" s="6"/>
      <c r="AK947" s="6"/>
      <c r="AL947" s="6"/>
    </row>
    <row r="948" spans="28:38" ht="15.75" customHeight="1" x14ac:dyDescent="0.25">
      <c r="AB948" s="6"/>
      <c r="AC948" s="6"/>
      <c r="AD948" s="6"/>
      <c r="AE948" s="6"/>
      <c r="AF948" s="6"/>
      <c r="AG948" s="6"/>
      <c r="AH948" s="6"/>
      <c r="AI948" s="6"/>
      <c r="AJ948" s="6"/>
      <c r="AK948" s="6"/>
      <c r="AL948" s="6"/>
    </row>
    <row r="949" spans="28:38" ht="15.75" customHeight="1" x14ac:dyDescent="0.25">
      <c r="AB949" s="6"/>
      <c r="AC949" s="6"/>
      <c r="AD949" s="6"/>
      <c r="AE949" s="6"/>
      <c r="AF949" s="6"/>
      <c r="AG949" s="6"/>
      <c r="AH949" s="6"/>
      <c r="AI949" s="6"/>
      <c r="AJ949" s="6"/>
      <c r="AK949" s="6"/>
      <c r="AL949" s="6"/>
    </row>
    <row r="950" spans="28:38" ht="15.75" customHeight="1" x14ac:dyDescent="0.25">
      <c r="AB950" s="6"/>
      <c r="AC950" s="6"/>
      <c r="AD950" s="6"/>
      <c r="AE950" s="6"/>
      <c r="AF950" s="6"/>
      <c r="AG950" s="6"/>
      <c r="AH950" s="6"/>
      <c r="AI950" s="6"/>
      <c r="AJ950" s="6"/>
      <c r="AK950" s="6"/>
      <c r="AL950" s="6"/>
    </row>
    <row r="951" spans="28:38" ht="15.75" customHeight="1" x14ac:dyDescent="0.25">
      <c r="AB951" s="6"/>
      <c r="AC951" s="6"/>
      <c r="AD951" s="6"/>
      <c r="AE951" s="6"/>
      <c r="AF951" s="6"/>
      <c r="AG951" s="6"/>
      <c r="AH951" s="6"/>
      <c r="AI951" s="6"/>
      <c r="AJ951" s="6"/>
      <c r="AK951" s="6"/>
      <c r="AL951" s="6"/>
    </row>
    <row r="952" spans="28:38" ht="15.75" customHeight="1" x14ac:dyDescent="0.25">
      <c r="AB952" s="6"/>
      <c r="AC952" s="6"/>
      <c r="AD952" s="6"/>
      <c r="AE952" s="6"/>
      <c r="AF952" s="6"/>
      <c r="AG952" s="6"/>
      <c r="AH952" s="6"/>
      <c r="AI952" s="6"/>
      <c r="AJ952" s="6"/>
      <c r="AK952" s="6"/>
      <c r="AL952" s="6"/>
    </row>
    <row r="953" spans="28:38" ht="15.75" customHeight="1" x14ac:dyDescent="0.25">
      <c r="AB953" s="6"/>
      <c r="AC953" s="6"/>
      <c r="AD953" s="6"/>
      <c r="AE953" s="6"/>
      <c r="AF953" s="6"/>
      <c r="AG953" s="6"/>
      <c r="AH953" s="6"/>
      <c r="AI953" s="6"/>
      <c r="AJ953" s="6"/>
      <c r="AK953" s="6"/>
      <c r="AL953" s="6"/>
    </row>
    <row r="954" spans="28:38" ht="15.75" customHeight="1" x14ac:dyDescent="0.25">
      <c r="AB954" s="6"/>
      <c r="AC954" s="6"/>
      <c r="AD954" s="6"/>
      <c r="AE954" s="6"/>
      <c r="AF954" s="6"/>
      <c r="AG954" s="6"/>
      <c r="AH954" s="6"/>
      <c r="AI954" s="6"/>
      <c r="AJ954" s="6"/>
      <c r="AK954" s="6"/>
      <c r="AL954" s="6"/>
    </row>
    <row r="955" spans="28:38" ht="15.75" customHeight="1" x14ac:dyDescent="0.25">
      <c r="AB955" s="6"/>
      <c r="AC955" s="6"/>
      <c r="AD955" s="6"/>
      <c r="AE955" s="6"/>
      <c r="AF955" s="6"/>
      <c r="AG955" s="6"/>
      <c r="AH955" s="6"/>
      <c r="AI955" s="6"/>
      <c r="AJ955" s="6"/>
      <c r="AK955" s="6"/>
      <c r="AL955" s="6"/>
    </row>
    <row r="956" spans="28:38" ht="15.75" customHeight="1" x14ac:dyDescent="0.25">
      <c r="AB956" s="6"/>
      <c r="AC956" s="6"/>
      <c r="AD956" s="6"/>
      <c r="AE956" s="6"/>
      <c r="AF956" s="6"/>
      <c r="AG956" s="6"/>
      <c r="AH956" s="6"/>
      <c r="AI956" s="6"/>
      <c r="AJ956" s="6"/>
      <c r="AK956" s="6"/>
      <c r="AL956" s="6"/>
    </row>
    <row r="957" spans="28:38" ht="15.75" customHeight="1" x14ac:dyDescent="0.25">
      <c r="AB957" s="6"/>
      <c r="AC957" s="6"/>
      <c r="AD957" s="6"/>
      <c r="AE957" s="6"/>
      <c r="AF957" s="6"/>
      <c r="AG957" s="6"/>
      <c r="AH957" s="6"/>
      <c r="AI957" s="6"/>
      <c r="AJ957" s="6"/>
      <c r="AK957" s="6"/>
      <c r="AL957" s="6"/>
    </row>
    <row r="958" spans="28:38" ht="15.75" customHeight="1" x14ac:dyDescent="0.25">
      <c r="AB958" s="6"/>
      <c r="AC958" s="6"/>
      <c r="AD958" s="6"/>
      <c r="AE958" s="6"/>
      <c r="AF958" s="6"/>
      <c r="AG958" s="6"/>
      <c r="AH958" s="6"/>
      <c r="AI958" s="6"/>
      <c r="AJ958" s="6"/>
      <c r="AK958" s="6"/>
      <c r="AL958" s="6"/>
    </row>
    <row r="959" spans="28:38" ht="15.75" customHeight="1" x14ac:dyDescent="0.25">
      <c r="AB959" s="6"/>
      <c r="AC959" s="6"/>
      <c r="AD959" s="6"/>
      <c r="AE959" s="6"/>
      <c r="AF959" s="6"/>
      <c r="AG959" s="6"/>
      <c r="AH959" s="6"/>
      <c r="AI959" s="6"/>
      <c r="AJ959" s="6"/>
      <c r="AK959" s="6"/>
      <c r="AL959" s="6"/>
    </row>
    <row r="960" spans="28:38" ht="15.75" customHeight="1" x14ac:dyDescent="0.25">
      <c r="AB960" s="6"/>
      <c r="AC960" s="6"/>
      <c r="AD960" s="6"/>
      <c r="AE960" s="6"/>
      <c r="AF960" s="6"/>
      <c r="AG960" s="6"/>
      <c r="AH960" s="6"/>
      <c r="AI960" s="6"/>
      <c r="AJ960" s="6"/>
      <c r="AK960" s="6"/>
      <c r="AL960" s="6"/>
    </row>
    <row r="961" spans="28:38" ht="15.75" customHeight="1" x14ac:dyDescent="0.25">
      <c r="AB961" s="6"/>
      <c r="AC961" s="6"/>
      <c r="AD961" s="6"/>
      <c r="AE961" s="6"/>
      <c r="AF961" s="6"/>
      <c r="AG961" s="6"/>
      <c r="AH961" s="6"/>
      <c r="AI961" s="6"/>
      <c r="AJ961" s="6"/>
      <c r="AK961" s="6"/>
      <c r="AL961" s="6"/>
    </row>
    <row r="962" spans="28:38" ht="15.75" customHeight="1" x14ac:dyDescent="0.25">
      <c r="AB962" s="6"/>
      <c r="AC962" s="6"/>
      <c r="AD962" s="6"/>
      <c r="AE962" s="6"/>
      <c r="AF962" s="6"/>
      <c r="AG962" s="6"/>
      <c r="AH962" s="6"/>
      <c r="AI962" s="6"/>
      <c r="AJ962" s="6"/>
      <c r="AK962" s="6"/>
      <c r="AL962" s="6"/>
    </row>
    <row r="963" spans="28:38" ht="15.75" customHeight="1" x14ac:dyDescent="0.25">
      <c r="AB963" s="6"/>
      <c r="AC963" s="6"/>
      <c r="AD963" s="6"/>
      <c r="AE963" s="6"/>
      <c r="AF963" s="6"/>
      <c r="AG963" s="6"/>
      <c r="AH963" s="6"/>
      <c r="AI963" s="6"/>
      <c r="AJ963" s="6"/>
      <c r="AK963" s="6"/>
      <c r="AL963" s="6"/>
    </row>
    <row r="964" spans="28:38" ht="15.75" customHeight="1" x14ac:dyDescent="0.25">
      <c r="AB964" s="6"/>
      <c r="AC964" s="6"/>
      <c r="AD964" s="6"/>
      <c r="AE964" s="6"/>
      <c r="AF964" s="6"/>
      <c r="AG964" s="6"/>
      <c r="AH964" s="6"/>
      <c r="AI964" s="6"/>
      <c r="AJ964" s="6"/>
      <c r="AK964" s="6"/>
      <c r="AL964" s="6"/>
    </row>
    <row r="965" spans="28:38" ht="15.75" customHeight="1" x14ac:dyDescent="0.25">
      <c r="AB965" s="6"/>
      <c r="AC965" s="6"/>
      <c r="AD965" s="6"/>
      <c r="AE965" s="6"/>
      <c r="AF965" s="6"/>
      <c r="AG965" s="6"/>
      <c r="AH965" s="6"/>
      <c r="AI965" s="6"/>
      <c r="AJ965" s="6"/>
      <c r="AK965" s="6"/>
      <c r="AL965" s="6"/>
    </row>
    <row r="966" spans="28:38" ht="15.75" customHeight="1" x14ac:dyDescent="0.25">
      <c r="AB966" s="6"/>
      <c r="AC966" s="6"/>
      <c r="AD966" s="6"/>
      <c r="AE966" s="6"/>
      <c r="AF966" s="6"/>
      <c r="AG966" s="6"/>
      <c r="AH966" s="6"/>
      <c r="AI966" s="6"/>
      <c r="AJ966" s="6"/>
      <c r="AK966" s="6"/>
      <c r="AL966" s="6"/>
    </row>
    <row r="967" spans="28:38" ht="15.75" customHeight="1" x14ac:dyDescent="0.25">
      <c r="AB967" s="6"/>
      <c r="AC967" s="6"/>
      <c r="AD967" s="6"/>
      <c r="AE967" s="6"/>
      <c r="AF967" s="6"/>
      <c r="AG967" s="6"/>
      <c r="AH967" s="6"/>
      <c r="AI967" s="6"/>
      <c r="AJ967" s="6"/>
      <c r="AK967" s="6"/>
      <c r="AL967" s="6"/>
    </row>
    <row r="968" spans="28:38" ht="15.75" customHeight="1" x14ac:dyDescent="0.25">
      <c r="AB968" s="6"/>
      <c r="AC968" s="6"/>
      <c r="AD968" s="6"/>
      <c r="AE968" s="6"/>
      <c r="AF968" s="6"/>
      <c r="AG968" s="6"/>
      <c r="AH968" s="6"/>
      <c r="AI968" s="6"/>
      <c r="AJ968" s="6"/>
      <c r="AK968" s="6"/>
      <c r="AL968" s="6"/>
    </row>
    <row r="969" spans="28:38" ht="15.75" customHeight="1" x14ac:dyDescent="0.25">
      <c r="AB969" s="6"/>
      <c r="AC969" s="6"/>
      <c r="AD969" s="6"/>
      <c r="AE969" s="6"/>
      <c r="AF969" s="6"/>
      <c r="AG969" s="6"/>
      <c r="AH969" s="6"/>
      <c r="AI969" s="6"/>
      <c r="AJ969" s="6"/>
      <c r="AK969" s="6"/>
      <c r="AL969" s="6"/>
    </row>
    <row r="970" spans="28:38" ht="15.75" customHeight="1" x14ac:dyDescent="0.25">
      <c r="AB970" s="6"/>
      <c r="AC970" s="6"/>
      <c r="AD970" s="6"/>
      <c r="AE970" s="6"/>
      <c r="AF970" s="6"/>
      <c r="AG970" s="6"/>
      <c r="AH970" s="6"/>
      <c r="AI970" s="6"/>
      <c r="AJ970" s="6"/>
      <c r="AK970" s="6"/>
      <c r="AL970" s="6"/>
    </row>
    <row r="971" spans="28:38" ht="15.75" customHeight="1" x14ac:dyDescent="0.25">
      <c r="AB971" s="6"/>
      <c r="AC971" s="6"/>
      <c r="AD971" s="6"/>
      <c r="AE971" s="6"/>
      <c r="AF971" s="6"/>
      <c r="AG971" s="6"/>
      <c r="AH971" s="6"/>
      <c r="AI971" s="6"/>
      <c r="AJ971" s="6"/>
      <c r="AK971" s="6"/>
      <c r="AL971" s="6"/>
    </row>
    <row r="972" spans="28:38" ht="15.75" customHeight="1" x14ac:dyDescent="0.25">
      <c r="AB972" s="6"/>
      <c r="AC972" s="6"/>
      <c r="AD972" s="6"/>
      <c r="AE972" s="6"/>
      <c r="AF972" s="6"/>
      <c r="AG972" s="6"/>
      <c r="AH972" s="6"/>
      <c r="AI972" s="6"/>
      <c r="AJ972" s="6"/>
      <c r="AK972" s="6"/>
      <c r="AL972" s="6"/>
    </row>
    <row r="973" spans="28:38" ht="15.75" customHeight="1" x14ac:dyDescent="0.25">
      <c r="AB973" s="6"/>
      <c r="AC973" s="6"/>
      <c r="AD973" s="6"/>
      <c r="AE973" s="6"/>
      <c r="AF973" s="6"/>
      <c r="AG973" s="6"/>
      <c r="AH973" s="6"/>
      <c r="AI973" s="6"/>
      <c r="AJ973" s="6"/>
      <c r="AK973" s="6"/>
      <c r="AL973" s="6"/>
    </row>
    <row r="974" spans="28:38" ht="15.75" customHeight="1" x14ac:dyDescent="0.25">
      <c r="AB974" s="6"/>
      <c r="AC974" s="6"/>
      <c r="AD974" s="6"/>
      <c r="AE974" s="6"/>
      <c r="AF974" s="6"/>
      <c r="AG974" s="6"/>
      <c r="AH974" s="6"/>
      <c r="AI974" s="6"/>
      <c r="AJ974" s="6"/>
      <c r="AK974" s="6"/>
      <c r="AL974" s="6"/>
    </row>
    <row r="975" spans="28:38" ht="15.75" customHeight="1" x14ac:dyDescent="0.25">
      <c r="AB975" s="6"/>
      <c r="AC975" s="6"/>
      <c r="AD975" s="6"/>
      <c r="AE975" s="6"/>
      <c r="AF975" s="6"/>
      <c r="AG975" s="6"/>
      <c r="AH975" s="6"/>
      <c r="AI975" s="6"/>
      <c r="AJ975" s="6"/>
      <c r="AK975" s="6"/>
      <c r="AL975" s="6"/>
    </row>
  </sheetData>
  <mergeCells count="13">
    <mergeCell ref="L27:M27"/>
    <mergeCell ref="I1:K1"/>
    <mergeCell ref="L1:P1"/>
    <mergeCell ref="Q1:U1"/>
    <mergeCell ref="V1:AA1"/>
    <mergeCell ref="L3:M3"/>
    <mergeCell ref="L5:M5"/>
    <mergeCell ref="L7:M7"/>
    <mergeCell ref="L11:M11"/>
    <mergeCell ref="L15:M15"/>
    <mergeCell ref="L17:M17"/>
    <mergeCell ref="L19:M19"/>
    <mergeCell ref="L21:M21"/>
  </mergeCells>
  <conditionalFormatting sqref="Q3:Q39">
    <cfRule type="cellIs" dxfId="45" priority="1" operator="greaterThan">
      <formula>0</formula>
    </cfRule>
  </conditionalFormatting>
  <conditionalFormatting sqref="Q3:Q39">
    <cfRule type="cellIs" dxfId="44" priority="2" operator="lessThanOrEqual">
      <formula>0</formula>
    </cfRule>
  </conditionalFormatting>
  <conditionalFormatting sqref="AA14">
    <cfRule type="cellIs" dxfId="43" priority="3" operator="equal">
      <formula>"Atractivo"</formula>
    </cfRule>
  </conditionalFormatting>
  <conditionalFormatting sqref="H3 H5:H42">
    <cfRule type="cellIs" dxfId="42" priority="4" operator="equal">
      <formula>"Futuro líder"</formula>
    </cfRule>
  </conditionalFormatting>
  <conditionalFormatting sqref="H3 H5:H42">
    <cfRule type="cellIs" dxfId="41" priority="5" operator="equal">
      <formula>"Oportunidad CP"</formula>
    </cfRule>
  </conditionalFormatting>
  <conditionalFormatting sqref="H3 H5:H42">
    <cfRule type="cellIs" dxfId="40" priority="6" operator="equal">
      <formula>"Líder global"</formula>
    </cfRule>
  </conditionalFormatting>
  <conditionalFormatting sqref="H3 H5:H42">
    <cfRule type="cellIs" dxfId="39" priority="7" operator="equal">
      <formula>"Atractiva MP"</formula>
    </cfRule>
  </conditionalFormatting>
  <conditionalFormatting sqref="H3 H5:H42">
    <cfRule type="cellIs" dxfId="38" priority="8" operator="equal">
      <formula>"Alternativo"</formula>
    </cfRule>
  </conditionalFormatting>
  <conditionalFormatting sqref="H3 H5:H42">
    <cfRule type="cellIs" dxfId="37" priority="9" operator="equal">
      <formula>"Alta Calidad"</formula>
    </cfRule>
  </conditionalFormatting>
  <conditionalFormatting sqref="E3 G3 E5:E38 F5:F22 G5:G40 F24 F26 F28:F30 F32:F38 E40:F40">
    <cfRule type="cellIs" dxfId="36" priority="10" operator="equal">
      <formula>"Baja"</formula>
    </cfRule>
  </conditionalFormatting>
  <conditionalFormatting sqref="E3 G3 E5:E38 F5:F22 G5:G40 F24 F26 F28:F30 F32:F38 E40:F40">
    <cfRule type="cellIs" dxfId="35" priority="11" operator="equal">
      <formula>"Media"</formula>
    </cfRule>
  </conditionalFormatting>
  <conditionalFormatting sqref="E3 G3 E5:E38 F5:F22 G5:G40 F24 F26 F28:F30 F32:F38 E40:F40">
    <cfRule type="cellIs" dxfId="34" priority="12" operator="equal">
      <formula>"Alta"</formula>
    </cfRule>
  </conditionalFormatting>
  <conditionalFormatting sqref="I3:K3 I5:K40">
    <cfRule type="cellIs" dxfId="33" priority="13" operator="equal">
      <formula>"Alcista"</formula>
    </cfRule>
  </conditionalFormatting>
  <conditionalFormatting sqref="I3:K3 I5:K40">
    <cfRule type="cellIs" dxfId="32" priority="14" operator="equal">
      <formula>"Neutral"</formula>
    </cfRule>
  </conditionalFormatting>
  <conditionalFormatting sqref="I3:K3 I5:K40">
    <cfRule type="cellIs" dxfId="31" priority="15" operator="equal">
      <formula>"Bajista"</formula>
    </cfRule>
  </conditionalFormatting>
  <conditionalFormatting sqref="V3:V39">
    <cfRule type="colorScale" priority="16">
      <colorScale>
        <cfvo type="min"/>
        <cfvo type="percentile" val="50"/>
        <cfvo type="max"/>
        <color rgb="FFE67C73"/>
        <color rgb="FFFFFFFF"/>
        <color rgb="FF57BB8A"/>
      </colorScale>
    </cfRule>
  </conditionalFormatting>
  <conditionalFormatting sqref="W3:W39">
    <cfRule type="colorScale" priority="17">
      <colorScale>
        <cfvo type="min"/>
        <cfvo type="percentile" val="50"/>
        <cfvo type="max"/>
        <color rgb="FFE67C73"/>
        <color rgb="FFFFFFFF"/>
        <color rgb="FF57BB8A"/>
      </colorScale>
    </cfRule>
  </conditionalFormatting>
  <conditionalFormatting sqref="Q3:U39">
    <cfRule type="cellIs" dxfId="30" priority="18" operator="greaterThan">
      <formula>0</formula>
    </cfRule>
  </conditionalFormatting>
  <conditionalFormatting sqref="Q3:U39">
    <cfRule type="cellIs" dxfId="29" priority="19" operator="lessThanOrEqual">
      <formula>0</formula>
    </cfRule>
  </conditionalFormatting>
  <conditionalFormatting sqref="Z3:Z39 AA3:AA12 AA14 AA16:AA39">
    <cfRule type="containsText" dxfId="28" priority="20" operator="containsText" text="Alta">
      <formula>NOT(ISERROR(SEARCH(("Alta"),(Z3))))</formula>
    </cfRule>
  </conditionalFormatting>
  <conditionalFormatting sqref="Z3:Z39 AA3:AA12 AA14 AA16:AA39">
    <cfRule type="containsText" dxfId="27" priority="21" operator="containsText" text="Media">
      <formula>NOT(ISERROR(SEARCH(("Media"),(Z3))))</formula>
    </cfRule>
  </conditionalFormatting>
  <conditionalFormatting sqref="Z3:Z39 AA3:AA12 AA14 AA16:AA39">
    <cfRule type="containsText" dxfId="26" priority="22" operator="containsText" text="Baja">
      <formula>NOT(ISERROR(SEARCH(("Baja"),(Z3))))</formula>
    </cfRule>
  </conditionalFormatting>
  <pageMargins left="0.7" right="0.7" top="0.75" bottom="0.75" header="0" footer="0"/>
  <pageSetup orientation="landscape"/>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Portafolio Discrecional</vt:lpstr>
      <vt:lpstr>Ideas de Trading</vt:lpstr>
      <vt:lpstr>Acciones nuevos máx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Portfolio</dc:creator>
  <cp:lastModifiedBy>Guillermo</cp:lastModifiedBy>
  <dcterms:created xsi:type="dcterms:W3CDTF">2020-09-08T14:29:46Z</dcterms:created>
  <dcterms:modified xsi:type="dcterms:W3CDTF">2023-06-27T17:33:52Z</dcterms:modified>
</cp:coreProperties>
</file>