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CBE5EEFE-AD4A-47FE-B776-0CBD026E8F8C}"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Matriz táctica" sheetId="4" r:id="rId2"/>
    <sheet name="Ideas de Trading" sheetId="5" r:id="rId3"/>
    <sheet name="Watchlist" sheetId="6" r:id="rId4"/>
  </sheets>
  <calcPr calcId="191029"/>
  <extLst>
    <ext uri="GoogleSheetsCustomDataVersion2">
      <go:sheetsCustomData xmlns:go="http://customooxmlschemas.google.com/" r:id="rId10" roundtripDataChecksum="Aix2IlYdwYPL253XmNtV2bROajaSCz38eCOOnbR36Fw="/>
    </ext>
  </extLst>
</workbook>
</file>

<file path=xl/calcChain.xml><?xml version="1.0" encoding="utf-8"?>
<calcChain xmlns="http://schemas.openxmlformats.org/spreadsheetml/2006/main">
  <c r="AD41" i="6" l="1"/>
  <c r="AC41" i="6"/>
  <c r="AD40" i="6"/>
  <c r="AC40" i="6"/>
  <c r="AA40" i="6"/>
  <c r="Y40" i="6"/>
  <c r="W40" i="6"/>
  <c r="U40" i="6"/>
  <c r="L40" i="6"/>
  <c r="K40" i="6"/>
  <c r="G40" i="6"/>
  <c r="M40" i="6" s="1"/>
  <c r="D40" i="6"/>
  <c r="C40" i="6"/>
  <c r="AD39" i="6"/>
  <c r="AC39" i="6"/>
  <c r="AD38" i="6"/>
  <c r="AC38" i="6"/>
  <c r="AA38" i="6"/>
  <c r="Y38" i="6"/>
  <c r="W38" i="6"/>
  <c r="U38" i="6"/>
  <c r="L38" i="6"/>
  <c r="K38" i="6"/>
  <c r="G38" i="6"/>
  <c r="I38" i="6" s="1"/>
  <c r="D38" i="6"/>
  <c r="C38" i="6"/>
  <c r="AD37" i="6"/>
  <c r="AC37" i="6"/>
  <c r="AD36" i="6"/>
  <c r="AC36" i="6"/>
  <c r="AA36" i="6"/>
  <c r="Y36" i="6"/>
  <c r="W36" i="6"/>
  <c r="U36" i="6"/>
  <c r="L36" i="6"/>
  <c r="K36" i="6"/>
  <c r="G36" i="6"/>
  <c r="D36" i="6"/>
  <c r="C36" i="6"/>
  <c r="AD35" i="6"/>
  <c r="AC35" i="6"/>
  <c r="AD34" i="6"/>
  <c r="AC34" i="6"/>
  <c r="AA34" i="6"/>
  <c r="Y34" i="6"/>
  <c r="W34" i="6"/>
  <c r="U34" i="6"/>
  <c r="L34" i="6"/>
  <c r="K34" i="6"/>
  <c r="G34" i="6"/>
  <c r="D34" i="6"/>
  <c r="C34" i="6"/>
  <c r="AD33" i="6"/>
  <c r="AC33" i="6"/>
  <c r="A33" i="6"/>
  <c r="AD32" i="6"/>
  <c r="AC32" i="6"/>
  <c r="AA32" i="6"/>
  <c r="Y32" i="6"/>
  <c r="W32" i="6"/>
  <c r="U32" i="6"/>
  <c r="L32" i="6"/>
  <c r="K32" i="6"/>
  <c r="G32" i="6"/>
  <c r="P32" i="6" s="1"/>
  <c r="D32" i="6"/>
  <c r="C32" i="6"/>
  <c r="A32" i="6"/>
  <c r="A34" i="6" s="1"/>
  <c r="A36" i="6" s="1"/>
  <c r="A38" i="6" s="1"/>
  <c r="A40" i="6" s="1"/>
  <c r="AD31" i="6"/>
  <c r="AC31" i="6"/>
  <c r="AD30" i="6"/>
  <c r="AC30" i="6"/>
  <c r="AA30" i="6"/>
  <c r="Y30" i="6"/>
  <c r="W30" i="6"/>
  <c r="U30" i="6"/>
  <c r="L30" i="6"/>
  <c r="K30" i="6"/>
  <c r="G30" i="6"/>
  <c r="I30" i="6" s="1"/>
  <c r="D30" i="6"/>
  <c r="C30" i="6"/>
  <c r="AD26" i="6"/>
  <c r="AC26" i="6"/>
  <c r="AD25" i="6"/>
  <c r="AC25" i="6"/>
  <c r="AA25" i="6"/>
  <c r="Y25" i="6"/>
  <c r="W25" i="6"/>
  <c r="U25" i="6"/>
  <c r="L25" i="6"/>
  <c r="G25" i="6"/>
  <c r="O25" i="6" s="1"/>
  <c r="D25" i="6"/>
  <c r="C25" i="6"/>
  <c r="AD24" i="6"/>
  <c r="AC24" i="6"/>
  <c r="AD23" i="6"/>
  <c r="AC23" i="6"/>
  <c r="AA23" i="6"/>
  <c r="Y23" i="6"/>
  <c r="W23" i="6"/>
  <c r="U23" i="6"/>
  <c r="L23" i="6"/>
  <c r="G23" i="6"/>
  <c r="D23" i="6"/>
  <c r="C23" i="6"/>
  <c r="AD22" i="6"/>
  <c r="AC22" i="6"/>
  <c r="AD21" i="6"/>
  <c r="AC21" i="6"/>
  <c r="AA21" i="6"/>
  <c r="Y21" i="6"/>
  <c r="W21" i="6"/>
  <c r="U21" i="6"/>
  <c r="L21" i="6"/>
  <c r="G21" i="6"/>
  <c r="O21" i="6" s="1"/>
  <c r="D21" i="6"/>
  <c r="C21" i="6"/>
  <c r="AD20" i="6"/>
  <c r="AC20" i="6"/>
  <c r="A20" i="6"/>
  <c r="AD19" i="6"/>
  <c r="AC19" i="6"/>
  <c r="AA19" i="6"/>
  <c r="Y19" i="6"/>
  <c r="W19" i="6"/>
  <c r="U19" i="6"/>
  <c r="L19" i="6"/>
  <c r="G19" i="6"/>
  <c r="I19" i="6" s="1"/>
  <c r="D19" i="6"/>
  <c r="C19" i="6"/>
  <c r="AD17" i="6"/>
  <c r="AC17" i="6"/>
  <c r="AD16" i="6"/>
  <c r="AC16" i="6"/>
  <c r="AA16" i="6"/>
  <c r="Y16" i="6"/>
  <c r="W16" i="6"/>
  <c r="U16" i="6"/>
  <c r="L16" i="6"/>
  <c r="G16" i="6"/>
  <c r="O16" i="6" s="1"/>
  <c r="D16" i="6"/>
  <c r="C16" i="6"/>
  <c r="AD15" i="6"/>
  <c r="AC15" i="6"/>
  <c r="AD14" i="6"/>
  <c r="AC14" i="6"/>
  <c r="AA14" i="6"/>
  <c r="Y14" i="6"/>
  <c r="W14" i="6"/>
  <c r="U14" i="6"/>
  <c r="L14" i="6"/>
  <c r="G14" i="6"/>
  <c r="M14" i="6" s="1"/>
  <c r="D14" i="6"/>
  <c r="C14" i="6"/>
  <c r="AD13" i="6"/>
  <c r="AC13" i="6"/>
  <c r="AD12" i="6"/>
  <c r="AC12" i="6"/>
  <c r="AA12" i="6"/>
  <c r="Y12" i="6"/>
  <c r="W12" i="6"/>
  <c r="U12" i="6"/>
  <c r="L12" i="6"/>
  <c r="G12" i="6"/>
  <c r="P12" i="6" s="1"/>
  <c r="D12" i="6"/>
  <c r="C12" i="6"/>
  <c r="AD11" i="6"/>
  <c r="AC11" i="6"/>
  <c r="AD10" i="6"/>
  <c r="AC10" i="6"/>
  <c r="AA10" i="6"/>
  <c r="Y10" i="6"/>
  <c r="W10" i="6"/>
  <c r="U10" i="6"/>
  <c r="L10" i="6"/>
  <c r="G10" i="6"/>
  <c r="D10" i="6"/>
  <c r="C10" i="6"/>
  <c r="AD9" i="6"/>
  <c r="AC9" i="6"/>
  <c r="AD8" i="6"/>
  <c r="AC8" i="6"/>
  <c r="AA8" i="6"/>
  <c r="Y8" i="6"/>
  <c r="W8" i="6"/>
  <c r="U8" i="6"/>
  <c r="L8" i="6"/>
  <c r="G8" i="6"/>
  <c r="O8" i="6" s="1"/>
  <c r="D8" i="6"/>
  <c r="C8" i="6"/>
  <c r="A8" i="6"/>
  <c r="A10" i="6" s="1"/>
  <c r="A12" i="6" s="1"/>
  <c r="A14" i="6" s="1"/>
  <c r="A16" i="6" s="1"/>
  <c r="AD7" i="6"/>
  <c r="AC7" i="6"/>
  <c r="AD6" i="6"/>
  <c r="AC6" i="6"/>
  <c r="AA6" i="6"/>
  <c r="Y6" i="6"/>
  <c r="W6" i="6"/>
  <c r="U6" i="6"/>
  <c r="L6" i="6"/>
  <c r="G6" i="6"/>
  <c r="M6" i="6" s="1"/>
  <c r="D6" i="6"/>
  <c r="C6" i="6"/>
  <c r="A6" i="6"/>
  <c r="AD5" i="6"/>
  <c r="AC5" i="6"/>
  <c r="A5" i="6"/>
  <c r="A7" i="6" s="1"/>
  <c r="AD4" i="6"/>
  <c r="AC4" i="6"/>
  <c r="AA4" i="6"/>
  <c r="Y4" i="6"/>
  <c r="W4" i="6"/>
  <c r="U4" i="6"/>
  <c r="L4" i="6"/>
  <c r="G4" i="6"/>
  <c r="P4" i="6" s="1"/>
  <c r="D4" i="6"/>
  <c r="C4" i="6"/>
  <c r="D55" i="5"/>
  <c r="C55" i="5"/>
  <c r="D54" i="5"/>
  <c r="C54" i="5"/>
  <c r="D53" i="5"/>
  <c r="C53" i="5"/>
  <c r="D52" i="5"/>
  <c r="C52" i="5"/>
  <c r="A52" i="5"/>
  <c r="A53" i="5" s="1"/>
  <c r="A54" i="5" s="1"/>
  <c r="A55" i="5" s="1"/>
  <c r="D51" i="5"/>
  <c r="C51" i="5"/>
  <c r="A51" i="5"/>
  <c r="D50" i="5"/>
  <c r="C50" i="5"/>
  <c r="A50" i="5"/>
  <c r="F39" i="5"/>
  <c r="E39" i="5"/>
  <c r="G38" i="5"/>
  <c r="G37" i="5"/>
  <c r="G39" i="5" s="1"/>
  <c r="F33" i="5"/>
  <c r="E33" i="5"/>
  <c r="E32" i="5"/>
  <c r="D28" i="5"/>
  <c r="D27" i="5"/>
  <c r="D26" i="5"/>
  <c r="AG25" i="5"/>
  <c r="AR24" i="5"/>
  <c r="AP24" i="5"/>
  <c r="AN24" i="5"/>
  <c r="AL24" i="5"/>
  <c r="AJ24" i="5"/>
  <c r="AH24" i="5"/>
  <c r="AQ20" i="5"/>
  <c r="Y19" i="5" s="1"/>
  <c r="AP20" i="5"/>
  <c r="A20" i="5"/>
  <c r="AQ19" i="5"/>
  <c r="AP19" i="5"/>
  <c r="AN19" i="5"/>
  <c r="AL19" i="5"/>
  <c r="AJ19" i="5"/>
  <c r="AH19" i="5"/>
  <c r="X19" i="5"/>
  <c r="W19" i="5"/>
  <c r="V19" i="5"/>
  <c r="U19" i="5"/>
  <c r="T19" i="5"/>
  <c r="S19" i="5"/>
  <c r="Q19" i="5"/>
  <c r="D19" i="5"/>
  <c r="C19" i="5"/>
  <c r="A15" i="5"/>
  <c r="AP14" i="5"/>
  <c r="AN14" i="5"/>
  <c r="AL14" i="5"/>
  <c r="AJ14" i="5"/>
  <c r="AH14" i="5"/>
  <c r="Y14" i="5"/>
  <c r="X14" i="5"/>
  <c r="W14" i="5"/>
  <c r="V14" i="5"/>
  <c r="U14" i="5"/>
  <c r="T14" i="5"/>
  <c r="S14" i="5"/>
  <c r="Q14" i="5"/>
  <c r="D14" i="5"/>
  <c r="C14" i="5"/>
  <c r="AQ13" i="5"/>
  <c r="Y12" i="5" s="1"/>
  <c r="AP13" i="5"/>
  <c r="AQ12" i="5"/>
  <c r="AP12" i="5"/>
  <c r="AN12" i="5"/>
  <c r="AL12" i="5"/>
  <c r="AJ12" i="5"/>
  <c r="AH12" i="5"/>
  <c r="X12" i="5"/>
  <c r="W12" i="5"/>
  <c r="V12" i="5"/>
  <c r="U12" i="5"/>
  <c r="T12" i="5"/>
  <c r="S12" i="5"/>
  <c r="Q12" i="5"/>
  <c r="D12" i="5"/>
  <c r="C12" i="5"/>
  <c r="AQ11" i="5"/>
  <c r="Y10" i="5" s="1"/>
  <c r="AP11" i="5"/>
  <c r="AQ10" i="5"/>
  <c r="AP10" i="5"/>
  <c r="AN10" i="5"/>
  <c r="AL10" i="5"/>
  <c r="AJ10" i="5"/>
  <c r="AH10" i="5"/>
  <c r="X10" i="5"/>
  <c r="W10" i="5"/>
  <c r="V10" i="5"/>
  <c r="U10" i="5"/>
  <c r="T10" i="5"/>
  <c r="S10" i="5"/>
  <c r="Q10" i="5"/>
  <c r="D10" i="5"/>
  <c r="C10" i="5"/>
  <c r="AQ9" i="5"/>
  <c r="Y8" i="5" s="1"/>
  <c r="AP9" i="5"/>
  <c r="AQ8" i="5"/>
  <c r="AP8" i="5"/>
  <c r="AN8" i="5"/>
  <c r="AL8" i="5"/>
  <c r="AJ8" i="5"/>
  <c r="AH8" i="5"/>
  <c r="X8" i="5"/>
  <c r="W8" i="5"/>
  <c r="V8" i="5"/>
  <c r="U8" i="5"/>
  <c r="T8" i="5"/>
  <c r="S8" i="5"/>
  <c r="Q8" i="5"/>
  <c r="D8" i="5"/>
  <c r="C8" i="5"/>
  <c r="AQ7" i="5"/>
  <c r="Y6" i="5" s="1"/>
  <c r="AP7" i="5"/>
  <c r="A7" i="5"/>
  <c r="A9" i="5" s="1"/>
  <c r="A11" i="5" s="1"/>
  <c r="A13" i="5" s="1"/>
  <c r="AQ6" i="5"/>
  <c r="AP6" i="5"/>
  <c r="AN6" i="5"/>
  <c r="AL6" i="5"/>
  <c r="AJ6" i="5"/>
  <c r="AH6" i="5"/>
  <c r="X6" i="5"/>
  <c r="W6" i="5"/>
  <c r="V6" i="5"/>
  <c r="U6" i="5"/>
  <c r="T6" i="5"/>
  <c r="S6" i="5"/>
  <c r="Q6" i="5"/>
  <c r="D6" i="5"/>
  <c r="C6" i="5"/>
  <c r="A6" i="5"/>
  <c r="A8" i="5" s="1"/>
  <c r="A10" i="5" s="1"/>
  <c r="A12" i="5" s="1"/>
  <c r="A14" i="5" s="1"/>
  <c r="AQ5" i="5"/>
  <c r="Y4" i="5" s="1"/>
  <c r="AP5" i="5"/>
  <c r="A5" i="5"/>
  <c r="AQ4" i="5"/>
  <c r="AP4" i="5"/>
  <c r="AN4" i="5"/>
  <c r="AL4" i="5"/>
  <c r="AJ4" i="5"/>
  <c r="AH4" i="5"/>
  <c r="X4" i="5"/>
  <c r="W4" i="5"/>
  <c r="V4" i="5"/>
  <c r="U4" i="5"/>
  <c r="T4" i="5"/>
  <c r="S4" i="5"/>
  <c r="Q4" i="5"/>
  <c r="D4" i="5"/>
  <c r="C4" i="5"/>
  <c r="AE10" i="4"/>
  <c r="AD10" i="4"/>
  <c r="AE9" i="4"/>
  <c r="AD9" i="4"/>
  <c r="AB9" i="4"/>
  <c r="Z9" i="4"/>
  <c r="X9" i="4"/>
  <c r="V9" i="4"/>
  <c r="M9" i="4"/>
  <c r="H9" i="4"/>
  <c r="P9" i="4" s="1"/>
  <c r="C9" i="4"/>
  <c r="AE8" i="4"/>
  <c r="AD8" i="4"/>
  <c r="AE7" i="4"/>
  <c r="AD7" i="4"/>
  <c r="AB7" i="4"/>
  <c r="Z7" i="4"/>
  <c r="X7" i="4"/>
  <c r="V7" i="4"/>
  <c r="M7" i="4"/>
  <c r="H7" i="4"/>
  <c r="N7" i="4" s="1"/>
  <c r="C7" i="4"/>
  <c r="AE6" i="4"/>
  <c r="AD6" i="4"/>
  <c r="A6" i="4"/>
  <c r="A8" i="4" s="1"/>
  <c r="AE5" i="4"/>
  <c r="AD5" i="4"/>
  <c r="AB5" i="4"/>
  <c r="Z5" i="4"/>
  <c r="X5" i="4"/>
  <c r="V5" i="4"/>
  <c r="M5" i="4"/>
  <c r="H5" i="4"/>
  <c r="N5" i="4" s="1"/>
  <c r="C5" i="4"/>
  <c r="A5" i="4"/>
  <c r="A7" i="4" s="1"/>
  <c r="A9" i="4" s="1"/>
  <c r="A4" i="4"/>
  <c r="AD3" i="4"/>
  <c r="AB3" i="4"/>
  <c r="Z3" i="4"/>
  <c r="X3" i="4"/>
  <c r="V3" i="4"/>
  <c r="M3" i="4"/>
  <c r="H3" i="4"/>
  <c r="O3" i="4" s="1"/>
  <c r="C3" i="4"/>
  <c r="Q65" i="3"/>
  <c r="P65" i="3"/>
  <c r="N65" i="3"/>
  <c r="M65" i="3"/>
  <c r="D65" i="3"/>
  <c r="C65" i="3"/>
  <c r="Q64" i="3"/>
  <c r="P64" i="3"/>
  <c r="N64" i="3"/>
  <c r="M64" i="3"/>
  <c r="O64" i="3" s="1"/>
  <c r="D64" i="3"/>
  <c r="C64" i="3"/>
  <c r="Q63" i="3"/>
  <c r="P63" i="3"/>
  <c r="N63" i="3"/>
  <c r="O63" i="3" s="1"/>
  <c r="M63" i="3"/>
  <c r="D63" i="3"/>
  <c r="C63" i="3"/>
  <c r="AZ59" i="3"/>
  <c r="AD58" i="3"/>
  <c r="AL48" i="3"/>
  <c r="N48" i="3"/>
  <c r="M48" i="3"/>
  <c r="L48" i="3"/>
  <c r="K48" i="3"/>
  <c r="M41" i="3"/>
  <c r="AV38" i="3"/>
  <c r="AU38" i="3"/>
  <c r="AP38" i="3"/>
  <c r="AO38" i="3"/>
  <c r="AN38" i="3"/>
  <c r="AM38" i="3"/>
  <c r="A38" i="3"/>
  <c r="AV37" i="3"/>
  <c r="AU37" i="3"/>
  <c r="AS37" i="3"/>
  <c r="AQ37" i="3"/>
  <c r="AP37" i="3"/>
  <c r="AO37" i="3"/>
  <c r="AN37" i="3"/>
  <c r="AM37" i="3"/>
  <c r="V37" i="3"/>
  <c r="Q37" i="3"/>
  <c r="M37" i="3"/>
  <c r="J37" i="3"/>
  <c r="U37" i="3" s="1"/>
  <c r="D37" i="3"/>
  <c r="C37" i="3"/>
  <c r="AV36" i="3"/>
  <c r="AU36" i="3"/>
  <c r="AP36" i="3"/>
  <c r="AO36" i="3"/>
  <c r="AN36" i="3"/>
  <c r="AM36" i="3"/>
  <c r="A36" i="3"/>
  <c r="AV35" i="3"/>
  <c r="AU35" i="3"/>
  <c r="AS35" i="3"/>
  <c r="AQ35" i="3"/>
  <c r="AP35" i="3"/>
  <c r="AO35" i="3"/>
  <c r="AN35" i="3"/>
  <c r="AM35" i="3"/>
  <c r="V35" i="3"/>
  <c r="Q35" i="3"/>
  <c r="M35" i="3"/>
  <c r="J35" i="3"/>
  <c r="P35" i="3" s="1"/>
  <c r="D35" i="3"/>
  <c r="C35" i="3"/>
  <c r="AU33" i="3"/>
  <c r="AS33" i="3"/>
  <c r="AQ33" i="3"/>
  <c r="AO33" i="3"/>
  <c r="AM33" i="3"/>
  <c r="V33" i="3"/>
  <c r="Q33" i="3"/>
  <c r="M33" i="3"/>
  <c r="J33" i="3"/>
  <c r="P33" i="3" s="1"/>
  <c r="D33" i="3"/>
  <c r="C33" i="3"/>
  <c r="AV32" i="3"/>
  <c r="AU32" i="3"/>
  <c r="AP32" i="3"/>
  <c r="AO32" i="3"/>
  <c r="AN32" i="3"/>
  <c r="AM32" i="3"/>
  <c r="AA32" i="3"/>
  <c r="Z32" i="3"/>
  <c r="Y32" i="3"/>
  <c r="X32" i="3"/>
  <c r="W32" i="3"/>
  <c r="V32" i="3"/>
  <c r="A32" i="3"/>
  <c r="A34" i="3" s="1"/>
  <c r="AV31" i="3"/>
  <c r="AU31" i="3"/>
  <c r="AS31" i="3"/>
  <c r="AQ31" i="3"/>
  <c r="AP31" i="3"/>
  <c r="AO31" i="3"/>
  <c r="AN31" i="3"/>
  <c r="AM31" i="3"/>
  <c r="V31" i="3"/>
  <c r="Q31" i="3"/>
  <c r="M31" i="3"/>
  <c r="J31" i="3"/>
  <c r="U31" i="3" s="1"/>
  <c r="D31" i="3"/>
  <c r="C31" i="3"/>
  <c r="AV30" i="3"/>
  <c r="AU30" i="3"/>
  <c r="AP30" i="3"/>
  <c r="AO30" i="3"/>
  <c r="AN30" i="3"/>
  <c r="AM30" i="3"/>
  <c r="AA30" i="3"/>
  <c r="Z30" i="3"/>
  <c r="Y30" i="3"/>
  <c r="X30" i="3"/>
  <c r="W30" i="3"/>
  <c r="V30" i="3"/>
  <c r="AV29" i="3"/>
  <c r="AU29" i="3"/>
  <c r="AS29" i="3"/>
  <c r="AQ29" i="3"/>
  <c r="AP29" i="3"/>
  <c r="AO29" i="3"/>
  <c r="AN29" i="3"/>
  <c r="AM29" i="3"/>
  <c r="V29" i="3"/>
  <c r="Q29" i="3"/>
  <c r="M29" i="3"/>
  <c r="L29" i="3"/>
  <c r="J29" i="3"/>
  <c r="Y29" i="3" s="1"/>
  <c r="D29" i="3"/>
  <c r="C29" i="3"/>
  <c r="AV28" i="3"/>
  <c r="AU28" i="3"/>
  <c r="AP28" i="3"/>
  <c r="AO28" i="3"/>
  <c r="AN28" i="3"/>
  <c r="AM28" i="3"/>
  <c r="AA28" i="3"/>
  <c r="Z28" i="3"/>
  <c r="Y28" i="3"/>
  <c r="X28" i="3"/>
  <c r="W28" i="3"/>
  <c r="V28" i="3"/>
  <c r="AV27" i="3"/>
  <c r="AU27" i="3"/>
  <c r="AS27" i="3"/>
  <c r="AQ27" i="3"/>
  <c r="AP27" i="3"/>
  <c r="AO27" i="3"/>
  <c r="AN27" i="3"/>
  <c r="AM27" i="3"/>
  <c r="V27" i="3"/>
  <c r="Q27" i="3"/>
  <c r="M27" i="3"/>
  <c r="L27" i="3"/>
  <c r="J27" i="3"/>
  <c r="N27" i="3" s="1"/>
  <c r="D27" i="3"/>
  <c r="C27" i="3"/>
  <c r="AV26" i="3"/>
  <c r="AU26" i="3"/>
  <c r="AP26" i="3"/>
  <c r="AO26" i="3"/>
  <c r="AN26" i="3"/>
  <c r="AM26" i="3"/>
  <c r="AA26" i="3"/>
  <c r="Z26" i="3"/>
  <c r="Y26" i="3"/>
  <c r="X26" i="3"/>
  <c r="W26" i="3"/>
  <c r="V26" i="3"/>
  <c r="A26" i="3"/>
  <c r="A28" i="3" s="1"/>
  <c r="A30" i="3" s="1"/>
  <c r="AV25" i="3"/>
  <c r="AU25" i="3"/>
  <c r="AS25" i="3"/>
  <c r="AQ25" i="3"/>
  <c r="AP25" i="3"/>
  <c r="AO25" i="3"/>
  <c r="AN25" i="3"/>
  <c r="AM25" i="3"/>
  <c r="V25" i="3"/>
  <c r="Q25" i="3"/>
  <c r="K25" i="3"/>
  <c r="L25" i="3" s="1"/>
  <c r="M25" i="3" s="1"/>
  <c r="J25" i="3"/>
  <c r="U25" i="3" s="1"/>
  <c r="D25" i="3"/>
  <c r="C25" i="3"/>
  <c r="AV24" i="3"/>
  <c r="AU24" i="3"/>
  <c r="AP24" i="3"/>
  <c r="AO24" i="3"/>
  <c r="AN24" i="3"/>
  <c r="AM24" i="3"/>
  <c r="AA24" i="3"/>
  <c r="Z24" i="3"/>
  <c r="Y24" i="3"/>
  <c r="X24" i="3"/>
  <c r="W24" i="3"/>
  <c r="V24" i="3"/>
  <c r="A24" i="3"/>
  <c r="AV23" i="3"/>
  <c r="AU23" i="3"/>
  <c r="AS23" i="3"/>
  <c r="AQ23" i="3"/>
  <c r="AP23" i="3"/>
  <c r="AO23" i="3"/>
  <c r="AN23" i="3"/>
  <c r="AM23" i="3"/>
  <c r="V23" i="3"/>
  <c r="Q23" i="3"/>
  <c r="M23" i="3"/>
  <c r="L23" i="3"/>
  <c r="K23" i="3"/>
  <c r="J23" i="3"/>
  <c r="D23" i="3"/>
  <c r="C23" i="3"/>
  <c r="AV22" i="3"/>
  <c r="AU22" i="3"/>
  <c r="AP22" i="3"/>
  <c r="AO22" i="3"/>
  <c r="AN22" i="3"/>
  <c r="AM22" i="3"/>
  <c r="AA22" i="3"/>
  <c r="Z22" i="3"/>
  <c r="Y22" i="3"/>
  <c r="X22" i="3"/>
  <c r="W22" i="3"/>
  <c r="V22" i="3"/>
  <c r="A22" i="3"/>
  <c r="AV21" i="3"/>
  <c r="AU21" i="3"/>
  <c r="AS21" i="3"/>
  <c r="AQ21" i="3"/>
  <c r="AP21" i="3"/>
  <c r="AO21" i="3"/>
  <c r="AN21" i="3"/>
  <c r="AM21" i="3"/>
  <c r="V21" i="3"/>
  <c r="Q21" i="3"/>
  <c r="L21" i="3"/>
  <c r="M21" i="3" s="1"/>
  <c r="J21" i="3"/>
  <c r="P21" i="3" s="1"/>
  <c r="D21" i="3"/>
  <c r="C21" i="3"/>
  <c r="AV20" i="3"/>
  <c r="AU20" i="3"/>
  <c r="AP20" i="3"/>
  <c r="AO20" i="3"/>
  <c r="AN20" i="3"/>
  <c r="AM20" i="3"/>
  <c r="AA20" i="3"/>
  <c r="Z20" i="3"/>
  <c r="Y20" i="3"/>
  <c r="X20" i="3"/>
  <c r="W20" i="3"/>
  <c r="V20" i="3"/>
  <c r="A20" i="3"/>
  <c r="AV19" i="3"/>
  <c r="AU19" i="3"/>
  <c r="AS19" i="3"/>
  <c r="AQ19" i="3"/>
  <c r="AP19" i="3"/>
  <c r="AO19" i="3"/>
  <c r="AN19" i="3"/>
  <c r="AM19" i="3"/>
  <c r="V19" i="3"/>
  <c r="Q19" i="3"/>
  <c r="L19" i="3"/>
  <c r="M19" i="3" s="1"/>
  <c r="J19" i="3"/>
  <c r="D19" i="3"/>
  <c r="C19" i="3"/>
  <c r="AV18" i="3"/>
  <c r="AU18" i="3"/>
  <c r="AP18" i="3"/>
  <c r="AO18" i="3"/>
  <c r="AN18" i="3"/>
  <c r="AM18" i="3"/>
  <c r="AA18" i="3"/>
  <c r="Z18" i="3"/>
  <c r="Y18" i="3"/>
  <c r="X18" i="3"/>
  <c r="W18" i="3"/>
  <c r="V18" i="3"/>
  <c r="AV17" i="3"/>
  <c r="AU17" i="3"/>
  <c r="AS17" i="3"/>
  <c r="AQ17" i="3"/>
  <c r="AP17" i="3"/>
  <c r="AO17" i="3"/>
  <c r="AN17" i="3"/>
  <c r="AM17" i="3"/>
  <c r="V17" i="3"/>
  <c r="Q17" i="3"/>
  <c r="L17" i="3"/>
  <c r="J17" i="3"/>
  <c r="Z17" i="3" s="1"/>
  <c r="D17" i="3"/>
  <c r="C17" i="3"/>
  <c r="AV16" i="3"/>
  <c r="AU16" i="3"/>
  <c r="AP16" i="3"/>
  <c r="AO16" i="3"/>
  <c r="AN16" i="3"/>
  <c r="AM16" i="3"/>
  <c r="AA16" i="3"/>
  <c r="Z16" i="3"/>
  <c r="Y16" i="3"/>
  <c r="X16" i="3"/>
  <c r="W16" i="3"/>
  <c r="V16" i="3"/>
  <c r="AV15" i="3"/>
  <c r="AU15" i="3"/>
  <c r="AS15" i="3"/>
  <c r="AQ15" i="3"/>
  <c r="AP15" i="3"/>
  <c r="AO15" i="3"/>
  <c r="AN15" i="3"/>
  <c r="AM15" i="3"/>
  <c r="V15" i="3"/>
  <c r="Q15" i="3"/>
  <c r="L15" i="3"/>
  <c r="J15" i="3"/>
  <c r="P15" i="3" s="1"/>
  <c r="D15" i="3"/>
  <c r="C15" i="3"/>
  <c r="AV14" i="3"/>
  <c r="AU14" i="3"/>
  <c r="AP14" i="3"/>
  <c r="AO14" i="3"/>
  <c r="AN14" i="3"/>
  <c r="AM14" i="3"/>
  <c r="AA14" i="3"/>
  <c r="Z14" i="3"/>
  <c r="Y14" i="3"/>
  <c r="X14" i="3"/>
  <c r="W14" i="3"/>
  <c r="V14" i="3"/>
  <c r="AV13" i="3"/>
  <c r="AU13" i="3"/>
  <c r="AS13" i="3"/>
  <c r="AQ13" i="3"/>
  <c r="AP13" i="3"/>
  <c r="AO13" i="3"/>
  <c r="AN13" i="3"/>
  <c r="AM13" i="3"/>
  <c r="V13" i="3"/>
  <c r="Q13" i="3"/>
  <c r="K13" i="3"/>
  <c r="L13" i="3" s="1"/>
  <c r="J13" i="3"/>
  <c r="S13" i="3" s="1"/>
  <c r="D13" i="3"/>
  <c r="C13" i="3"/>
  <c r="AV12" i="3"/>
  <c r="AU12" i="3"/>
  <c r="AP12" i="3"/>
  <c r="AO12" i="3"/>
  <c r="AN12" i="3"/>
  <c r="AM12" i="3"/>
  <c r="AA12" i="3"/>
  <c r="Z12" i="3"/>
  <c r="Y12" i="3"/>
  <c r="X12" i="3"/>
  <c r="W12" i="3"/>
  <c r="V12" i="3"/>
  <c r="AV11" i="3"/>
  <c r="AU11" i="3"/>
  <c r="AS11" i="3"/>
  <c r="AQ11" i="3"/>
  <c r="AP11" i="3"/>
  <c r="AO11" i="3"/>
  <c r="AN11" i="3"/>
  <c r="AM11" i="3"/>
  <c r="V11" i="3"/>
  <c r="Q11" i="3"/>
  <c r="L11" i="3"/>
  <c r="J11" i="3"/>
  <c r="Z11" i="3" s="1"/>
  <c r="D11" i="3"/>
  <c r="C11" i="3"/>
  <c r="AV10" i="3"/>
  <c r="AU10" i="3"/>
  <c r="AP10" i="3"/>
  <c r="AO10" i="3"/>
  <c r="AN10" i="3"/>
  <c r="AM10" i="3"/>
  <c r="AA10" i="3"/>
  <c r="Z10" i="3"/>
  <c r="Y10" i="3"/>
  <c r="X10" i="3"/>
  <c r="W10" i="3"/>
  <c r="V10" i="3"/>
  <c r="A10" i="3"/>
  <c r="A12" i="3" s="1"/>
  <c r="A14" i="3" s="1"/>
  <c r="AV9" i="3"/>
  <c r="AU9" i="3"/>
  <c r="AS9" i="3"/>
  <c r="AQ9" i="3"/>
  <c r="AP9" i="3"/>
  <c r="AO9" i="3"/>
  <c r="AN9" i="3"/>
  <c r="AM9" i="3"/>
  <c r="V9" i="3"/>
  <c r="Q9" i="3"/>
  <c r="M9" i="3"/>
  <c r="J9" i="3"/>
  <c r="N9" i="3" s="1"/>
  <c r="O9" i="3" s="1"/>
  <c r="D9" i="3"/>
  <c r="C9" i="3"/>
  <c r="AV8" i="3"/>
  <c r="AU8" i="3"/>
  <c r="AP8" i="3"/>
  <c r="AO8" i="3"/>
  <c r="AN8" i="3"/>
  <c r="AM8" i="3"/>
  <c r="AA8" i="3"/>
  <c r="Z8" i="3"/>
  <c r="Y8" i="3"/>
  <c r="X8" i="3"/>
  <c r="W8" i="3"/>
  <c r="V8" i="3"/>
  <c r="AV7" i="3"/>
  <c r="AU7" i="3"/>
  <c r="AS7" i="3"/>
  <c r="AQ7" i="3"/>
  <c r="AP7" i="3"/>
  <c r="AO7" i="3"/>
  <c r="AN7" i="3"/>
  <c r="AM7" i="3"/>
  <c r="V7" i="3"/>
  <c r="Q7" i="3"/>
  <c r="L7" i="3"/>
  <c r="M7" i="3" s="1"/>
  <c r="J7" i="3"/>
  <c r="P7" i="3" s="1"/>
  <c r="D7" i="3"/>
  <c r="C7" i="3"/>
  <c r="A7" i="3"/>
  <c r="A9" i="3" s="1"/>
  <c r="A11" i="3" s="1"/>
  <c r="A13" i="3" s="1"/>
  <c r="A15" i="3" s="1"/>
  <c r="A17" i="3" s="1"/>
  <c r="A19" i="3" s="1"/>
  <c r="A21" i="3" s="1"/>
  <c r="A23" i="3" s="1"/>
  <c r="A25" i="3" s="1"/>
  <c r="A27" i="3" s="1"/>
  <c r="A29" i="3" s="1"/>
  <c r="A31" i="3" s="1"/>
  <c r="A33" i="3" s="1"/>
  <c r="AV6" i="3"/>
  <c r="AU6" i="3"/>
  <c r="AP6" i="3"/>
  <c r="AO6" i="3"/>
  <c r="AN6" i="3"/>
  <c r="AM6" i="3"/>
  <c r="AA6" i="3"/>
  <c r="Z6" i="3"/>
  <c r="Y6" i="3"/>
  <c r="X6" i="3"/>
  <c r="W6" i="3"/>
  <c r="V6" i="3"/>
  <c r="S6" i="3"/>
  <c r="A6" i="3"/>
  <c r="AV5" i="3"/>
  <c r="AU5" i="3"/>
  <c r="AS5" i="3"/>
  <c r="AQ5" i="3"/>
  <c r="AP5" i="3"/>
  <c r="AO5" i="3"/>
  <c r="AN5" i="3"/>
  <c r="AM5" i="3"/>
  <c r="V5" i="3"/>
  <c r="Q5" i="3"/>
  <c r="L5" i="3"/>
  <c r="M5" i="3" s="1"/>
  <c r="J5" i="3"/>
  <c r="Y5" i="3" s="1"/>
  <c r="D5" i="3"/>
  <c r="C5" i="3"/>
  <c r="AV4" i="3"/>
  <c r="AU4" i="3"/>
  <c r="AP4" i="3"/>
  <c r="AO4" i="3"/>
  <c r="AN4" i="3"/>
  <c r="AM4" i="3"/>
  <c r="AA4" i="3"/>
  <c r="Z4" i="3"/>
  <c r="Y4" i="3"/>
  <c r="X4" i="3"/>
  <c r="W4" i="3"/>
  <c r="V4" i="3"/>
  <c r="S4" i="3"/>
  <c r="A4" i="3"/>
  <c r="A8" i="3" s="1"/>
  <c r="AV3" i="3"/>
  <c r="AU3" i="3"/>
  <c r="AS3" i="3"/>
  <c r="AQ3" i="3"/>
  <c r="AP3" i="3"/>
  <c r="AO3" i="3"/>
  <c r="AN3" i="3"/>
  <c r="AM3" i="3"/>
  <c r="V3" i="3"/>
  <c r="Q3" i="3"/>
  <c r="L3" i="3"/>
  <c r="M3" i="3" s="1"/>
  <c r="J3" i="3"/>
  <c r="D3" i="3"/>
  <c r="C3" i="3"/>
  <c r="N15" i="3" l="1"/>
  <c r="O15" i="3" s="1"/>
  <c r="Q34" i="6"/>
  <c r="P3" i="4"/>
  <c r="AA5" i="3"/>
  <c r="P25" i="6"/>
  <c r="I34" i="6"/>
  <c r="U29" i="3"/>
  <c r="W3" i="3"/>
  <c r="P6" i="6"/>
  <c r="Z29" i="3"/>
  <c r="P3" i="3"/>
  <c r="S31" i="3"/>
  <c r="R9" i="4"/>
  <c r="Z5" i="3"/>
  <c r="U13" i="3"/>
  <c r="Z3" i="3"/>
  <c r="M38" i="6"/>
  <c r="X5" i="3"/>
  <c r="O5" i="4"/>
  <c r="O38" i="6"/>
  <c r="P5" i="4"/>
  <c r="X7" i="3"/>
  <c r="N21" i="3"/>
  <c r="O21" i="3" s="1"/>
  <c r="M4" i="6"/>
  <c r="P27" i="3"/>
  <c r="O4" i="6"/>
  <c r="AA23" i="3"/>
  <c r="U33" i="3"/>
  <c r="AA27" i="3"/>
  <c r="W33" i="3"/>
  <c r="W7" i="3"/>
  <c r="X33" i="3"/>
  <c r="Q19" i="6"/>
  <c r="N3" i="3"/>
  <c r="O3" i="3" s="1"/>
  <c r="N11" i="3"/>
  <c r="O11" i="3" s="1"/>
  <c r="U21" i="3"/>
  <c r="S35" i="3"/>
  <c r="Y37" i="3"/>
  <c r="N9" i="4"/>
  <c r="N40" i="6"/>
  <c r="P11" i="3"/>
  <c r="AA11" i="3"/>
  <c r="P17" i="3"/>
  <c r="AA37" i="3"/>
  <c r="O40" i="6"/>
  <c r="Z21" i="3"/>
  <c r="X35" i="3"/>
  <c r="I12" i="6"/>
  <c r="I25" i="6"/>
  <c r="Q40" i="6"/>
  <c r="N7" i="3"/>
  <c r="O7" i="3" s="1"/>
  <c r="K12" i="6"/>
  <c r="K25" i="6"/>
  <c r="W11" i="3"/>
  <c r="X17" i="3"/>
  <c r="X19" i="3"/>
  <c r="U27" i="3"/>
  <c r="I4" i="6"/>
  <c r="Q12" i="6"/>
  <c r="Q25" i="6"/>
  <c r="O34" i="6"/>
  <c r="Q38" i="6"/>
  <c r="U7" i="3"/>
  <c r="Y11" i="3"/>
  <c r="Y17" i="3"/>
  <c r="K4" i="6"/>
  <c r="Q4" i="6"/>
  <c r="M12" i="6"/>
  <c r="M25" i="6"/>
  <c r="P23" i="3"/>
  <c r="Z27" i="3"/>
  <c r="N33" i="3"/>
  <c r="O33" i="3" s="1"/>
  <c r="J5" i="4"/>
  <c r="N12" i="6"/>
  <c r="N25" i="6"/>
  <c r="W21" i="3"/>
  <c r="O12" i="6"/>
  <c r="Z7" i="3"/>
  <c r="AA15" i="3"/>
  <c r="X21" i="3"/>
  <c r="Q6" i="6"/>
  <c r="N14" i="6"/>
  <c r="Q16" i="6"/>
  <c r="I40" i="6"/>
  <c r="S29" i="3"/>
  <c r="N35" i="3"/>
  <c r="O35" i="3" s="1"/>
  <c r="S37" i="3"/>
  <c r="Q5" i="4"/>
  <c r="L7" i="4"/>
  <c r="J9" i="4"/>
  <c r="I6" i="6"/>
  <c r="P14" i="6"/>
  <c r="I16" i="6"/>
  <c r="S15" i="3"/>
  <c r="S21" i="3"/>
  <c r="AA21" i="3"/>
  <c r="K6" i="6"/>
  <c r="N6" i="6"/>
  <c r="O19" i="6"/>
  <c r="M34" i="6"/>
  <c r="O6" i="6"/>
  <c r="K14" i="6"/>
  <c r="N34" i="6"/>
  <c r="I32" i="6"/>
  <c r="S7" i="3"/>
  <c r="AA7" i="3"/>
  <c r="U15" i="3"/>
  <c r="N23" i="3"/>
  <c r="O23" i="3" s="1"/>
  <c r="S27" i="3"/>
  <c r="W29" i="3"/>
  <c r="W31" i="3"/>
  <c r="S33" i="3"/>
  <c r="I8" i="6"/>
  <c r="P21" i="6"/>
  <c r="Q23" i="6"/>
  <c r="P34" i="6"/>
  <c r="Q36" i="6"/>
  <c r="O7" i="4"/>
  <c r="N4" i="6"/>
  <c r="O14" i="6"/>
  <c r="Q21" i="6"/>
  <c r="AA3" i="3"/>
  <c r="W17" i="3"/>
  <c r="AA29" i="3"/>
  <c r="P7" i="4"/>
  <c r="M8" i="6"/>
  <c r="M32" i="6"/>
  <c r="Q32" i="6"/>
  <c r="AA9" i="3"/>
  <c r="N17" i="3"/>
  <c r="O17" i="3" s="1"/>
  <c r="Q7" i="4"/>
  <c r="P8" i="6"/>
  <c r="Q10" i="6"/>
  <c r="Q14" i="6"/>
  <c r="N32" i="6"/>
  <c r="Q8" i="6"/>
  <c r="O32" i="6"/>
  <c r="K19" i="6"/>
  <c r="P9" i="3"/>
  <c r="W15" i="3"/>
  <c r="AA17" i="3"/>
  <c r="N29" i="3"/>
  <c r="O29" i="3" s="1"/>
  <c r="X31" i="3"/>
  <c r="U35" i="3"/>
  <c r="Q3" i="4"/>
  <c r="L5" i="4"/>
  <c r="S3" i="3"/>
  <c r="W13" i="3"/>
  <c r="S17" i="3"/>
  <c r="W25" i="3"/>
  <c r="P29" i="3"/>
  <c r="Y31" i="3"/>
  <c r="W37" i="3"/>
  <c r="R3" i="4"/>
  <c r="M19" i="6"/>
  <c r="Q30" i="6"/>
  <c r="U3" i="3"/>
  <c r="X13" i="3"/>
  <c r="X37" i="3"/>
  <c r="R5" i="4"/>
  <c r="N19" i="6"/>
  <c r="A9" i="6"/>
  <c r="A11" i="6"/>
  <c r="F43" i="5"/>
  <c r="G43" i="5" s="1"/>
  <c r="E43" i="5"/>
  <c r="F42" i="5"/>
  <c r="F44" i="5" s="1"/>
  <c r="E42" i="5"/>
  <c r="G42" i="5" s="1"/>
  <c r="A37" i="3"/>
  <c r="A35" i="3"/>
  <c r="A18" i="3"/>
  <c r="A16" i="3"/>
  <c r="O27" i="3"/>
  <c r="N5" i="3"/>
  <c r="S9" i="3"/>
  <c r="Y13" i="3"/>
  <c r="AA19" i="3"/>
  <c r="Y25" i="3"/>
  <c r="Z31" i="3"/>
  <c r="W35" i="3"/>
  <c r="Z37" i="3"/>
  <c r="R7" i="4"/>
  <c r="I10" i="6"/>
  <c r="K23" i="6"/>
  <c r="P40" i="6"/>
  <c r="U9" i="3"/>
  <c r="Z13" i="3"/>
  <c r="N19" i="3"/>
  <c r="Z25" i="3"/>
  <c r="AA31" i="3"/>
  <c r="K10" i="6"/>
  <c r="I23" i="6"/>
  <c r="P5" i="3"/>
  <c r="Y7" i="3"/>
  <c r="AA13" i="3"/>
  <c r="X15" i="3"/>
  <c r="U17" i="3"/>
  <c r="Y21" i="3"/>
  <c r="S23" i="3"/>
  <c r="AA25" i="3"/>
  <c r="W27" i="3"/>
  <c r="N31" i="3"/>
  <c r="Y33" i="3"/>
  <c r="Y35" i="3"/>
  <c r="N37" i="3"/>
  <c r="L9" i="4"/>
  <c r="K16" i="6"/>
  <c r="P19" i="6"/>
  <c r="M23" i="6"/>
  <c r="I36" i="6"/>
  <c r="N38" i="6"/>
  <c r="X25" i="3"/>
  <c r="W9" i="3"/>
  <c r="S11" i="3"/>
  <c r="N13" i="3"/>
  <c r="Y15" i="3"/>
  <c r="P19" i="3"/>
  <c r="U23" i="3"/>
  <c r="N25" i="3"/>
  <c r="X27" i="3"/>
  <c r="Z33" i="3"/>
  <c r="Z35" i="3"/>
  <c r="A10" i="4"/>
  <c r="M10" i="6"/>
  <c r="N23" i="6"/>
  <c r="O65" i="3"/>
  <c r="X3" i="3"/>
  <c r="S5" i="3"/>
  <c r="X9" i="3"/>
  <c r="U11" i="3"/>
  <c r="Z15" i="3"/>
  <c r="Y27" i="3"/>
  <c r="P31" i="3"/>
  <c r="AA33" i="3"/>
  <c r="AA35" i="3"/>
  <c r="P37" i="3"/>
  <c r="J3" i="4"/>
  <c r="K8" i="6"/>
  <c r="N10" i="6"/>
  <c r="M16" i="6"/>
  <c r="I21" i="6"/>
  <c r="O23" i="6"/>
  <c r="M30" i="6"/>
  <c r="P38" i="6"/>
  <c r="Y3" i="3"/>
  <c r="U5" i="3"/>
  <c r="Y9" i="3"/>
  <c r="P13" i="3"/>
  <c r="S19" i="3"/>
  <c r="W23" i="3"/>
  <c r="P25" i="3"/>
  <c r="L3" i="4"/>
  <c r="J7" i="4"/>
  <c r="O9" i="4"/>
  <c r="O10" i="6"/>
  <c r="I14" i="6"/>
  <c r="N16" i="6"/>
  <c r="K21" i="6"/>
  <c r="P23" i="6"/>
  <c r="N30" i="6"/>
  <c r="M36" i="6"/>
  <c r="Y19" i="3"/>
  <c r="Z19" i="3"/>
  <c r="Z9" i="3"/>
  <c r="U19" i="3"/>
  <c r="X23" i="3"/>
  <c r="P10" i="6"/>
  <c r="O30" i="6"/>
  <c r="N36" i="6"/>
  <c r="W5" i="3"/>
  <c r="X11" i="3"/>
  <c r="Y23" i="3"/>
  <c r="S25" i="3"/>
  <c r="X29" i="3"/>
  <c r="N3" i="4"/>
  <c r="Q9" i="4"/>
  <c r="N8" i="6"/>
  <c r="P16" i="6"/>
  <c r="M21" i="6"/>
  <c r="P30" i="6"/>
  <c r="O36" i="6"/>
  <c r="W19" i="3"/>
  <c r="Z23" i="3"/>
  <c r="N21" i="6"/>
  <c r="P36" i="6"/>
  <c r="O5" i="3" l="1"/>
  <c r="O25" i="3"/>
  <c r="E44" i="5"/>
  <c r="O37" i="3"/>
  <c r="O13" i="3"/>
  <c r="O19" i="3"/>
  <c r="M40" i="3"/>
  <c r="O31" i="3"/>
  <c r="M42" i="3" l="1"/>
  <c r="N40" i="3" s="1"/>
  <c r="I17" i="3" l="1"/>
  <c r="I21" i="3"/>
  <c r="I7" i="3"/>
  <c r="E46" i="3"/>
  <c r="I64" i="3"/>
  <c r="I11" i="3"/>
  <c r="I9" i="3"/>
  <c r="I33" i="3"/>
  <c r="I63" i="3"/>
  <c r="I35" i="3"/>
  <c r="I15" i="3"/>
  <c r="I3" i="3"/>
  <c r="Y53" i="3" s="1"/>
  <c r="N41" i="3"/>
  <c r="I65" i="3"/>
  <c r="I29" i="3"/>
  <c r="I23" i="3"/>
  <c r="I27" i="3"/>
  <c r="I5" i="3"/>
  <c r="I31" i="3"/>
  <c r="I37" i="3"/>
  <c r="I19" i="3"/>
  <c r="I25" i="3"/>
  <c r="I13" i="3"/>
  <c r="Y56" i="3" l="1"/>
  <c r="Y54" i="3"/>
  <c r="Y55" i="3"/>
  <c r="D46" i="3"/>
  <c r="D48" i="3" s="1"/>
  <c r="AC51" i="3"/>
  <c r="AE51" i="3" s="1"/>
  <c r="AC54" i="3"/>
  <c r="AE54" i="3" s="1"/>
  <c r="AC46" i="3"/>
  <c r="AC50" i="3"/>
  <c r="AE50" i="3" s="1"/>
  <c r="AC56" i="3"/>
  <c r="AE56" i="3" s="1"/>
  <c r="AC53" i="3"/>
  <c r="AE53" i="3" s="1"/>
  <c r="AC48" i="3"/>
  <c r="AE48" i="3" s="1"/>
  <c r="AC49" i="3"/>
  <c r="AE49" i="3" s="1"/>
  <c r="AC52" i="3"/>
  <c r="AE52" i="3" s="1"/>
  <c r="E48" i="3"/>
  <c r="F46" i="3"/>
  <c r="AC55" i="3"/>
  <c r="AE55" i="3" s="1"/>
  <c r="AC57" i="3"/>
  <c r="AE57" i="3" s="1"/>
  <c r="Y57" i="3"/>
  <c r="AE46" i="3" l="1"/>
  <c r="AC58" i="3"/>
  <c r="J46" i="3"/>
  <c r="G46" i="3"/>
  <c r="F48" i="3"/>
  <c r="Y58" i="3"/>
  <c r="H46" i="3" l="1"/>
  <c r="G48" i="3"/>
  <c r="O46" i="3"/>
  <c r="J48" i="3"/>
  <c r="O48" i="3" l="1"/>
  <c r="P46" i="3"/>
  <c r="P48" i="3" s="1"/>
  <c r="I46" i="3"/>
  <c r="I48" i="3" s="1"/>
  <c r="H48" i="3"/>
</calcChain>
</file>

<file path=xl/sharedStrings.xml><?xml version="1.0" encoding="utf-8"?>
<sst xmlns="http://schemas.openxmlformats.org/spreadsheetml/2006/main" count="674" uniqueCount="268">
  <si>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</si>
  <si>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</si>
  <si>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</si>
  <si>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</si>
  <si>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</si>
  <si>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</si>
  <si>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</si>
  <si>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</si>
  <si>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</si>
  <si>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</si>
  <si>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</si>
  <si>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</si>
  <si>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</si>
  <si>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</si>
  <si>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</si>
  <si>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</si>
  <si>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</si>
  <si>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</si>
  <si>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</si>
  <si>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</si>
  <si>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</si>
  <si>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</si>
  <si>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TLT</t>
  </si>
  <si>
    <t>Oro</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</si>
  <si>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</si>
  <si>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</si>
  <si>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</si>
  <si>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</si>
  <si>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</si>
  <si>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</si>
  <si>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</si>
  <si>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</si>
  <si>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</si>
  <si>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</si>
  <si>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</si>
  <si>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</si>
  <si>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</si>
  <si>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</si>
  <si>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</si>
  <si>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</si>
  <si>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</si>
  <si>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</si>
  <si>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</si>
  <si>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</si>
  <si>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</si>
  <si>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</si>
  <si>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</si>
  <si>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</si>
  <si>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</si>
  <si>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</si>
  <si>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</si>
  <si>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</si>
  <si>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</si>
  <si>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</si>
  <si>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</si>
  <si>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</si>
  <si>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</si>
  <si>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</si>
  <si>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</si>
  <si>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</si>
  <si>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</si>
  <si>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</si>
  <si>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</si>
  <si>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</si>
  <si>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</si>
  <si>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</si>
  <si>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</si>
  <si>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</si>
  <si>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Sigue estando en zona de definición</t>
  </si>
  <si>
    <t>Ene 21</t>
  </si>
  <si>
    <t>UNH</t>
  </si>
  <si>
    <t>Servicios salud</t>
  </si>
  <si>
    <t>Atractivo</t>
  </si>
  <si>
    <t>Alcista</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</si>
  <si>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</si>
  <si>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</si>
  <si>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La venía esperando, cayó hasta el área objetivo cercano a 500. Potencial de inicio de nueva suba</t>
  </si>
  <si>
    <t>KR</t>
  </si>
  <si>
    <t>Alimentos</t>
  </si>
  <si>
    <t>Satellite</t>
  </si>
  <si>
    <r>
      <rPr>
        <b/>
        <sz val="7"/>
        <color rgb="FF000000"/>
        <rFont val="Arial"/>
      </rPr>
      <t>The Kroger Co</t>
    </r>
    <r>
      <rPr>
        <sz val="7"/>
        <color rgb="FF000000"/>
        <rFont val="Arial"/>
      </rPr>
      <t>., un minorista líder de comestibles, es una propuesta de inversión sólida debido a su sólido modelo de negocio, reputación de marca y crecimiento constante de dividendos.</t>
    </r>
  </si>
  <si>
    <t>Se mantiene en un rango amplio. Si bien el potencial de suba a niveles de $54 en los próximos meses sigue vigente, sigue sin traccionar</t>
  </si>
  <si>
    <t>JPM</t>
  </si>
  <si>
    <t>Esperar</t>
  </si>
  <si>
    <t>Bajista</t>
  </si>
  <si>
    <t>Líder global</t>
  </si>
  <si>
    <t>La reciente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</si>
  <si>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Rebotó mucho más de lo que esperábamos, alcanzando niveles de $174. Como mínnimo considero que está para una pausa a niveles de $160. Por debajo de esos niveles abre las posibilidades para ver una corrección más profunda. Esperar.</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</si>
  <si>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</si>
  <si>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</si>
  <si>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</si>
  <si>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Potencial de consolidación al área de $142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</si>
  <si>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</si>
  <si>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</si>
  <si>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</si>
  <si>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DIS alcanzó el mínimo de marzo 2020 en octubre y rebotó. Compramos. Idealmente una suba más a $100 antes de consolidar</t>
  </si>
  <si>
    <t>PARA</t>
  </si>
  <si>
    <t>Las acciones de Paramount han estado subiendo por los rumores de una posible venta o fusión en los últimos meses. Las ganancias del tercer trimestre de la compañía superaron las estimaciones, con mejores ingresos y resultados finales, lo que indica una perspectiva positiva para el futuro. El negocio de streaming de Paramount está ganando impulso, con un aumento de los ingresos y suscriptores, y planes de expansión, lo que lo convierte en una inversión atractiva.</t>
  </si>
  <si>
    <t>Potencial de piso de largo plazo. Todavía no hay evidencia firme pero justifica comenzar a tomar posición</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</si>
  <si>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</si>
  <si>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</si>
  <si>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</si>
  <si>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t>
  </si>
  <si>
    <t>ABBV</t>
  </si>
  <si>
    <t>Biofarmaceútica</t>
  </si>
  <si>
    <r>
      <rPr>
        <b/>
        <sz val="7"/>
        <color rgb="FF000000"/>
        <rFont val="Arial"/>
      </rPr>
      <t>AbbVie</t>
    </r>
    <r>
      <rPr>
        <sz val="7"/>
        <color rgb="FF000000"/>
        <rFont val="Arial"/>
      </rPr>
      <t xml:space="preserve"> ha demostrado resistencia y fortaleza a pesar de la pérdida de la patente de su medicamento más vendido, Humira. La compañía ha reportado ganancias impresionantes, ventas sólidas en varios segmentos y una cartera prometedora. AbbVie ofrece una rentabilidad por dividendo del 4%, un crecimiento constante de los dividendos y una valoración atractiva.</t>
    </r>
  </si>
  <si>
    <t>Cayó hasta $136 y rebotó hasta $162. De muy corto plazo espero un retroceso a niveles de $144</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</si>
  <si>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</si>
  <si>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</si>
  <si>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</si>
  <si>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</si>
  <si>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 xml:space="preserve">La acción seguramente deje de operar en 2Q24. El precio de compra está en el entorno de los $247. Es decir, tiene poco upside desde estos precios. Mantener </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</si>
  <si>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</si>
  <si>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</si>
  <si>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Como todo el sector, en proceso de consolidación de corto plazo</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</si>
  <si>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</si>
  <si>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</si>
  <si>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</si>
  <si>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BP cayó en las últimas semanas, debe comenzar a repuntar para que el conteo siga vigente</t>
  </si>
  <si>
    <t>SLB</t>
  </si>
  <si>
    <t>Servicios</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</si>
  <si>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</si>
  <si>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Sigue consolidando</t>
  </si>
  <si>
    <t>FTXN</t>
  </si>
  <si>
    <t>ETF sin una alta concentración en los principales productores</t>
  </si>
  <si>
    <t>Alta</t>
  </si>
  <si>
    <t>Los precios del oro y la plata comenzaron una tendencia alcista desde noviembre hasta marzo aunque en los últimos meses ha consolidado con el aumento de las tasas reales.  Las compañías mineras relacionadas aún ofrecen un valor mejor que el promedio. Tener las principales mineras de oro podría generar recompensas significativas a medida que una recesión golpea y los bancos centrales vuelven a devaluar el papel moneda.</t>
  </si>
  <si>
    <t>La suba en los rendimientos reales volvió a afectar al sector. En la última semana vimos un fuerte rebote. No obstante, esero nuevas caídas en las próximas semanas antes de retomar las subas</t>
  </si>
  <si>
    <t>Oportunidad CP</t>
  </si>
  <si>
    <t>Tras la fuerte suba esa semana, tomamos algo de ganancias. Espero pausa hacia fin de mes y suba en diciembre</t>
  </si>
  <si>
    <t>RSP</t>
  </si>
  <si>
    <t>Cash</t>
  </si>
  <si>
    <t>Valor actual posiciones</t>
  </si>
  <si>
    <t>Valor posiciones al 12-ene-2024</t>
  </si>
  <si>
    <t>Distribución sectorial</t>
  </si>
  <si>
    <t>1 año</t>
  </si>
  <si>
    <t>Desde el inicio</t>
  </si>
  <si>
    <t>Desde el inicio (anual)</t>
  </si>
  <si>
    <t>Diferencia</t>
  </si>
  <si>
    <t>Rend Sem (%)</t>
  </si>
  <si>
    <t>Rendimiento PORTAFOLIO</t>
  </si>
  <si>
    <t>1 semana</t>
  </si>
  <si>
    <t>MTD</t>
  </si>
  <si>
    <t>3m</t>
  </si>
  <si>
    <t>6m</t>
  </si>
  <si>
    <t>12m</t>
  </si>
  <si>
    <t>Rendimiento S&amp;P 500</t>
  </si>
  <si>
    <t>Date</t>
  </si>
  <si>
    <t>Close</t>
  </si>
  <si>
    <t>Real estate</t>
  </si>
  <si>
    <t>Consumo cíclico</t>
  </si>
  <si>
    <t>El rendimiento YTD incluye dividendos y tbills correspondiente al efectivo</t>
  </si>
  <si>
    <t>Atractivas Mediano plazo</t>
  </si>
  <si>
    <t>Oportunidades corto plazo</t>
  </si>
  <si>
    <t>POSICIONES CERRADAS 2024</t>
  </si>
  <si>
    <t>Posiciones cerradas</t>
  </si>
  <si>
    <t>Cierre</t>
  </si>
  <si>
    <t>Precio cierre</t>
  </si>
  <si>
    <t>Monto cierre</t>
  </si>
  <si>
    <t>Comentarios</t>
  </si>
  <si>
    <t>Toma de ganancias ante el inicio de corrección</t>
  </si>
  <si>
    <t>Toma de ganancias</t>
  </si>
  <si>
    <t>Abr 22</t>
  </si>
  <si>
    <t>Long</t>
  </si>
  <si>
    <t>Short</t>
  </si>
  <si>
    <t>Precio entrada</t>
  </si>
  <si>
    <t>% para compra</t>
  </si>
  <si>
    <t>Precio objetivo de suba</t>
  </si>
  <si>
    <t>% de suba</t>
  </si>
  <si>
    <t>Nasdaq</t>
  </si>
  <si>
    <t>Russell 2000</t>
  </si>
  <si>
    <t>Bonos soberanos largos</t>
  </si>
  <si>
    <t>1 a 4 semanas</t>
  </si>
  <si>
    <t>1 a 3 meses</t>
  </si>
  <si>
    <t>Operaciones LONG</t>
  </si>
  <si>
    <t>GGAL</t>
  </si>
  <si>
    <t>Se ha mantenido firme en un escenario de caída generalizada</t>
  </si>
  <si>
    <t>AAPL</t>
  </si>
  <si>
    <t>BITI</t>
  </si>
  <si>
    <t>Inverso de Bitcoin</t>
  </si>
  <si>
    <t>MARA</t>
  </si>
  <si>
    <t>Cripto</t>
  </si>
  <si>
    <t>Minera</t>
  </si>
  <si>
    <t>TSLA</t>
  </si>
  <si>
    <t>Vehículos elec</t>
  </si>
  <si>
    <t>Acciones USA</t>
  </si>
  <si>
    <t>Precio promedio de venta</t>
  </si>
  <si>
    <t>Monto de venta</t>
  </si>
  <si>
    <t>Punto de venta actual</t>
  </si>
  <si>
    <t>Operaciones SHORT</t>
  </si>
  <si>
    <t>SQ</t>
  </si>
  <si>
    <t>Posbilidad de acerar las caídas en las próximas semanas</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</si>
  <si>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</si>
  <si>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</si>
  <si>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</si>
  <si>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</si>
  <si>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</si>
  <si>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</si>
  <si>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</si>
  <si>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</si>
  <si>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</si>
  <si>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</si>
  <si>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</si>
  <si>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</si>
  <si>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</si>
  <si>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</si>
  <si>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</si>
  <si>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</si>
  <si>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</si>
  <si>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</si>
  <si>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</si>
  <si>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17 días</t>
  </si>
  <si>
    <t>20 dìas</t>
  </si>
  <si>
    <t>16,0%</t>
  </si>
  <si>
    <t>-11,0%</t>
  </si>
  <si>
    <t>9,5%</t>
  </si>
  <si>
    <t>21,3%</t>
  </si>
  <si>
    <t>-10,2%</t>
  </si>
  <si>
    <t>Cantidad</t>
  </si>
  <si>
    <t>9,1%</t>
  </si>
  <si>
    <t>19,5%</t>
  </si>
  <si>
    <t>-5,3%</t>
  </si>
  <si>
    <t>Negativas</t>
  </si>
  <si>
    <t>8,2%</t>
  </si>
  <si>
    <t>Positivas</t>
  </si>
  <si>
    <t>15,5%</t>
  </si>
  <si>
    <t>Cantidad (%)</t>
  </si>
  <si>
    <t>Tipo</t>
  </si>
  <si>
    <t>Fecha cierre</t>
  </si>
  <si>
    <t>L</t>
  </si>
  <si>
    <t>NFLX</t>
  </si>
  <si>
    <t>S</t>
  </si>
  <si>
    <t>TSM</t>
  </si>
  <si>
    <t>LRCX</t>
  </si>
  <si>
    <t>Precio objetivo de compra</t>
  </si>
  <si>
    <t>PORTAFOLIO DISCRECIONAL</t>
  </si>
  <si>
    <t>CVS</t>
  </si>
  <si>
    <t>LMT</t>
  </si>
  <si>
    <t>Defensa</t>
  </si>
  <si>
    <t>NOC</t>
  </si>
  <si>
    <t>VZ</t>
  </si>
  <si>
    <t>CRWD</t>
  </si>
  <si>
    <t>Ciberseguridad</t>
  </si>
  <si>
    <t>SWBI</t>
  </si>
  <si>
    <t>IDEAS DE TRADING - LONG</t>
  </si>
  <si>
    <t>EQNR</t>
  </si>
  <si>
    <t>CEIX</t>
  </si>
  <si>
    <t>Carbón</t>
  </si>
  <si>
    <t>PUMP</t>
  </si>
  <si>
    <t>CPA</t>
  </si>
  <si>
    <t>Aerolíneas</t>
  </si>
  <si>
    <t>Precio objetivo de venta</t>
  </si>
  <si>
    <t>% para venta</t>
  </si>
  <si>
    <t>Precio objetivo de caída</t>
  </si>
  <si>
    <t>% de ganancia</t>
  </si>
  <si>
    <t>IDEAS DE TRADING - SHORT</t>
  </si>
  <si>
    <t>EBAY</t>
  </si>
  <si>
    <t>AA</t>
  </si>
  <si>
    <t>Meteriales</t>
  </si>
  <si>
    <t>Aluminio</t>
  </si>
  <si>
    <t>APD</t>
  </si>
  <si>
    <t>Químicos</t>
  </si>
  <si>
    <t>LLY</t>
  </si>
  <si>
    <t>Medicamentos</t>
  </si>
  <si>
    <t>MSGS</t>
  </si>
  <si>
    <t>LOW</t>
  </si>
  <si>
    <t>Consumo cílico</t>
  </si>
  <si>
    <t>Minorista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</si>
</sst>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43">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b/>
      <sz val="7"/>
      <color rgb="FF000000"/>
      <name val="Arial"/>
    </font>
    <font>
      <b/>
      <sz val="10"/>
      <color theme="1"/>
      <name val="Arial"/>
    </font>
    <font>
      <b/>
      <sz val="10"/>
      <color theme="1"/>
      <name val="Arial"/>
      <scheme val="minor"/>
    </font>
    <font>
      <sz val="10"/>
      <color rgb="FF000000"/>
      <name val="Arial"/>
    </font>
    <font>
      <sz val="10"/>
      <color rgb="FF000000"/>
      <name val="Arial"/>
      <scheme val="minor"/>
    </font>
    <font>
      <sz val="10"/>
      <color theme="1"/>
      <name val="Arial"/>
    </font>
    <font>
      <b/>
      <sz val="10"/>
      <color rgb="FF000000"/>
      <name val="Arial"/>
    </font>
    <font>
      <b/>
      <sz val="10"/>
      <color rgb="FF000000"/>
      <name val="Arial"/>
      <scheme val="minor"/>
    </font>
    <font>
      <sz val="10"/>
      <color rgb="FF000000"/>
      <name val="Arial"/>
    </font>
    <font>
      <sz val="9"/>
      <color rgb="FFFF0000"/>
      <name val="Arial"/>
    </font>
    <font>
      <sz val="7"/>
      <color rgb="FFFF0000"/>
      <name val="Arial"/>
    </font>
    <font>
      <sz val="10"/>
      <color rgb="FFFF0000"/>
      <name val="Arial"/>
    </font>
    <font>
      <sz val="10"/>
      <color rgb="FFFF0000"/>
      <name val="Arial"/>
      <scheme val="minor"/>
    </font>
    <font>
      <sz val="9"/>
      <color rgb="FF1155CC"/>
      <name val="&quot;Google Sans Mono&quot;"/>
    </font>
    <font>
      <sz val="8"/>
      <color rgb="FF000000"/>
      <name val="Arial"/>
    </font>
    <font>
      <sz val="8"/>
      <color theme="1"/>
      <name val="Arial"/>
    </font>
    <font>
      <b/>
      <sz val="11"/>
      <color theme="1"/>
      <name val="Arial"/>
    </font>
    <font>
      <sz val="9"/>
      <color rgb="FF0B8043"/>
      <name val="Arial"/>
    </font>
    <font>
      <b/>
      <sz val="9"/>
      <color rgb="FFFF0000"/>
      <name val="Arial"/>
    </font>
    <font>
      <b/>
      <sz val="9"/>
      <color rgb="FF0B8043"/>
      <name val="Arial"/>
    </font>
    <font>
      <b/>
      <sz val="7"/>
      <color theme="1"/>
      <name val="Arial"/>
    </font>
    <font>
      <b/>
      <i/>
      <sz val="9"/>
      <color rgb="FF000000"/>
      <name val="Arial"/>
    </font>
    <font>
      <b/>
      <i/>
      <sz val="9"/>
      <color theme="1"/>
      <name val="Arial"/>
    </font>
    <font>
      <b/>
      <i/>
      <sz val="7"/>
      <color rgb="FF000000"/>
      <name val="Arial"/>
    </font>
    <font>
      <b/>
      <i/>
      <sz val="10"/>
      <color theme="1"/>
      <name val="Arial"/>
    </font>
    <font>
      <b/>
      <i/>
      <sz val="10"/>
      <color theme="1"/>
      <name val="Arial"/>
      <scheme val="minor"/>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s>
  <fills count="25">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CDEBDC"/>
        <bgColor rgb="FFCDEBDC"/>
      </patternFill>
    </fill>
    <fill>
      <patternFill patternType="solid">
        <fgColor rgb="FFFBE8E7"/>
        <bgColor rgb="FFFBE8E7"/>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0F9F5"/>
        <bgColor rgb="FFF0F9F5"/>
      </patternFill>
    </fill>
    <fill>
      <patternFill patternType="solid">
        <fgColor rgb="FFF6CECB"/>
        <bgColor rgb="FFF6CECB"/>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E67C73"/>
        <bgColor rgb="FFE67C73"/>
      </patternFill>
    </fill>
    <fill>
      <patternFill patternType="solid">
        <fgColor rgb="FFEBF7F1"/>
        <bgColor rgb="FFEBF7F1"/>
      </patternFill>
    </fill>
  </fills>
  <borders count="6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473">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3" fillId="2" borderId="1" xfId="0" applyFont="1" applyFill="1" applyBorder="1"/>
    <xf numFmtId="164" fontId="1"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5" xfId="0" applyNumberFormat="1" applyFont="1" applyFill="1" applyBorder="1"/>
    <xf numFmtId="164" fontId="2" fillId="2" borderId="4" xfId="0" applyNumberFormat="1" applyFont="1" applyFill="1" applyBorder="1"/>
    <xf numFmtId="164" fontId="2" fillId="2" borderId="6" xfId="0" applyNumberFormat="1" applyFont="1" applyFill="1" applyBorder="1"/>
    <xf numFmtId="164" fontId="2" fillId="2" borderId="5" xfId="0" applyNumberFormat="1" applyFont="1" applyFill="1" applyBorder="1"/>
    <xf numFmtId="164" fontId="1"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4" xfId="0" applyNumberFormat="1" applyFont="1" applyFill="1" applyBorder="1" applyAlignment="1">
      <alignment horizontal="center"/>
    </xf>
    <xf numFmtId="164" fontId="2" fillId="2" borderId="15" xfId="0" applyNumberFormat="1" applyFont="1" applyFill="1" applyBorder="1"/>
    <xf numFmtId="0" fontId="1" fillId="2" borderId="0" xfId="0" applyFont="1" applyFill="1"/>
    <xf numFmtId="164"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0" fontId="1" fillId="2" borderId="5" xfId="0" applyFont="1" applyFill="1" applyBorder="1"/>
    <xf numFmtId="0" fontId="7" fillId="6" borderId="24" xfId="0" applyFont="1" applyFill="1" applyBorder="1" applyAlignment="1">
      <alignment horizontal="center" wrapText="1"/>
    </xf>
    <xf numFmtId="0" fontId="7" fillId="6" borderId="3" xfId="0" applyFont="1" applyFill="1" applyBorder="1" applyAlignment="1">
      <alignment horizontal="center" wrapText="1"/>
    </xf>
    <xf numFmtId="0" fontId="7" fillId="6" borderId="25" xfId="0" applyFont="1" applyFill="1" applyBorder="1" applyAlignment="1">
      <alignment horizontal="center" wrapText="1"/>
    </xf>
    <xf numFmtId="0" fontId="1" fillId="0" borderId="0" xfId="0" applyFont="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4" xfId="0" applyFont="1" applyFill="1" applyBorder="1" applyAlignment="1">
      <alignment horizontal="right"/>
    </xf>
    <xf numFmtId="2" fontId="1" fillId="2" borderId="1" xfId="0" applyNumberFormat="1" applyFont="1" applyFill="1" applyBorder="1" applyAlignment="1">
      <alignment horizontal="center"/>
    </xf>
    <xf numFmtId="168" fontId="1" fillId="2" borderId="1" xfId="0" applyNumberFormat="1" applyFont="1" applyFill="1" applyBorder="1" applyAlignment="1">
      <alignment horizontal="center"/>
    </xf>
    <xf numFmtId="169" fontId="1" fillId="2" borderId="1" xfId="0" applyNumberFormat="1" applyFont="1" applyFill="1" applyBorder="1" applyAlignment="1">
      <alignment horizontal="center"/>
    </xf>
    <xf numFmtId="169"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0" xfId="0" applyFont="1" applyFill="1" applyBorder="1" applyAlignment="1">
      <alignment horizontal="left" vertical="center" wrapText="1"/>
    </xf>
    <xf numFmtId="170"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7" xfId="0" applyNumberFormat="1" applyFont="1" applyFill="1" applyBorder="1" applyAlignment="1">
      <alignment horizontal="center"/>
    </xf>
    <xf numFmtId="164" fontId="3" fillId="2" borderId="4"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1" xfId="0" applyFont="1" applyFill="1" applyBorder="1" applyAlignment="1">
      <alignment horizontal="center" vertical="center" wrapText="1"/>
    </xf>
    <xf numFmtId="0" fontId="7" fillId="2" borderId="1" xfId="0" applyFont="1" applyFill="1" applyBorder="1" applyAlignment="1">
      <alignment horizontal="right"/>
    </xf>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164" fontId="5" fillId="2" borderId="5" xfId="0" applyNumberFormat="1" applyFont="1" applyFill="1" applyBorder="1" applyAlignment="1">
      <alignment horizontal="center"/>
    </xf>
    <xf numFmtId="0" fontId="5" fillId="2" borderId="4" xfId="0" applyFont="1" applyFill="1" applyBorder="1" applyAlignment="1">
      <alignment horizontal="right"/>
    </xf>
    <xf numFmtId="2" fontId="5" fillId="2" borderId="1" xfId="0" applyNumberFormat="1" applyFont="1" applyFill="1" applyBorder="1" applyAlignment="1">
      <alignment horizontal="center"/>
    </xf>
    <xf numFmtId="168" fontId="5" fillId="2" borderId="1" xfId="0" applyNumberFormat="1" applyFont="1" applyFill="1" applyBorder="1" applyAlignment="1">
      <alignment horizontal="center"/>
    </xf>
    <xf numFmtId="169" fontId="5" fillId="2" borderId="1" xfId="0" applyNumberFormat="1" applyFont="1" applyFill="1" applyBorder="1" applyAlignment="1">
      <alignment horizontal="center"/>
    </xf>
    <xf numFmtId="169" fontId="5" fillId="2" borderId="5" xfId="0" applyNumberFormat="1" applyFont="1" applyFill="1" applyBorder="1" applyAlignment="1">
      <alignment horizontal="center"/>
    </xf>
    <xf numFmtId="164" fontId="7" fillId="2" borderId="1" xfId="0" applyNumberFormat="1" applyFont="1" applyFill="1" applyBorder="1" applyAlignment="1">
      <alignment horizontal="center"/>
    </xf>
    <xf numFmtId="0" fontId="5" fillId="2" borderId="7" xfId="0" applyFont="1" applyFill="1" applyBorder="1" applyAlignment="1">
      <alignment horizontal="center"/>
    </xf>
    <xf numFmtId="0" fontId="5" fillId="2" borderId="4" xfId="0" applyFont="1" applyFill="1" applyBorder="1" applyAlignment="1">
      <alignment horizontal="center"/>
    </xf>
    <xf numFmtId="164" fontId="5" fillId="2" borderId="4" xfId="0" applyNumberFormat="1" applyFont="1" applyFill="1" applyBorder="1" applyAlignment="1">
      <alignment horizontal="center"/>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9" borderId="30" xfId="0" applyFont="1" applyFill="1" applyBorder="1" applyAlignment="1">
      <alignment horizontal="left" vertical="center" wrapText="1"/>
    </xf>
    <xf numFmtId="0" fontId="5" fillId="0" borderId="0" xfId="0" applyFont="1"/>
    <xf numFmtId="0" fontId="12" fillId="2" borderId="1" xfId="0" applyFont="1" applyFill="1" applyBorder="1"/>
    <xf numFmtId="0" fontId="13" fillId="0" borderId="0" xfId="0" applyFont="1"/>
    <xf numFmtId="171" fontId="1" fillId="5" borderId="0" xfId="0" applyNumberFormat="1" applyFont="1" applyFill="1" applyAlignment="1">
      <alignment horizontal="center"/>
    </xf>
    <xf numFmtId="164" fontId="1" fillId="5" borderId="0" xfId="0" applyNumberFormat="1" applyFont="1" applyFill="1" applyAlignment="1">
      <alignment horizontal="center"/>
    </xf>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4" xfId="0" applyFont="1" applyFill="1" applyBorder="1" applyAlignment="1">
      <alignment horizontal="right"/>
    </xf>
    <xf numFmtId="2"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169" fontId="3" fillId="2" borderId="5" xfId="0" applyNumberFormat="1"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10" borderId="30" xfId="0" applyFont="1" applyFill="1" applyBorder="1" applyAlignment="1">
      <alignment horizontal="left" vertical="center" wrapText="1"/>
    </xf>
    <xf numFmtId="0" fontId="14" fillId="2" borderId="1" xfId="0" applyFont="1" applyFill="1" applyBorder="1"/>
    <xf numFmtId="0" fontId="15" fillId="0" borderId="0" xfId="0" applyFont="1"/>
    <xf numFmtId="0" fontId="3" fillId="0" borderId="0" xfId="0" applyFont="1"/>
    <xf numFmtId="0" fontId="5" fillId="2" borderId="5" xfId="0" applyFont="1" applyFill="1" applyBorder="1" applyAlignment="1">
      <alignment horizontal="center"/>
    </xf>
    <xf numFmtId="0" fontId="5" fillId="2" borderId="5" xfId="0" applyFont="1" applyFill="1" applyBorder="1" applyAlignment="1">
      <alignment horizontal="right"/>
    </xf>
    <xf numFmtId="171"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7" xfId="0" applyNumberFormat="1" applyFont="1" applyFill="1" applyBorder="1" applyAlignment="1">
      <alignment horizontal="center"/>
    </xf>
    <xf numFmtId="164" fontId="7" fillId="2" borderId="4" xfId="0" applyNumberFormat="1" applyFont="1" applyFill="1" applyBorder="1" applyAlignment="1">
      <alignment horizontal="center"/>
    </xf>
    <xf numFmtId="164" fontId="12" fillId="2" borderId="4" xfId="0" applyNumberFormat="1" applyFont="1" applyFill="1" applyBorder="1"/>
    <xf numFmtId="164" fontId="12" fillId="2" borderId="1" xfId="0" applyNumberFormat="1" applyFont="1" applyFill="1" applyBorder="1"/>
    <xf numFmtId="164" fontId="12" fillId="2" borderId="1" xfId="0" applyNumberFormat="1" applyFont="1" applyFill="1" applyBorder="1" applyAlignment="1">
      <alignment vertical="center"/>
    </xf>
    <xf numFmtId="0" fontId="9" fillId="9" borderId="30" xfId="0" applyFont="1" applyFill="1" applyBorder="1" applyAlignment="1">
      <alignment horizontal="left" vertical="center" wrapText="1"/>
    </xf>
    <xf numFmtId="0" fontId="16" fillId="2" borderId="0" xfId="0" applyFont="1" applyFill="1"/>
    <xf numFmtId="3" fontId="16" fillId="2" borderId="0" xfId="0" applyNumberFormat="1" applyFont="1" applyFill="1"/>
    <xf numFmtId="165" fontId="16" fillId="2" borderId="0" xfId="0" applyNumberFormat="1" applyFont="1" applyFill="1"/>
    <xf numFmtId="164" fontId="16" fillId="2" borderId="0" xfId="0" applyNumberFormat="1" applyFont="1" applyFill="1"/>
    <xf numFmtId="0" fontId="16" fillId="2" borderId="32" xfId="0" applyFont="1" applyFill="1" applyBorder="1"/>
    <xf numFmtId="2" fontId="16" fillId="2" borderId="0" xfId="0" applyNumberFormat="1" applyFont="1" applyFill="1"/>
    <xf numFmtId="171" fontId="16" fillId="2" borderId="0" xfId="0" applyNumberFormat="1" applyFont="1" applyFill="1"/>
    <xf numFmtId="164" fontId="16" fillId="2" borderId="32" xfId="0" applyNumberFormat="1" applyFont="1" applyFill="1" applyBorder="1"/>
    <xf numFmtId="164" fontId="5" fillId="2" borderId="0" xfId="0" applyNumberFormat="1" applyFont="1" applyFill="1" applyAlignment="1">
      <alignment horizontal="center"/>
    </xf>
    <xf numFmtId="164" fontId="5" fillId="2" borderId="32"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6" fillId="0" borderId="0" xfId="0" applyFont="1"/>
    <xf numFmtId="0" fontId="3" fillId="2" borderId="5" xfId="0" applyFont="1" applyFill="1" applyBorder="1" applyAlignment="1">
      <alignment horizontal="center"/>
    </xf>
    <xf numFmtId="0" fontId="3" fillId="2" borderId="5" xfId="0" applyFont="1" applyFill="1" applyBorder="1" applyAlignment="1">
      <alignment horizontal="right"/>
    </xf>
    <xf numFmtId="171" fontId="3" fillId="5" borderId="0" xfId="0" applyNumberFormat="1" applyFont="1" applyFill="1" applyAlignment="1">
      <alignment horizontal="center"/>
    </xf>
    <xf numFmtId="164" fontId="14" fillId="2" borderId="4" xfId="0" applyNumberFormat="1" applyFont="1" applyFill="1" applyBorder="1"/>
    <xf numFmtId="164" fontId="14" fillId="2" borderId="1" xfId="0" applyNumberFormat="1" applyFont="1" applyFill="1" applyBorder="1"/>
    <xf numFmtId="164" fontId="14" fillId="2" borderId="1" xfId="0" applyNumberFormat="1" applyFont="1" applyFill="1" applyBorder="1" applyAlignment="1">
      <alignment vertical="center"/>
    </xf>
    <xf numFmtId="0" fontId="7" fillId="2" borderId="1" xfId="0" applyFont="1" applyFill="1" applyBorder="1"/>
    <xf numFmtId="3" fontId="7" fillId="2" borderId="1" xfId="0" applyNumberFormat="1" applyFont="1" applyFill="1" applyBorder="1" applyAlignment="1">
      <alignment horizontal="left"/>
    </xf>
    <xf numFmtId="3" fontId="7" fillId="2" borderId="1" xfId="0" applyNumberFormat="1" applyFont="1" applyFill="1" applyBorder="1" applyAlignment="1">
      <alignment horizontal="center"/>
    </xf>
    <xf numFmtId="0" fontId="7" fillId="2" borderId="1" xfId="0" applyFont="1" applyFill="1" applyBorder="1" applyAlignment="1">
      <alignment horizontal="center"/>
    </xf>
    <xf numFmtId="165" fontId="7" fillId="2" borderId="1" xfId="0" applyNumberFormat="1" applyFont="1" applyFill="1" applyBorder="1" applyAlignment="1">
      <alignment horizontal="center"/>
    </xf>
    <xf numFmtId="164" fontId="7" fillId="2" borderId="5" xfId="0" applyNumberFormat="1" applyFont="1" applyFill="1" applyBorder="1" applyAlignment="1">
      <alignment horizontal="center"/>
    </xf>
    <xf numFmtId="0" fontId="7" fillId="2" borderId="4" xfId="0" applyFont="1" applyFill="1" applyBorder="1" applyAlignment="1">
      <alignment horizontal="right"/>
    </xf>
    <xf numFmtId="2" fontId="7" fillId="2" borderId="1" xfId="0" applyNumberFormat="1" applyFont="1" applyFill="1" applyBorder="1" applyAlignment="1">
      <alignment horizontal="center"/>
    </xf>
    <xf numFmtId="168" fontId="7" fillId="2" borderId="1" xfId="0" applyNumberFormat="1" applyFont="1" applyFill="1" applyBorder="1" applyAlignment="1">
      <alignment horizontal="center"/>
    </xf>
    <xf numFmtId="169" fontId="7" fillId="2" borderId="1" xfId="0" applyNumberFormat="1" applyFont="1" applyFill="1" applyBorder="1" applyAlignment="1">
      <alignment horizontal="center"/>
    </xf>
    <xf numFmtId="169" fontId="7" fillId="2" borderId="5" xfId="0" applyNumberFormat="1" applyFont="1" applyFill="1" applyBorder="1" applyAlignment="1">
      <alignment horizontal="center"/>
    </xf>
    <xf numFmtId="0" fontId="7" fillId="2" borderId="7" xfId="0" applyFont="1" applyFill="1" applyBorder="1" applyAlignment="1">
      <alignment horizontal="center"/>
    </xf>
    <xf numFmtId="0" fontId="7" fillId="2" borderId="4" xfId="0" applyFont="1" applyFill="1" applyBorder="1" applyAlignment="1">
      <alignment horizontal="center"/>
    </xf>
    <xf numFmtId="0" fontId="7" fillId="2" borderId="4" xfId="0" applyFont="1" applyFill="1" applyBorder="1" applyAlignment="1">
      <alignment horizontal="center"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1" fillId="2" borderId="30" xfId="0" applyFont="1" applyFill="1" applyBorder="1" applyAlignment="1">
      <alignment horizontal="left" wrapText="1"/>
    </xf>
    <xf numFmtId="0" fontId="11" fillId="9" borderId="30" xfId="0" applyFont="1" applyFill="1" applyBorder="1" applyAlignment="1">
      <alignment horizontal="left" wrapText="1"/>
    </xf>
    <xf numFmtId="0" fontId="7" fillId="0" borderId="0" xfId="0" applyFont="1"/>
    <xf numFmtId="0" fontId="17" fillId="2" borderId="1" xfId="0" applyFont="1" applyFill="1" applyBorder="1"/>
    <xf numFmtId="0" fontId="18" fillId="0" borderId="0" xfId="0" applyFont="1"/>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19" fillId="2" borderId="0" xfId="0" applyFont="1" applyFill="1"/>
    <xf numFmtId="164" fontId="3" fillId="2" borderId="0" xfId="0" applyNumberFormat="1" applyFont="1" applyFill="1" applyAlignment="1">
      <alignment horizontal="center"/>
    </xf>
    <xf numFmtId="164" fontId="3" fillId="2" borderId="32"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9" fontId="3" fillId="2" borderId="0" xfId="0" applyNumberFormat="1" applyFont="1" applyFill="1" applyAlignment="1">
      <alignment horizontal="center"/>
    </xf>
    <xf numFmtId="0" fontId="3" fillId="2" borderId="32" xfId="0" applyFont="1" applyFill="1" applyBorder="1" applyAlignment="1">
      <alignment horizontal="center"/>
    </xf>
    <xf numFmtId="164" fontId="3" fillId="11" borderId="0" xfId="0" applyNumberFormat="1" applyFont="1" applyFill="1" applyAlignment="1">
      <alignment horizontal="center"/>
    </xf>
    <xf numFmtId="164" fontId="3" fillId="12" borderId="32" xfId="0" applyNumberFormat="1" applyFont="1" applyFill="1" applyBorder="1" applyAlignment="1">
      <alignment horizontal="center"/>
    </xf>
    <xf numFmtId="0" fontId="3" fillId="13" borderId="0" xfId="0" applyFont="1" applyFill="1" applyAlignment="1">
      <alignment horizontal="center"/>
    </xf>
    <xf numFmtId="0" fontId="3" fillId="14" borderId="0" xfId="0" applyFont="1" applyFill="1" applyAlignment="1">
      <alignment horizontal="center"/>
    </xf>
    <xf numFmtId="0" fontId="3" fillId="15" borderId="0" xfId="0" applyFont="1" applyFill="1" applyAlignment="1">
      <alignment horizontal="center"/>
    </xf>
    <xf numFmtId="0" fontId="3" fillId="7" borderId="0" xfId="0" applyFont="1" applyFill="1" applyAlignment="1">
      <alignment horizontal="center"/>
    </xf>
    <xf numFmtId="0" fontId="3" fillId="7" borderId="32" xfId="0" applyFont="1" applyFill="1" applyBorder="1" applyAlignment="1">
      <alignment horizontal="center"/>
    </xf>
    <xf numFmtId="0" fontId="19" fillId="2" borderId="23" xfId="0" applyFont="1" applyFill="1" applyBorder="1"/>
    <xf numFmtId="164" fontId="19" fillId="2" borderId="0" xfId="0" applyNumberFormat="1" applyFont="1" applyFill="1"/>
    <xf numFmtId="0" fontId="19" fillId="0" borderId="0" xfId="0" applyFont="1"/>
    <xf numFmtId="3" fontId="19" fillId="2" borderId="0" xfId="0" applyNumberFormat="1" applyFont="1" applyFill="1"/>
    <xf numFmtId="165" fontId="19" fillId="2" borderId="0" xfId="0" applyNumberFormat="1" applyFont="1" applyFill="1"/>
    <xf numFmtId="164" fontId="19" fillId="2" borderId="32" xfId="0" applyNumberFormat="1" applyFont="1" applyFill="1" applyBorder="1"/>
    <xf numFmtId="2" fontId="19" fillId="2" borderId="0" xfId="0" applyNumberFormat="1" applyFont="1" applyFill="1"/>
    <xf numFmtId="168" fontId="19" fillId="2" borderId="0" xfId="0" applyNumberFormat="1" applyFont="1" applyFill="1"/>
    <xf numFmtId="169" fontId="19" fillId="2" borderId="0" xfId="0" applyNumberFormat="1" applyFont="1" applyFill="1"/>
    <xf numFmtId="171" fontId="19"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20" fillId="2" borderId="1" xfId="0" applyFont="1" applyFill="1" applyBorder="1" applyAlignment="1">
      <alignment horizontal="right"/>
    </xf>
    <xf numFmtId="0" fontId="20" fillId="2" borderId="1" xfId="0" applyFont="1" applyFill="1" applyBorder="1"/>
    <xf numFmtId="3" fontId="20" fillId="2" borderId="1" xfId="0" applyNumberFormat="1" applyFont="1" applyFill="1" applyBorder="1" applyAlignment="1">
      <alignment horizontal="left"/>
    </xf>
    <xf numFmtId="3" fontId="20" fillId="2" borderId="1" xfId="0" applyNumberFormat="1" applyFont="1" applyFill="1" applyBorder="1" applyAlignment="1">
      <alignment horizontal="center"/>
    </xf>
    <xf numFmtId="0" fontId="20" fillId="2" borderId="1" xfId="0" applyFont="1" applyFill="1" applyBorder="1" applyAlignment="1">
      <alignment horizontal="center"/>
    </xf>
    <xf numFmtId="165" fontId="20" fillId="2" borderId="1" xfId="0" applyNumberFormat="1" applyFont="1" applyFill="1" applyBorder="1" applyAlignment="1">
      <alignment horizontal="center"/>
    </xf>
    <xf numFmtId="164" fontId="20" fillId="2" borderId="1" xfId="0" applyNumberFormat="1" applyFont="1" applyFill="1" applyBorder="1" applyAlignment="1">
      <alignment horizontal="center"/>
    </xf>
    <xf numFmtId="164" fontId="20" fillId="2" borderId="5" xfId="0" applyNumberFormat="1" applyFont="1" applyFill="1" applyBorder="1" applyAlignment="1">
      <alignment horizontal="center"/>
    </xf>
    <xf numFmtId="0" fontId="20" fillId="2" borderId="4" xfId="0" applyFont="1" applyFill="1" applyBorder="1" applyAlignment="1">
      <alignment horizontal="right"/>
    </xf>
    <xf numFmtId="2" fontId="20" fillId="2" borderId="1" xfId="0" applyNumberFormat="1" applyFont="1" applyFill="1" applyBorder="1" applyAlignment="1">
      <alignment horizontal="center"/>
    </xf>
    <xf numFmtId="168" fontId="20" fillId="2" borderId="1" xfId="0" applyNumberFormat="1" applyFont="1" applyFill="1" applyBorder="1" applyAlignment="1">
      <alignment horizontal="center"/>
    </xf>
    <xf numFmtId="169" fontId="20" fillId="2" borderId="1" xfId="0" applyNumberFormat="1" applyFont="1" applyFill="1" applyBorder="1" applyAlignment="1">
      <alignment horizontal="center"/>
    </xf>
    <xf numFmtId="169" fontId="20" fillId="2" borderId="5" xfId="0" applyNumberFormat="1" applyFont="1" applyFill="1" applyBorder="1" applyAlignment="1">
      <alignment horizontal="center"/>
    </xf>
    <xf numFmtId="0" fontId="20" fillId="2" borderId="7" xfId="0" applyFont="1" applyFill="1" applyBorder="1" applyAlignment="1">
      <alignment horizontal="center"/>
    </xf>
    <xf numFmtId="0" fontId="20" fillId="2" borderId="4" xfId="0" applyFont="1" applyFill="1" applyBorder="1" applyAlignment="1">
      <alignment horizontal="center"/>
    </xf>
    <xf numFmtId="164" fontId="20" fillId="2" borderId="4" xfId="0" applyNumberFormat="1" applyFont="1" applyFill="1" applyBorder="1" applyAlignment="1">
      <alignment horizontal="center"/>
    </xf>
    <xf numFmtId="0" fontId="20" fillId="2" borderId="4" xfId="0" applyFont="1" applyFill="1" applyBorder="1" applyAlignment="1">
      <alignment horizontal="center" vertical="center"/>
    </xf>
    <xf numFmtId="0" fontId="20" fillId="7" borderId="1"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30" xfId="0" applyFont="1" applyFill="1" applyBorder="1" applyAlignment="1">
      <alignment horizontal="left" wrapText="1"/>
    </xf>
    <xf numFmtId="0" fontId="21" fillId="10" borderId="30" xfId="0" applyFont="1" applyFill="1" applyBorder="1" applyAlignment="1">
      <alignment horizontal="left" vertical="center" wrapText="1"/>
    </xf>
    <xf numFmtId="0" fontId="20" fillId="0" borderId="0" xfId="0" applyFont="1"/>
    <xf numFmtId="164" fontId="20" fillId="2" borderId="0" xfId="0" applyNumberFormat="1" applyFont="1" applyFill="1" applyAlignment="1">
      <alignment horizontal="center"/>
    </xf>
    <xf numFmtId="0" fontId="22" fillId="2" borderId="1" xfId="0" applyFont="1" applyFill="1" applyBorder="1"/>
    <xf numFmtId="0" fontId="23" fillId="0" borderId="0" xfId="0" applyFont="1"/>
    <xf numFmtId="165" fontId="12" fillId="4" borderId="9" xfId="0" applyNumberFormat="1" applyFont="1" applyFill="1" applyBorder="1"/>
    <xf numFmtId="165" fontId="12" fillId="4" borderId="11" xfId="0" applyNumberFormat="1" applyFont="1" applyFill="1" applyBorder="1"/>
    <xf numFmtId="0" fontId="12" fillId="4" borderId="33" xfId="0" applyFont="1" applyFill="1" applyBorder="1"/>
    <xf numFmtId="0" fontId="12" fillId="4" borderId="34" xfId="0" applyFont="1" applyFill="1" applyBorder="1"/>
    <xf numFmtId="169" fontId="12" fillId="4" borderId="35" xfId="0" applyNumberFormat="1" applyFont="1" applyFill="1" applyBorder="1"/>
    <xf numFmtId="164" fontId="1" fillId="4" borderId="18" xfId="0" applyNumberFormat="1" applyFont="1" applyFill="1" applyBorder="1" applyAlignment="1">
      <alignment horizontal="center"/>
    </xf>
    <xf numFmtId="0" fontId="12" fillId="4" borderId="18" xfId="0" applyFont="1" applyFill="1" applyBorder="1"/>
    <xf numFmtId="0" fontId="12" fillId="4" borderId="13" xfId="0" applyFont="1" applyFill="1" applyBorder="1"/>
    <xf numFmtId="0" fontId="12" fillId="4" borderId="12" xfId="0" applyFont="1" applyFill="1" applyBorder="1"/>
    <xf numFmtId="0" fontId="12" fillId="4" borderId="9" xfId="0" applyFont="1" applyFill="1" applyBorder="1"/>
    <xf numFmtId="0" fontId="12" fillId="4" borderId="11" xfId="0" applyFont="1" applyFill="1" applyBorder="1"/>
    <xf numFmtId="164" fontId="12" fillId="4" borderId="9" xfId="0" applyNumberFormat="1" applyFont="1" applyFill="1" applyBorder="1"/>
    <xf numFmtId="164" fontId="2" fillId="4" borderId="12" xfId="0" applyNumberFormat="1" applyFont="1" applyFill="1" applyBorder="1"/>
    <xf numFmtId="164" fontId="2" fillId="4" borderId="9" xfId="0" applyNumberFormat="1" applyFont="1" applyFill="1" applyBorder="1"/>
    <xf numFmtId="0" fontId="5" fillId="2" borderId="0" xfId="0" applyFont="1" applyFill="1"/>
    <xf numFmtId="165" fontId="12" fillId="2" borderId="15" xfId="0" applyNumberFormat="1" applyFont="1" applyFill="1" applyBorder="1"/>
    <xf numFmtId="165" fontId="12" fillId="2" borderId="36" xfId="0" applyNumberFormat="1" applyFont="1" applyFill="1" applyBorder="1"/>
    <xf numFmtId="0" fontId="12" fillId="2" borderId="37" xfId="0" applyFont="1" applyFill="1" applyBorder="1"/>
    <xf numFmtId="0" fontId="12" fillId="2" borderId="16" xfId="0" applyFont="1" applyFill="1" applyBorder="1"/>
    <xf numFmtId="169" fontId="12" fillId="2" borderId="38" xfId="0" applyNumberFormat="1" applyFont="1" applyFill="1" applyBorder="1"/>
    <xf numFmtId="164" fontId="1" fillId="2" borderId="39" xfId="0" applyNumberFormat="1" applyFont="1" applyFill="1" applyBorder="1" applyAlignment="1">
      <alignment horizontal="center"/>
    </xf>
    <xf numFmtId="0" fontId="12" fillId="2" borderId="40" xfId="0" applyFont="1" applyFill="1" applyBorder="1"/>
    <xf numFmtId="0" fontId="12" fillId="2" borderId="15" xfId="0" applyFont="1" applyFill="1" applyBorder="1"/>
    <xf numFmtId="164" fontId="12" fillId="2" borderId="15" xfId="0" applyNumberFormat="1" applyFont="1" applyFill="1" applyBorder="1"/>
    <xf numFmtId="165" fontId="12" fillId="2" borderId="1" xfId="0" applyNumberFormat="1" applyFont="1" applyFill="1" applyBorder="1"/>
    <xf numFmtId="165" fontId="12" fillId="2" borderId="5" xfId="0" applyNumberFormat="1" applyFont="1" applyFill="1" applyBorder="1"/>
    <xf numFmtId="0" fontId="12" fillId="2" borderId="10" xfId="0" applyFont="1" applyFill="1" applyBorder="1"/>
    <xf numFmtId="0" fontId="12" fillId="2" borderId="9" xfId="0" applyFont="1" applyFill="1" applyBorder="1"/>
    <xf numFmtId="169" fontId="12" fillId="2" borderId="11" xfId="0" applyNumberFormat="1" applyFont="1" applyFill="1" applyBorder="1"/>
    <xf numFmtId="164" fontId="1" fillId="2" borderId="41" xfId="0" applyNumberFormat="1" applyFont="1" applyFill="1" applyBorder="1" applyAlignment="1">
      <alignment horizontal="center"/>
    </xf>
    <xf numFmtId="0" fontId="12" fillId="2" borderId="6" xfId="0" applyFont="1" applyFill="1" applyBorder="1"/>
    <xf numFmtId="0" fontId="24" fillId="2" borderId="0" xfId="0" applyFont="1" applyFill="1"/>
    <xf numFmtId="165" fontId="12" fillId="2" borderId="1" xfId="0" applyNumberFormat="1" applyFont="1" applyFill="1" applyBorder="1" applyAlignment="1">
      <alignment horizontal="left"/>
    </xf>
    <xf numFmtId="169" fontId="12" fillId="2" borderId="42" xfId="0" applyNumberFormat="1" applyFont="1" applyFill="1" applyBorder="1"/>
    <xf numFmtId="0" fontId="12" fillId="2" borderId="33" xfId="0" applyFont="1" applyFill="1" applyBorder="1"/>
    <xf numFmtId="0" fontId="12" fillId="2" borderId="34" xfId="0" applyFont="1" applyFill="1" applyBorder="1"/>
    <xf numFmtId="169" fontId="12" fillId="2" borderId="43" xfId="0" applyNumberFormat="1" applyFont="1" applyFill="1" applyBorder="1"/>
    <xf numFmtId="164" fontId="2" fillId="2" borderId="19" xfId="0" applyNumberFormat="1" applyFont="1" applyFill="1" applyBorder="1"/>
    <xf numFmtId="0" fontId="2" fillId="2" borderId="15" xfId="0" applyFont="1" applyFill="1" applyBorder="1"/>
    <xf numFmtId="4" fontId="12" fillId="2" borderId="1" xfId="0" applyNumberFormat="1" applyFont="1" applyFill="1" applyBorder="1"/>
    <xf numFmtId="0" fontId="4" fillId="3" borderId="30" xfId="0" applyFont="1" applyFill="1" applyBorder="1" applyAlignment="1">
      <alignment horizontal="center" vertical="center" wrapText="1"/>
    </xf>
    <xf numFmtId="172" fontId="4" fillId="3" borderId="30" xfId="0" applyNumberFormat="1" applyFont="1" applyFill="1" applyBorder="1" applyAlignment="1">
      <alignment horizontal="center" vertical="center" wrapText="1"/>
    </xf>
    <xf numFmtId="165" fontId="10" fillId="2" borderId="6" xfId="0" applyNumberFormat="1" applyFont="1" applyFill="1" applyBorder="1" applyAlignment="1">
      <alignment horizontal="center"/>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3"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49" xfId="0" applyNumberFormat="1" applyFont="1" applyFill="1" applyBorder="1" applyAlignment="1">
      <alignment horizontal="center"/>
    </xf>
    <xf numFmtId="164" fontId="3" fillId="2" borderId="10" xfId="0" applyNumberFormat="1" applyFont="1" applyFill="1" applyBorder="1" applyAlignment="1">
      <alignment horizontal="center"/>
    </xf>
    <xf numFmtId="0" fontId="6" fillId="0" borderId="0" xfId="0" applyFont="1" applyAlignment="1">
      <alignment horizontal="right"/>
    </xf>
    <xf numFmtId="4" fontId="12" fillId="2" borderId="21" xfId="0" applyNumberFormat="1" applyFont="1" applyFill="1" applyBorder="1"/>
    <xf numFmtId="164" fontId="3" fillId="2" borderId="30" xfId="0" applyNumberFormat="1" applyFont="1" applyFill="1" applyBorder="1" applyAlignment="1">
      <alignment horizontal="center"/>
    </xf>
    <xf numFmtId="173" fontId="10" fillId="3" borderId="30" xfId="0" applyNumberFormat="1" applyFont="1" applyFill="1" applyBorder="1" applyAlignment="1">
      <alignment horizontal="center" vertical="center" wrapText="1"/>
    </xf>
    <xf numFmtId="4" fontId="25" fillId="2" borderId="0" xfId="0" applyNumberFormat="1" applyFont="1" applyFill="1"/>
    <xf numFmtId="164" fontId="26" fillId="2" borderId="1" xfId="0" applyNumberFormat="1" applyFont="1" applyFill="1" applyBorder="1"/>
    <xf numFmtId="0" fontId="26" fillId="2" borderId="1" xfId="0" applyFont="1" applyFill="1" applyBorder="1"/>
    <xf numFmtId="0" fontId="1" fillId="2" borderId="11" xfId="0" applyFont="1" applyFill="1" applyBorder="1"/>
    <xf numFmtId="164" fontId="1" fillId="0" borderId="50" xfId="0" applyNumberFormat="1" applyFont="1" applyBorder="1"/>
    <xf numFmtId="164" fontId="1" fillId="2" borderId="36" xfId="0" applyNumberFormat="1" applyFont="1" applyFill="1" applyBorder="1" applyAlignment="1">
      <alignment horizontal="center"/>
    </xf>
    <xf numFmtId="4" fontId="27" fillId="2" borderId="19" xfId="0" applyNumberFormat="1" applyFont="1" applyFill="1" applyBorder="1"/>
    <xf numFmtId="4" fontId="12" fillId="2" borderId="19" xfId="0" applyNumberFormat="1" applyFont="1" applyFill="1" applyBorder="1"/>
    <xf numFmtId="165" fontId="12" fillId="2" borderId="19" xfId="0" applyNumberFormat="1" applyFont="1" applyFill="1" applyBorder="1"/>
    <xf numFmtId="0" fontId="12" fillId="2" borderId="19" xfId="0" applyFont="1" applyFill="1" applyBorder="1"/>
    <xf numFmtId="0" fontId="4" fillId="16" borderId="20" xfId="0" applyFont="1" applyFill="1" applyBorder="1" applyAlignment="1">
      <alignment horizontal="center" vertical="center"/>
    </xf>
    <xf numFmtId="0" fontId="10" fillId="16" borderId="26"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54" xfId="0" applyFont="1" applyFill="1" applyBorder="1" applyAlignment="1">
      <alignment horizontal="left" vertical="center" wrapText="1"/>
    </xf>
    <xf numFmtId="173" fontId="10" fillId="3" borderId="30" xfId="0" applyNumberFormat="1" applyFont="1" applyFill="1" applyBorder="1" applyAlignment="1">
      <alignment horizontal="center"/>
    </xf>
    <xf numFmtId="0" fontId="10" fillId="3" borderId="31" xfId="0" applyFont="1" applyFill="1" applyBorder="1" applyAlignment="1">
      <alignment horizontal="center"/>
    </xf>
    <xf numFmtId="173" fontId="10" fillId="3" borderId="31" xfId="0" applyNumberFormat="1" applyFont="1" applyFill="1" applyBorder="1" applyAlignment="1">
      <alignment horizontal="center"/>
    </xf>
    <xf numFmtId="0" fontId="12" fillId="0" borderId="0" xfId="0" applyFont="1"/>
    <xf numFmtId="169" fontId="12" fillId="2" borderId="30" xfId="0" applyNumberFormat="1" applyFont="1" applyFill="1" applyBorder="1"/>
    <xf numFmtId="164" fontId="17" fillId="2" borderId="1" xfId="0" applyNumberFormat="1" applyFont="1" applyFill="1" applyBorder="1"/>
    <xf numFmtId="10" fontId="3" fillId="2" borderId="4"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165" fontId="1" fillId="17"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18" borderId="1" xfId="0" applyNumberFormat="1" applyFont="1" applyFill="1" applyBorder="1" applyAlignment="1">
      <alignment horizontal="center"/>
    </xf>
    <xf numFmtId="0" fontId="6" fillId="2" borderId="0" xfId="0" applyFont="1" applyFill="1"/>
    <xf numFmtId="0" fontId="10" fillId="2" borderId="56" xfId="0" applyFont="1" applyFill="1" applyBorder="1" applyAlignment="1">
      <alignment horizontal="center" vertical="center"/>
    </xf>
    <xf numFmtId="0" fontId="10" fillId="2" borderId="56" xfId="0" applyFont="1" applyFill="1" applyBorder="1" applyAlignment="1">
      <alignment horizontal="left" vertical="center"/>
    </xf>
    <xf numFmtId="0" fontId="10" fillId="2" borderId="0" xfId="0" applyFont="1" applyFill="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xf>
    <xf numFmtId="0" fontId="5" fillId="6" borderId="56" xfId="0" applyFont="1" applyFill="1" applyBorder="1"/>
    <xf numFmtId="3" fontId="1" fillId="6" borderId="56" xfId="0" applyNumberFormat="1" applyFont="1" applyFill="1" applyBorder="1" applyAlignment="1">
      <alignment horizontal="left"/>
    </xf>
    <xf numFmtId="3" fontId="1" fillId="6" borderId="56" xfId="0" applyNumberFormat="1" applyFont="1" applyFill="1" applyBorder="1" applyAlignment="1">
      <alignment horizontal="center"/>
    </xf>
    <xf numFmtId="0" fontId="1" fillId="6" borderId="56" xfId="0" applyFont="1" applyFill="1" applyBorder="1" applyAlignment="1">
      <alignment horizontal="center"/>
    </xf>
    <xf numFmtId="165" fontId="1" fillId="6" borderId="56" xfId="0" applyNumberFormat="1" applyFont="1" applyFill="1" applyBorder="1" applyAlignment="1">
      <alignment horizontal="center"/>
    </xf>
    <xf numFmtId="3" fontId="1" fillId="2" borderId="0" xfId="0" applyNumberFormat="1" applyFont="1" applyFill="1" applyAlignment="1">
      <alignment horizontal="left"/>
    </xf>
    <xf numFmtId="3" fontId="1" fillId="2" borderId="0" xfId="0" applyNumberFormat="1" applyFont="1" applyFill="1"/>
    <xf numFmtId="3" fontId="1" fillId="2" borderId="0" xfId="0" applyNumberFormat="1" applyFont="1" applyFill="1" applyAlignment="1">
      <alignment horizontal="center"/>
    </xf>
    <xf numFmtId="165" fontId="1" fillId="2" borderId="0" xfId="0" applyNumberFormat="1" applyFont="1" applyFill="1" applyAlignment="1">
      <alignment horizontal="center"/>
    </xf>
    <xf numFmtId="0" fontId="1" fillId="2" borderId="17" xfId="0" applyFont="1" applyFill="1" applyBorder="1" applyAlignment="1">
      <alignment horizontal="right"/>
    </xf>
    <xf numFmtId="2" fontId="1" fillId="2" borderId="0" xfId="0" applyNumberFormat="1" applyFont="1" applyFill="1" applyAlignment="1">
      <alignment horizontal="center"/>
    </xf>
    <xf numFmtId="168" fontId="1" fillId="2" borderId="0" xfId="0" applyNumberFormat="1" applyFont="1" applyFill="1" applyAlignment="1">
      <alignment horizontal="center"/>
    </xf>
    <xf numFmtId="169" fontId="1" fillId="2" borderId="0" xfId="0" applyNumberFormat="1" applyFont="1" applyFill="1" applyAlignment="1">
      <alignment horizontal="center"/>
    </xf>
    <xf numFmtId="169" fontId="28" fillId="2" borderId="0" xfId="0" applyNumberFormat="1" applyFont="1" applyFill="1" applyAlignment="1">
      <alignment horizontal="center"/>
    </xf>
    <xf numFmtId="164" fontId="28" fillId="2" borderId="0" xfId="0" applyNumberFormat="1" applyFont="1" applyFill="1" applyAlignment="1">
      <alignment horizontal="center"/>
    </xf>
    <xf numFmtId="0" fontId="1" fillId="2" borderId="32" xfId="0" applyFont="1" applyFill="1" applyBorder="1" applyAlignment="1">
      <alignment horizontal="center"/>
    </xf>
    <xf numFmtId="0" fontId="5" fillId="2" borderId="0" xfId="0" applyFont="1" applyFill="1" applyAlignment="1">
      <alignment horizontal="center"/>
    </xf>
    <xf numFmtId="164" fontId="5" fillId="19" borderId="32" xfId="0" applyNumberFormat="1" applyFont="1" applyFill="1" applyBorder="1" applyAlignment="1">
      <alignment horizontal="center"/>
    </xf>
    <xf numFmtId="164" fontId="29" fillId="2" borderId="32" xfId="0" applyNumberFormat="1" applyFont="1" applyFill="1" applyBorder="1" applyAlignment="1">
      <alignment horizontal="center"/>
    </xf>
    <xf numFmtId="164" fontId="30" fillId="2" borderId="32" xfId="0" applyNumberFormat="1" applyFont="1" applyFill="1" applyBorder="1" applyAlignment="1">
      <alignment horizontal="center"/>
    </xf>
    <xf numFmtId="0" fontId="5" fillId="13" borderId="0" xfId="0" applyFont="1" applyFill="1" applyAlignment="1">
      <alignment horizontal="center"/>
    </xf>
    <xf numFmtId="0" fontId="5" fillId="14" borderId="0" xfId="0" applyFont="1" applyFill="1" applyAlignment="1">
      <alignment horizontal="center"/>
    </xf>
    <xf numFmtId="164" fontId="5" fillId="7" borderId="0" xfId="0" applyNumberFormat="1" applyFont="1" applyFill="1" applyAlignment="1">
      <alignment horizontal="center"/>
    </xf>
    <xf numFmtId="164" fontId="31" fillId="2" borderId="0" xfId="0" applyNumberFormat="1" applyFont="1" applyFill="1"/>
    <xf numFmtId="164" fontId="3" fillId="2" borderId="19" xfId="0" applyNumberFormat="1" applyFont="1" applyFill="1" applyBorder="1" applyAlignment="1">
      <alignment horizontal="center"/>
    </xf>
    <xf numFmtId="0" fontId="10" fillId="2" borderId="55" xfId="0" applyFont="1" applyFill="1" applyBorder="1" applyAlignment="1">
      <alignment horizontal="center" vertical="center" wrapText="1"/>
    </xf>
    <xf numFmtId="0" fontId="10" fillId="2" borderId="0" xfId="0" applyFont="1" applyFill="1" applyAlignment="1">
      <alignment horizontal="left" vertical="center" wrapText="1"/>
    </xf>
    <xf numFmtId="0" fontId="9" fillId="2" borderId="0" xfId="0" applyFont="1" applyFill="1" applyAlignment="1">
      <alignment horizontal="left"/>
    </xf>
    <xf numFmtId="0" fontId="32" fillId="2" borderId="1" xfId="0" applyFont="1" applyFill="1" applyBorder="1" applyAlignment="1">
      <alignment horizontal="right"/>
    </xf>
    <xf numFmtId="0" fontId="33" fillId="2" borderId="1" xfId="0" applyFont="1" applyFill="1" applyBorder="1"/>
    <xf numFmtId="3" fontId="33" fillId="2" borderId="1" xfId="0" applyNumberFormat="1" applyFont="1" applyFill="1" applyBorder="1" applyAlignment="1">
      <alignment horizontal="left"/>
    </xf>
    <xf numFmtId="3" fontId="33" fillId="2" borderId="1" xfId="0" applyNumberFormat="1" applyFont="1" applyFill="1" applyBorder="1" applyAlignment="1">
      <alignment horizontal="center"/>
    </xf>
    <xf numFmtId="0" fontId="33" fillId="2" borderId="1" xfId="0" applyFont="1" applyFill="1" applyBorder="1" applyAlignment="1">
      <alignment horizontal="center"/>
    </xf>
    <xf numFmtId="165" fontId="33" fillId="2" borderId="1" xfId="0" applyNumberFormat="1" applyFont="1" applyFill="1" applyBorder="1" applyAlignment="1">
      <alignment horizontal="center"/>
    </xf>
    <xf numFmtId="0" fontId="33" fillId="2" borderId="4" xfId="0" applyFont="1" applyFill="1" applyBorder="1" applyAlignment="1">
      <alignment horizontal="right"/>
    </xf>
    <xf numFmtId="2" fontId="33" fillId="2" borderId="1" xfId="0" applyNumberFormat="1" applyFont="1" applyFill="1" applyBorder="1" applyAlignment="1">
      <alignment horizontal="center"/>
    </xf>
    <xf numFmtId="168" fontId="33" fillId="2" borderId="1" xfId="0" applyNumberFormat="1" applyFont="1" applyFill="1" applyBorder="1" applyAlignment="1">
      <alignment horizontal="center"/>
    </xf>
    <xf numFmtId="169" fontId="33" fillId="2" borderId="1" xfId="0" applyNumberFormat="1" applyFont="1" applyFill="1" applyBorder="1" applyAlignment="1">
      <alignment horizontal="center"/>
    </xf>
    <xf numFmtId="169" fontId="33" fillId="2" borderId="5" xfId="0" applyNumberFormat="1" applyFont="1" applyFill="1" applyBorder="1" applyAlignment="1">
      <alignment horizontal="center"/>
    </xf>
    <xf numFmtId="164" fontId="32" fillId="2" borderId="1" xfId="0" applyNumberFormat="1" applyFont="1" applyFill="1" applyBorder="1" applyAlignment="1">
      <alignment horizontal="center"/>
    </xf>
    <xf numFmtId="0" fontId="33" fillId="2" borderId="7" xfId="0" applyFont="1" applyFill="1" applyBorder="1" applyAlignment="1">
      <alignment horizontal="center"/>
    </xf>
    <xf numFmtId="0" fontId="33" fillId="2" borderId="4" xfId="0" applyFont="1" applyFill="1" applyBorder="1" applyAlignment="1">
      <alignment horizontal="center"/>
    </xf>
    <xf numFmtId="164" fontId="32" fillId="2" borderId="5" xfId="0" applyNumberFormat="1" applyFont="1" applyFill="1" applyBorder="1" applyAlignment="1">
      <alignment horizontal="center"/>
    </xf>
    <xf numFmtId="164" fontId="33" fillId="2" borderId="4" xfId="0" applyNumberFormat="1" applyFont="1" applyFill="1" applyBorder="1" applyAlignment="1">
      <alignment horizontal="center"/>
    </xf>
    <xf numFmtId="0" fontId="33" fillId="2" borderId="4" xfId="0" applyFont="1" applyFill="1" applyBorder="1" applyAlignment="1">
      <alignment horizontal="center" vertical="center"/>
    </xf>
    <xf numFmtId="0" fontId="33" fillId="7" borderId="1" xfId="0" applyFont="1" applyFill="1" applyBorder="1" applyAlignment="1">
      <alignment horizontal="center" vertical="center"/>
    </xf>
    <xf numFmtId="0" fontId="33" fillId="2" borderId="1" xfId="0" applyFont="1" applyFill="1" applyBorder="1" applyAlignment="1">
      <alignment horizontal="center" vertical="center"/>
    </xf>
    <xf numFmtId="0" fontId="34" fillId="2" borderId="0" xfId="0" applyFont="1" applyFill="1" applyAlignment="1">
      <alignment horizontal="left"/>
    </xf>
    <xf numFmtId="164" fontId="33" fillId="2" borderId="1" xfId="0" applyNumberFormat="1" applyFont="1" applyFill="1" applyBorder="1" applyAlignment="1">
      <alignment horizontal="center"/>
    </xf>
    <xf numFmtId="0" fontId="33" fillId="0" borderId="0" xfId="0" applyFont="1"/>
    <xf numFmtId="0" fontId="35" fillId="2" borderId="1" xfId="0" applyFont="1" applyFill="1" applyBorder="1"/>
    <xf numFmtId="0" fontId="36" fillId="0" borderId="0" xfId="0" applyFont="1"/>
    <xf numFmtId="0" fontId="11" fillId="2" borderId="0" xfId="0" applyFont="1" applyFill="1" applyAlignment="1">
      <alignment horizontal="left"/>
    </xf>
    <xf numFmtId="0" fontId="4" fillId="4" borderId="56" xfId="0" applyFont="1" applyFill="1" applyBorder="1" applyAlignment="1">
      <alignment horizontal="center" vertical="center"/>
    </xf>
    <xf numFmtId="0" fontId="4" fillId="4" borderId="56" xfId="0" applyFont="1" applyFill="1" applyBorder="1" applyAlignment="1">
      <alignment horizontal="left"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0" xfId="0" applyFont="1" applyFill="1" applyAlignment="1">
      <alignment horizontal="left" vertical="center" wrapText="1"/>
    </xf>
    <xf numFmtId="0" fontId="5" fillId="20" borderId="56" xfId="0" applyFont="1" applyFill="1" applyBorder="1"/>
    <xf numFmtId="3" fontId="1" fillId="20" borderId="56" xfId="0" applyNumberFormat="1" applyFont="1" applyFill="1" applyBorder="1" applyAlignment="1">
      <alignment horizontal="left"/>
    </xf>
    <xf numFmtId="3" fontId="1" fillId="20" borderId="56" xfId="0" applyNumberFormat="1" applyFont="1" applyFill="1" applyBorder="1" applyAlignment="1">
      <alignment horizontal="center"/>
    </xf>
    <xf numFmtId="0" fontId="1" fillId="20" borderId="56" xfId="0" applyFont="1" applyFill="1" applyBorder="1" applyAlignment="1">
      <alignment horizontal="center"/>
    </xf>
    <xf numFmtId="165" fontId="1" fillId="20" borderId="56" xfId="0" applyNumberFormat="1" applyFont="1" applyFill="1" applyBorder="1" applyAlignment="1">
      <alignment horizontal="center"/>
    </xf>
    <xf numFmtId="0" fontId="1" fillId="2" borderId="0" xfId="0" applyFont="1" applyFill="1" applyAlignment="1">
      <alignment horizontal="right"/>
    </xf>
    <xf numFmtId="165" fontId="1" fillId="2" borderId="32" xfId="0" applyNumberFormat="1" applyFont="1" applyFill="1" applyBorder="1" applyAlignment="1">
      <alignment horizontal="center"/>
    </xf>
    <xf numFmtId="169" fontId="16" fillId="2" borderId="0" xfId="0" applyNumberFormat="1" applyFont="1" applyFill="1"/>
    <xf numFmtId="0" fontId="16" fillId="7" borderId="0" xfId="0" applyFont="1" applyFill="1"/>
    <xf numFmtId="0" fontId="16" fillId="21" borderId="59" xfId="0" applyFont="1" applyFill="1" applyBorder="1"/>
    <xf numFmtId="0" fontId="1" fillId="0" borderId="0" xfId="0" applyFont="1" applyAlignment="1">
      <alignment horizontal="right"/>
    </xf>
    <xf numFmtId="0" fontId="16" fillId="2" borderId="0" xfId="0" applyFont="1" applyFill="1" applyAlignment="1">
      <alignment horizontal="right"/>
    </xf>
    <xf numFmtId="0" fontId="16" fillId="0" borderId="0" xfId="0" applyFont="1" applyAlignment="1">
      <alignment horizontal="right"/>
    </xf>
    <xf numFmtId="0" fontId="2" fillId="22" borderId="9" xfId="0" applyFont="1" applyFill="1" applyBorder="1"/>
    <xf numFmtId="4" fontId="2" fillId="22" borderId="9" xfId="0" applyNumberFormat="1" applyFont="1" applyFill="1" applyBorder="1" applyAlignment="1">
      <alignment horizontal="left"/>
    </xf>
    <xf numFmtId="4" fontId="2" fillId="22" borderId="9" xfId="0" applyNumberFormat="1" applyFont="1" applyFill="1" applyBorder="1"/>
    <xf numFmtId="165" fontId="2" fillId="22" borderId="9" xfId="0" applyNumberFormat="1" applyFont="1" applyFill="1" applyBorder="1" applyAlignment="1">
      <alignment horizontal="center"/>
    </xf>
    <xf numFmtId="165" fontId="1" fillId="22" borderId="9" xfId="0" applyNumberFormat="1" applyFont="1" applyFill="1" applyBorder="1" applyAlignment="1">
      <alignment horizontal="center"/>
    </xf>
    <xf numFmtId="0" fontId="2" fillId="22" borderId="10" xfId="0" applyFont="1" applyFill="1" applyBorder="1"/>
    <xf numFmtId="0" fontId="2" fillId="22" borderId="11" xfId="0" applyFont="1" applyFill="1" applyBorder="1"/>
    <xf numFmtId="164" fontId="2" fillId="22" borderId="11" xfId="0" applyNumberFormat="1" applyFont="1" applyFill="1" applyBorder="1"/>
    <xf numFmtId="164" fontId="2" fillId="22" borderId="10" xfId="0" applyNumberFormat="1" applyFont="1" applyFill="1" applyBorder="1"/>
    <xf numFmtId="164" fontId="2" fillId="22" borderId="9" xfId="0" applyNumberFormat="1" applyFont="1" applyFill="1" applyBorder="1"/>
    <xf numFmtId="0" fontId="1" fillId="22" borderId="10" xfId="0" applyFont="1" applyFill="1" applyBorder="1" applyAlignment="1">
      <alignment horizontal="center"/>
    </xf>
    <xf numFmtId="0" fontId="1" fillId="22" borderId="9" xfId="0" applyFont="1" applyFill="1" applyBorder="1" applyAlignment="1">
      <alignment horizontal="center"/>
    </xf>
    <xf numFmtId="0" fontId="12" fillId="2" borderId="60" xfId="0" applyFont="1" applyFill="1" applyBorder="1"/>
    <xf numFmtId="0" fontId="12" fillId="2" borderId="61" xfId="0" applyFont="1" applyFill="1" applyBorder="1"/>
    <xf numFmtId="169" fontId="12" fillId="2" borderId="62" xfId="0" applyNumberFormat="1" applyFont="1" applyFill="1" applyBorder="1"/>
    <xf numFmtId="169" fontId="1" fillId="2" borderId="62" xfId="0" applyNumberFormat="1" applyFont="1" applyFill="1" applyBorder="1" applyAlignment="1">
      <alignment horizontal="center"/>
    </xf>
    <xf numFmtId="164" fontId="3" fillId="2" borderId="9" xfId="0" applyNumberFormat="1" applyFont="1" applyFill="1" applyBorder="1" applyAlignment="1">
      <alignment horizontal="center"/>
    </xf>
    <xf numFmtId="168" fontId="1" fillId="2" borderId="23" xfId="0" applyNumberFormat="1" applyFont="1" applyFill="1" applyBorder="1" applyAlignment="1">
      <alignment horizontal="center"/>
    </xf>
    <xf numFmtId="0" fontId="12" fillId="2" borderId="0" xfId="0" applyFont="1" applyFill="1"/>
    <xf numFmtId="0" fontId="37" fillId="2" borderId="1" xfId="0" applyFont="1" applyFill="1" applyBorder="1"/>
    <xf numFmtId="164" fontId="1" fillId="5" borderId="1" xfId="0" applyNumberFormat="1" applyFont="1" applyFill="1" applyBorder="1" applyAlignment="1">
      <alignment horizontal="center"/>
    </xf>
    <xf numFmtId="164" fontId="12" fillId="2" borderId="0" xfId="0" applyNumberFormat="1" applyFont="1" applyFill="1"/>
    <xf numFmtId="164" fontId="1" fillId="5" borderId="9" xfId="0" applyNumberFormat="1" applyFont="1" applyFill="1" applyBorder="1" applyAlignment="1">
      <alignment horizontal="center"/>
    </xf>
    <xf numFmtId="0" fontId="7" fillId="2" borderId="61" xfId="0" applyFont="1" applyFill="1" applyBorder="1"/>
    <xf numFmtId="164" fontId="12" fillId="2" borderId="19" xfId="0" applyNumberFormat="1" applyFont="1" applyFill="1" applyBorder="1"/>
    <xf numFmtId="164" fontId="12" fillId="2" borderId="6" xfId="0" applyNumberFormat="1" applyFont="1" applyFill="1" applyBorder="1"/>
    <xf numFmtId="0" fontId="38" fillId="3" borderId="2" xfId="0" applyFont="1" applyFill="1" applyBorder="1"/>
    <xf numFmtId="0" fontId="39" fillId="2" borderId="9" xfId="0" applyFont="1" applyFill="1" applyBorder="1" applyAlignment="1">
      <alignment horizontal="center"/>
    </xf>
    <xf numFmtId="0" fontId="40" fillId="2" borderId="1" xfId="0" applyFont="1" applyFill="1" applyBorder="1" applyAlignment="1">
      <alignment horizontal="center"/>
    </xf>
    <xf numFmtId="0" fontId="14" fillId="0" borderId="0" xfId="0" applyFont="1"/>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2" borderId="3" xfId="0" applyFont="1" applyFill="1" applyBorder="1"/>
    <xf numFmtId="0" fontId="3" fillId="2" borderId="37" xfId="0" applyFont="1" applyFill="1" applyBorder="1"/>
    <xf numFmtId="164" fontId="1" fillId="5" borderId="16" xfId="0" applyNumberFormat="1" applyFont="1" applyFill="1" applyBorder="1" applyAlignment="1">
      <alignment horizontal="center"/>
    </xf>
    <xf numFmtId="164" fontId="1" fillId="5" borderId="42" xfId="0" applyNumberFormat="1" applyFont="1" applyFill="1" applyBorder="1" applyAlignment="1">
      <alignment horizontal="center"/>
    </xf>
    <xf numFmtId="0" fontId="4" fillId="3" borderId="2" xfId="0" applyFont="1" applyFill="1" applyBorder="1" applyAlignment="1">
      <alignment horizontal="right"/>
    </xf>
    <xf numFmtId="10" fontId="3" fillId="2" borderId="1" xfId="0" applyNumberFormat="1" applyFont="1" applyFill="1" applyBorder="1" applyAlignment="1">
      <alignment horizontal="right"/>
    </xf>
    <xf numFmtId="0" fontId="3" fillId="2" borderId="10" xfId="0" applyFont="1" applyFill="1" applyBorder="1"/>
    <xf numFmtId="164" fontId="1" fillId="5" borderId="63" xfId="0" applyNumberFormat="1" applyFont="1" applyFill="1" applyBorder="1" applyAlignment="1">
      <alignment horizontal="center"/>
    </xf>
    <xf numFmtId="0" fontId="41" fillId="3" borderId="3" xfId="0" applyFont="1" applyFill="1" applyBorder="1"/>
    <xf numFmtId="0" fontId="3" fillId="2" borderId="6" xfId="0" applyFont="1" applyFill="1" applyBorder="1"/>
    <xf numFmtId="0" fontId="3" fillId="2" borderId="2" xfId="0" applyFont="1" applyFill="1" applyBorder="1"/>
    <xf numFmtId="0" fontId="4" fillId="3" borderId="64" xfId="0" applyFont="1" applyFill="1" applyBorder="1" applyAlignment="1">
      <alignment horizontal="right"/>
    </xf>
    <xf numFmtId="0" fontId="42" fillId="3" borderId="2" xfId="0" applyFont="1" applyFill="1" applyBorder="1"/>
    <xf numFmtId="0" fontId="7" fillId="2" borderId="16"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3" fillId="2" borderId="65" xfId="0" applyFont="1" applyFill="1" applyBorder="1"/>
    <xf numFmtId="0" fontId="7" fillId="2" borderId="9" xfId="0" applyFont="1" applyFill="1" applyBorder="1" applyAlignment="1">
      <alignment horizontal="center"/>
    </xf>
    <xf numFmtId="0" fontId="7" fillId="2" borderId="63" xfId="0" applyFont="1" applyFill="1" applyBorder="1" applyAlignment="1">
      <alignment horizontal="center"/>
    </xf>
    <xf numFmtId="0" fontId="7" fillId="2" borderId="30" xfId="0" applyFont="1" applyFill="1" applyBorder="1" applyAlignment="1">
      <alignment horizontal="left"/>
    </xf>
    <xf numFmtId="0" fontId="3" fillId="5" borderId="3" xfId="0" applyFont="1" applyFill="1" applyBorder="1"/>
    <xf numFmtId="0" fontId="3" fillId="5" borderId="37" xfId="0" applyFont="1" applyFill="1" applyBorder="1"/>
    <xf numFmtId="9" fontId="7" fillId="5" borderId="16" xfId="0" applyNumberFormat="1" applyFont="1" applyFill="1" applyBorder="1" applyAlignment="1">
      <alignment horizontal="center"/>
    </xf>
    <xf numFmtId="9" fontId="7" fillId="5" borderId="42" xfId="0" applyNumberFormat="1" applyFont="1" applyFill="1" applyBorder="1" applyAlignment="1">
      <alignment horizontal="center"/>
    </xf>
    <xf numFmtId="9" fontId="7" fillId="5" borderId="4" xfId="0" applyNumberFormat="1" applyFont="1" applyFill="1" applyBorder="1" applyAlignment="1">
      <alignment horizontal="left"/>
    </xf>
    <xf numFmtId="9" fontId="7" fillId="5" borderId="9"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5" xfId="0" applyFont="1" applyFill="1" applyBorder="1" applyAlignment="1">
      <alignment horizontal="left" vertical="center" wrapText="1"/>
    </xf>
    <xf numFmtId="0" fontId="4" fillId="16" borderId="40" xfId="0" applyFont="1" applyFill="1" applyBorder="1" applyAlignment="1">
      <alignment horizontal="left" vertical="center" wrapText="1"/>
    </xf>
    <xf numFmtId="0" fontId="1" fillId="0" borderId="17" xfId="0" applyFont="1" applyBorder="1"/>
    <xf numFmtId="0" fontId="12" fillId="2" borderId="66" xfId="0" applyFont="1" applyFill="1" applyBorder="1"/>
    <xf numFmtId="0" fontId="12" fillId="2" borderId="56" xfId="0" applyFont="1" applyFill="1" applyBorder="1"/>
    <xf numFmtId="169" fontId="12" fillId="2" borderId="57" xfId="0" applyNumberFormat="1" applyFont="1" applyFill="1" applyBorder="1"/>
    <xf numFmtId="169" fontId="1" fillId="2" borderId="57" xfId="0" applyNumberFormat="1" applyFont="1" applyFill="1" applyBorder="1" applyAlignment="1">
      <alignment horizontal="center"/>
    </xf>
    <xf numFmtId="164" fontId="3" fillId="2" borderId="34" xfId="0" applyNumberFormat="1" applyFont="1" applyFill="1" applyBorder="1" applyAlignment="1">
      <alignment horizontal="center"/>
    </xf>
    <xf numFmtId="0" fontId="5" fillId="2" borderId="56" xfId="0" applyFont="1" applyFill="1" applyBorder="1"/>
    <xf numFmtId="3" fontId="1" fillId="2" borderId="56" xfId="0" applyNumberFormat="1" applyFont="1" applyFill="1" applyBorder="1" applyAlignment="1">
      <alignment horizontal="left"/>
    </xf>
    <xf numFmtId="3" fontId="1" fillId="2" borderId="56" xfId="0" applyNumberFormat="1" applyFont="1" applyFill="1" applyBorder="1" applyAlignment="1">
      <alignment horizontal="center"/>
    </xf>
    <xf numFmtId="0" fontId="1" fillId="2" borderId="56" xfId="0" applyFont="1" applyFill="1" applyBorder="1" applyAlignment="1">
      <alignment horizontal="center"/>
    </xf>
    <xf numFmtId="165" fontId="1" fillId="2" borderId="57" xfId="0" applyNumberFormat="1" applyFont="1" applyFill="1" applyBorder="1" applyAlignment="1">
      <alignment horizontal="center"/>
    </xf>
    <xf numFmtId="165" fontId="1" fillId="2" borderId="58" xfId="0" applyNumberFormat="1" applyFont="1" applyFill="1" applyBorder="1" applyAlignment="1">
      <alignment horizontal="center"/>
    </xf>
    <xf numFmtId="165" fontId="1" fillId="2" borderId="56" xfId="0" applyNumberFormat="1" applyFont="1" applyFill="1" applyBorder="1" applyAlignment="1">
      <alignment horizontal="center"/>
    </xf>
    <xf numFmtId="0" fontId="4" fillId="2" borderId="5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0" xfId="0" applyFont="1" applyFill="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4" borderId="0" xfId="0" applyFont="1" applyFill="1" applyAlignment="1">
      <alignment horizontal="center" vertical="center" wrapText="1"/>
    </xf>
    <xf numFmtId="164" fontId="1" fillId="23" borderId="0" xfId="0" applyNumberFormat="1" applyFont="1" applyFill="1" applyAlignment="1">
      <alignment horizontal="center"/>
    </xf>
    <xf numFmtId="164" fontId="1" fillId="24" borderId="32" xfId="0" applyNumberFormat="1" applyFont="1" applyFill="1" applyBorder="1" applyAlignment="1">
      <alignment horizontal="center"/>
    </xf>
    <xf numFmtId="0" fontId="7" fillId="6" borderId="21" xfId="0" applyFont="1" applyFill="1" applyBorder="1" applyAlignment="1">
      <alignment horizontal="center" wrapText="1"/>
    </xf>
    <xf numFmtId="0" fontId="8" fillId="0" borderId="22" xfId="0" applyFont="1" applyBorder="1"/>
    <xf numFmtId="0" fontId="8" fillId="0" borderId="23" xfId="0" applyFont="1" applyBorder="1"/>
    <xf numFmtId="0" fontId="7" fillId="6" borderId="22" xfId="0" applyFont="1" applyFill="1" applyBorder="1" applyAlignment="1">
      <alignment horizontal="center" wrapText="1"/>
    </xf>
    <xf numFmtId="0" fontId="7" fillId="6" borderId="24" xfId="0" applyFont="1" applyFill="1" applyBorder="1" applyAlignment="1">
      <alignment horizontal="center" wrapText="1"/>
    </xf>
    <xf numFmtId="0" fontId="8" fillId="0" borderId="24" xfId="0" applyFont="1" applyBorder="1"/>
    <xf numFmtId="0" fontId="8" fillId="0" borderId="25" xfId="0" applyFont="1" applyBorder="1"/>
    <xf numFmtId="0" fontId="5" fillId="6" borderId="51" xfId="0" applyFont="1" applyFill="1" applyBorder="1" applyAlignment="1">
      <alignment horizontal="center" wrapText="1"/>
    </xf>
    <xf numFmtId="0" fontId="8" fillId="0" borderId="52" xfId="0" applyFont="1" applyBorder="1"/>
    <xf numFmtId="0" fontId="8" fillId="0" borderId="53" xfId="0" applyFont="1" applyBorder="1"/>
    <xf numFmtId="0" fontId="4" fillId="16" borderId="54" xfId="0" applyFont="1" applyFill="1" applyBorder="1" applyAlignment="1">
      <alignment horizontal="left" vertical="center" wrapText="1"/>
    </xf>
    <xf numFmtId="0" fontId="8" fillId="0" borderId="55" xfId="0" applyFont="1" applyBorder="1"/>
    <xf numFmtId="0" fontId="8" fillId="0" borderId="40" xfId="0" applyFont="1" applyBorder="1"/>
  </cellXfs>
  <cellStyles count="1">
    <cellStyle name="Normal" xfId="0" builtinId="0"/>
  </cellStyles>
  <dxfs count="110">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color rgb="FFC53929"/>
      </font>
      <fill>
        <patternFill patternType="none"/>
      </fill>
    </dxf>
    <dxf>
      <font>
        <color rgb="FF0B8043"/>
      </font>
      <fill>
        <patternFill patternType="none"/>
      </fill>
    </dxf>
    <dxf>
      <font>
        <color rgb="FFFF0000"/>
      </font>
      <fill>
        <patternFill patternType="solid">
          <fgColor rgb="FFFFFFFF"/>
          <bgColor rgb="FFFFFFFF"/>
        </patternFill>
      </fill>
    </dxf>
    <dxf>
      <font>
        <color rgb="FF0B8043"/>
      </font>
      <fill>
        <patternFill patternType="solid">
          <fgColor rgb="FFFFFFFF"/>
          <bgColor rgb="FFFFFFFF"/>
        </patternFill>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9"/>
      <tableStyleElement type="secondRowStripe" dxfId="108"/>
    </tableStyle>
    <tableStyle name="ETFs-style 2" pivot="0" count="2" xr9:uid="{00000000-0011-0000-FFFF-FFFF01000000}">
      <tableStyleElement type="firstRowStripe" dxfId="107"/>
      <tableStyleElement type="secondRowStripe" dxfId="106"/>
    </tableStyle>
    <tableStyle name="ETFs-style 3" pivot="0" count="2" xr9:uid="{00000000-0011-0000-FFFF-FFFF02000000}">
      <tableStyleElement type="firstRowStripe" dxfId="105"/>
      <tableStyleElement type="secondRowStripe" dxfId="104"/>
    </tableStyle>
    <tableStyle name="ETFs-style 4" pivot="0" count="3" xr9:uid="{00000000-0011-0000-FFFF-FFFF03000000}">
      <tableStyleElement type="headerRow" dxfId="103"/>
      <tableStyleElement type="firstRowStripe" dxfId="102"/>
      <tableStyleElement type="secondRowStripe" dxfId="101"/>
    </tableStyle>
    <tableStyle name="ETFs-style 5" pivot="0" count="2" xr9:uid="{00000000-0011-0000-FFFF-FFFF04000000}">
      <tableStyleElement type="firstRowStripe" dxfId="100"/>
      <tableStyleElement type="secondRowStripe" dxfId="99"/>
    </tableStyle>
    <tableStyle name="ETFs-style 6" pivot="0" count="2" xr9:uid="{00000000-0011-0000-FFFF-FFFF05000000}">
      <tableStyleElement type="firstRowStripe" dxfId="98"/>
      <tableStyleElement type="secondRowStripe" dxfId="97"/>
    </tableStyle>
    <tableStyle name="ETFs-style 7" pivot="0" count="2" xr9:uid="{00000000-0011-0000-FFFF-FFFF06000000}">
      <tableStyleElement type="firstRowStripe" dxfId="96"/>
      <tableStyleElement type="secondRowStripe" dxfId="95"/>
    </tableStyle>
    <tableStyle name="ETFs-style 8" pivot="0" count="2" xr9:uid="{00000000-0011-0000-FFFF-FFFF07000000}">
      <tableStyleElement type="firstRowStripe" dxfId="94"/>
      <tableStyleElement type="secondRowStripe" dxfId="93"/>
    </tableStyle>
    <tableStyle name="ETFs-style 9" pivot="0" count="2" xr9:uid="{00000000-0011-0000-FFFF-FFFF08000000}">
      <tableStyleElement type="firstRowStripe" dxfId="92"/>
      <tableStyleElement type="secondRowStripe" dxfId="91"/>
    </tableStyle>
    <tableStyle name="ETFs-style 10" pivot="0" count="2" xr9:uid="{00000000-0011-0000-FFFF-FFFF09000000}">
      <tableStyleElement type="firstRowStripe" dxfId="90"/>
      <tableStyleElement type="secondRowStripe" dxfId="89"/>
    </tableStyle>
    <tableStyle name="ETFs-style 11" pivot="0" count="2" xr9:uid="{00000000-0011-0000-FFFF-FFFF0A000000}">
      <tableStyleElement type="firstRowStripe" dxfId="88"/>
      <tableStyleElement type="secondRowStripe" dxfId="87"/>
    </tableStyle>
    <tableStyle name="ETFs-style 12" pivot="0" count="2" xr9:uid="{00000000-0011-0000-FFFF-FFFF0B000000}">
      <tableStyleElement type="firstRowStripe" dxfId="86"/>
      <tableStyleElement type="secondRowStripe" dxfId="85"/>
    </tableStyle>
    <tableStyle name="ETF resumido-style" pivot="0" count="2" xr9:uid="{00000000-0011-0000-FFFF-FFFF0C000000}">
      <tableStyleElement type="firstRowStripe" dxfId="84"/>
      <tableStyleElement type="secondRowStripe" dxfId="83"/>
    </tableStyle>
    <tableStyle name="ETF resumido-style 2" pivot="0" count="2" xr9:uid="{00000000-0011-0000-FFFF-FFFF0D000000}">
      <tableStyleElement type="firstRowStripe" dxfId="82"/>
      <tableStyleElement type="secondRowStripe" dxfId="81"/>
    </tableStyle>
    <tableStyle name="ETF resumido-style 3" pivot="0" count="2" xr9:uid="{00000000-0011-0000-FFFF-FFFF0E000000}">
      <tableStyleElement type="firstRowStripe" dxfId="80"/>
      <tableStyleElement type="secondRowStripe" dxfId="79"/>
    </tableStyle>
    <tableStyle name="ETF resumido-style 4" pivot="0" count="3" xr9:uid="{00000000-0011-0000-FFFF-FFFF0F000000}">
      <tableStyleElement type="headerRow" dxfId="78"/>
      <tableStyleElement type="firstRowStripe" dxfId="77"/>
      <tableStyleElement type="secondRowStripe" dxfId="76"/>
    </tableStyle>
    <tableStyle name="ETF resumido-style 5" pivot="0" count="2" xr9:uid="{00000000-0011-0000-FFFF-FFFF10000000}">
      <tableStyleElement type="firstRowStripe" dxfId="75"/>
      <tableStyleElement type="secondRowStripe" dxfId="74"/>
    </tableStyle>
    <tableStyle name="ETF resumido-style 6" pivot="0" count="2" xr9:uid="{00000000-0011-0000-FFFF-FFFF11000000}">
      <tableStyleElement type="firstRowStripe" dxfId="73"/>
      <tableStyleElement type="secondRowStripe" dxfId="72"/>
    </tableStyle>
    <tableStyle name="ETF resumido-style 7" pivot="0" count="2" xr9:uid="{00000000-0011-0000-FFFF-FFFF12000000}">
      <tableStyleElement type="firstRowStripe" dxfId="71"/>
      <tableStyleElement type="secondRowStripe" dxfId="70"/>
    </tableStyle>
    <tableStyle name="ETF resumido-style 8" pivot="0" count="2" xr9:uid="{00000000-0011-0000-FFFF-FFFF13000000}">
      <tableStyleElement type="firstRowStripe" dxfId="69"/>
      <tableStyleElement type="secondRowStripe" dxfId="68"/>
    </tableStyle>
    <tableStyle name="Portafolio Discrecional-style" pivot="0" count="2" xr9:uid="{00000000-0011-0000-FFFF-FFFF14000000}">
      <tableStyleElement type="firstRowStripe" dxfId="67"/>
      <tableStyleElement type="secondRowStripe"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2.3148148148148147E-3"/>
          <c:y val="0.2937497812773403"/>
          <c:w val="0.68287037037037035"/>
          <c:h val="0.67546340040828234"/>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5218-4B6A-AB03-3EEC01828A5C}"/>
              </c:ext>
            </c:extLst>
          </c:dPt>
          <c:dPt>
            <c:idx val="1"/>
            <c:bubble3D val="0"/>
            <c:spPr>
              <a:solidFill>
                <a:srgbClr val="9FC5E8"/>
              </a:solidFill>
            </c:spPr>
            <c:extLst>
              <c:ext xmlns:c16="http://schemas.microsoft.com/office/drawing/2014/chart" uri="{C3380CC4-5D6E-409C-BE32-E72D297353CC}">
                <c16:uniqueId val="{00000003-5218-4B6A-AB03-3EEC01828A5C}"/>
              </c:ext>
            </c:extLst>
          </c:dPt>
          <c:dPt>
            <c:idx val="2"/>
            <c:bubble3D val="0"/>
            <c:spPr>
              <a:solidFill>
                <a:srgbClr val="F1C232"/>
              </a:solidFill>
            </c:spPr>
            <c:extLst>
              <c:ext xmlns:c16="http://schemas.microsoft.com/office/drawing/2014/chart" uri="{C3380CC4-5D6E-409C-BE32-E72D297353CC}">
                <c16:uniqueId val="{00000005-5218-4B6A-AB03-3EEC01828A5C}"/>
              </c:ext>
            </c:extLst>
          </c:dPt>
          <c:dPt>
            <c:idx val="3"/>
            <c:bubble3D val="0"/>
            <c:spPr>
              <a:solidFill>
                <a:srgbClr val="57BB8A"/>
              </a:solidFill>
            </c:spPr>
            <c:extLst>
              <c:ext xmlns:c16="http://schemas.microsoft.com/office/drawing/2014/chart" uri="{C3380CC4-5D6E-409C-BE32-E72D297353CC}">
                <c16:uniqueId val="{00000007-5218-4B6A-AB03-3EEC01828A5C}"/>
              </c:ext>
            </c:extLst>
          </c:dPt>
          <c:dPt>
            <c:idx val="4"/>
            <c:bubble3D val="0"/>
            <c:spPr>
              <a:solidFill>
                <a:srgbClr val="BDBDBD"/>
              </a:solidFill>
            </c:spPr>
            <c:extLst>
              <c:ext xmlns:c16="http://schemas.microsoft.com/office/drawing/2014/chart" uri="{C3380CC4-5D6E-409C-BE32-E72D297353CC}">
                <c16:uniqueId val="{00000009-5218-4B6A-AB03-3EEC01828A5C}"/>
              </c:ext>
            </c:extLst>
          </c:dPt>
          <c:dLbls>
            <c:dLbl>
              <c:idx val="0"/>
              <c:layout>
                <c:manualLayout>
                  <c:x val="-4.1142096821230677E-2"/>
                  <c:y val="0.11381160688247302"/>
                </c:manualLayout>
              </c:layout>
              <c:spPr/>
              <c:txPr>
                <a:bodyPr/>
                <a:lstStyle/>
                <a:p>
                  <a:pPr lvl="0">
                    <a:defRPr sz="1000"/>
                  </a:pPr>
                  <a:endParaRPr lang="es-UY"/>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18-4B6A-AB03-3EEC01828A5C}"/>
                </c:ext>
              </c:extLst>
            </c:dLbl>
            <c:dLbl>
              <c:idx val="1"/>
              <c:spPr/>
              <c:txPr>
                <a:bodyPr/>
                <a:lstStyle/>
                <a:p>
                  <a:pPr lvl="0">
                    <a:defRPr sz="10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5218-4B6A-AB03-3EEC01828A5C}"/>
                </c:ext>
              </c:extLst>
            </c:dLbl>
            <c:dLbl>
              <c:idx val="2"/>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5-5218-4B6A-AB03-3EEC01828A5C}"/>
                </c:ext>
              </c:extLst>
            </c:dLbl>
            <c:dLbl>
              <c:idx val="3"/>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7-5218-4B6A-AB03-3EEC01828A5C}"/>
                </c:ext>
              </c:extLst>
            </c:dLbl>
            <c:dLbl>
              <c:idx val="4"/>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9-5218-4B6A-AB03-3EEC01828A5C}"/>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Discrecional'!$X$53:$X$57</c:f>
              <c:strCache>
                <c:ptCount val="5"/>
                <c:pt idx="0">
                  <c:v>Alta calidad</c:v>
                </c:pt>
                <c:pt idx="1">
                  <c:v>Líder global</c:v>
                </c:pt>
                <c:pt idx="2">
                  <c:v>Atractivas Mediano plazo</c:v>
                </c:pt>
                <c:pt idx="3">
                  <c:v>Oportunidades corto plazo</c:v>
                </c:pt>
                <c:pt idx="4">
                  <c:v>Cash</c:v>
                </c:pt>
              </c:strCache>
            </c:strRef>
          </c:cat>
          <c:val>
            <c:numRef>
              <c:f>'Portafolio Discrecional'!$Y$53:$Y$57</c:f>
              <c:numCache>
                <c:formatCode>0.0%</c:formatCode>
                <c:ptCount val="5"/>
                <c:pt idx="0">
                  <c:v>0.12679523622548799</c:v>
                </c:pt>
                <c:pt idx="1">
                  <c:v>0.18674486113434188</c:v>
                </c:pt>
                <c:pt idx="2">
                  <c:v>0.1766397559454578</c:v>
                </c:pt>
                <c:pt idx="3">
                  <c:v>0.50816002048775566</c:v>
                </c:pt>
                <c:pt idx="4">
                  <c:v>1.660126206956686E-3</c:v>
                </c:pt>
              </c:numCache>
            </c:numRef>
          </c:val>
          <c:extLst>
            <c:ext xmlns:c16="http://schemas.microsoft.com/office/drawing/2014/chart" uri="{C3380CC4-5D6E-409C-BE32-E72D297353CC}">
              <c16:uniqueId val="{0000000A-5218-4B6A-AB03-3EEC01828A5C}"/>
            </c:ext>
          </c:extLst>
        </c:ser>
        <c:dLbls>
          <c:showLegendKey val="0"/>
          <c:showVal val="0"/>
          <c:showCatName val="0"/>
          <c:showSerName val="0"/>
          <c:showPercent val="0"/>
          <c:showBubbleSize val="0"/>
          <c:showLeaderLines val="1"/>
        </c:dLbls>
      </c:pie3DChart>
    </c:plotArea>
    <c:legend>
      <c:legendPos val="r"/>
      <c:layout>
        <c:manualLayout>
          <c:xMode val="edge"/>
          <c:yMode val="edge"/>
          <c:x val="0.64311351706036746"/>
          <c:y val="0.28910119568387282"/>
          <c:w val="0.3337383347914844"/>
          <c:h val="0.70698221055701371"/>
        </c:manualLayout>
      </c:layout>
      <c:overlay val="1"/>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(19-ene-2024)</a:t>
            </a:r>
          </a:p>
        </c:rich>
      </c:tx>
      <c:overlay val="0"/>
    </c:title>
    <c:autoTitleDeleted val="0"/>
    <c:plotArea>
      <c:layout>
        <c:manualLayout>
          <c:layoutTarget val="inner"/>
          <c:xMode val="edge"/>
          <c:yMode val="edge"/>
          <c:x val="0.11794311888119817"/>
          <c:y val="0.14634146341463414"/>
          <c:w val="0.8503794153160662"/>
          <c:h val="0.55969747683978532"/>
        </c:manualLayout>
      </c:layout>
      <c:barChart>
        <c:barDir val="col"/>
        <c:grouping val="clustered"/>
        <c:varyColors val="1"/>
        <c:ser>
          <c:idx val="0"/>
          <c:order val="0"/>
          <c:tx>
            <c:strRef>
              <c:f>'Portafolio Discrecional'!$C$46</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Discrecional'!$D$45:$P$45</c:f>
              <c:strCache>
                <c:ptCount val="13"/>
                <c:pt idx="0">
                  <c:v>Hoy</c:v>
                </c:pt>
                <c:pt idx="1">
                  <c:v>Semanal</c:v>
                </c:pt>
                <c:pt idx="2">
                  <c:v>Ene24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Discrecional'!$D$46:$P$46</c:f>
              <c:numCache>
                <c:formatCode>0.0%</c:formatCode>
                <c:ptCount val="13"/>
                <c:pt idx="0">
                  <c:v>1.0954933024211744E-2</c:v>
                </c:pt>
                <c:pt idx="1">
                  <c:v>7.926878444518691E-3</c:v>
                </c:pt>
                <c:pt idx="2">
                  <c:v>1.5926878444518691E-2</c:v>
                </c:pt>
                <c:pt idx="3">
                  <c:v>9.0510743854771425E-2</c:v>
                </c:pt>
                <c:pt idx="4">
                  <c:v>8.8443916290115165E-2</c:v>
                </c:pt>
                <c:pt idx="5">
                  <c:v>0.13203810276114636</c:v>
                </c:pt>
                <c:pt idx="6">
                  <c:v>1.5926878444518691E-2</c:v>
                </c:pt>
                <c:pt idx="7">
                  <c:v>0.13100000000000001</c:v>
                </c:pt>
                <c:pt idx="8">
                  <c:v>-0.126</c:v>
                </c:pt>
                <c:pt idx="9">
                  <c:v>0.104</c:v>
                </c:pt>
                <c:pt idx="10">
                  <c:v>0.77100000000000002</c:v>
                </c:pt>
                <c:pt idx="11">
                  <c:v>0.96346933421489722</c:v>
                </c:pt>
                <c:pt idx="12">
                  <c:v>0.18077883299873077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2C2-4F3A-B03B-BAD0CC880B58}"/>
            </c:ext>
          </c:extLst>
        </c:ser>
        <c:ser>
          <c:idx val="1"/>
          <c:order val="1"/>
          <c:tx>
            <c:strRef>
              <c:f>'Portafolio Discrecional'!$C$47</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Discrecional'!$D$45:$P$45</c:f>
              <c:strCache>
                <c:ptCount val="13"/>
                <c:pt idx="0">
                  <c:v>Hoy</c:v>
                </c:pt>
                <c:pt idx="1">
                  <c:v>Semanal</c:v>
                </c:pt>
                <c:pt idx="2">
                  <c:v>Ene24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Discrecional'!$D$47:$P$47</c:f>
              <c:numCache>
                <c:formatCode>0.0%</c:formatCode>
                <c:ptCount val="13"/>
                <c:pt idx="0">
                  <c:v>1.2500000000000001E-2</c:v>
                </c:pt>
                <c:pt idx="1">
                  <c:v>1.2062599647562289E-2</c:v>
                </c:pt>
                <c:pt idx="2">
                  <c:v>1.497969746060468E-2</c:v>
                </c:pt>
                <c:pt idx="3">
                  <c:v>0.14738619607096992</c:v>
                </c:pt>
                <c:pt idx="4">
                  <c:v>6.2153236459709493E-2</c:v>
                </c:pt>
                <c:pt idx="5">
                  <c:v>0.1919209388511427</c:v>
                </c:pt>
                <c:pt idx="6">
                  <c:v>1.497969746060468E-2</c:v>
                </c:pt>
                <c:pt idx="7">
                  <c:v>0.24299999999999999</c:v>
                </c:pt>
                <c:pt idx="8">
                  <c:v>-0.19500000000000001</c:v>
                </c:pt>
                <c:pt idx="9">
                  <c:v>0.27</c:v>
                </c:pt>
                <c:pt idx="10">
                  <c:v>0.16200000000000001</c:v>
                </c:pt>
                <c:pt idx="11">
                  <c:v>0.49876731410583153</c:v>
                </c:pt>
                <c:pt idx="12">
                  <c:v>0.10479415599726827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22C2-4F3A-B03B-BAD0CC880B58}"/>
            </c:ext>
          </c:extLst>
        </c:ser>
        <c:dLbls>
          <c:showLegendKey val="0"/>
          <c:showVal val="0"/>
          <c:showCatName val="0"/>
          <c:showSerName val="0"/>
          <c:showPercent val="0"/>
          <c:showBubbleSize val="0"/>
        </c:dLbls>
        <c:gapWidth val="150"/>
        <c:axId val="877637590"/>
        <c:axId val="1048855958"/>
      </c:barChart>
      <c:catAx>
        <c:axId val="877637590"/>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048855958"/>
        <c:crosses val="autoZero"/>
        <c:auto val="1"/>
        <c:lblAlgn val="ctr"/>
        <c:lblOffset val="100"/>
        <c:noMultiLvlLbl val="1"/>
      </c:catAx>
      <c:valAx>
        <c:axId val="104885595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877637590"/>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21</xdr:col>
      <xdr:colOff>190500</xdr:colOff>
      <xdr:row>43</xdr:row>
      <xdr:rowOff>38100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796290</xdr:colOff>
      <xdr:row>49</xdr:row>
      <xdr:rowOff>85725</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53"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86"/>
  <sheetViews>
    <sheetView tabSelected="1" workbookViewId="0">
      <pane xSplit="2" ySplit="2" topLeftCell="C41" activePane="bottomRight" state="frozen"/>
      <selection pane="topRight" activeCell="C1" sqref="C1"/>
      <selection pane="bottomLeft" activeCell="A3" sqref="A3"/>
      <selection pane="bottomRight" activeCell="H47" sqref="H47"/>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3" customWidth="1"/>
    <col min="6" max="6" width="10.21875" customWidth="1"/>
    <col min="7" max="7" width="10.6640625" customWidth="1"/>
    <col min="8" max="8" width="9.44140625" customWidth="1"/>
    <col min="9" max="9" width="7" customWidth="1"/>
    <col min="10" max="12" width="7.88671875" customWidth="1"/>
    <col min="13" max="13" width="8.5546875" bestFit="1"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5.77734375" customWidth="1"/>
    <col min="29" max="29" width="8.33203125" customWidth="1"/>
    <col min="30" max="30" width="9.44140625" customWidth="1"/>
    <col min="31" max="31" width="12.441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5"/>
      <c r="B1" s="25"/>
      <c r="C1" s="460" t="s">
        <v>24</v>
      </c>
      <c r="D1" s="461"/>
      <c r="E1" s="461"/>
      <c r="F1" s="461"/>
      <c r="G1" s="461"/>
      <c r="H1" s="461"/>
      <c r="I1" s="462"/>
      <c r="J1" s="463" t="s">
        <v>25</v>
      </c>
      <c r="K1" s="461"/>
      <c r="L1" s="461"/>
      <c r="M1" s="461"/>
      <c r="N1" s="461"/>
      <c r="O1" s="461"/>
      <c r="P1" s="461"/>
      <c r="Q1" s="461"/>
      <c r="R1" s="461"/>
      <c r="S1" s="461"/>
      <c r="T1" s="461"/>
      <c r="U1" s="462"/>
      <c r="V1" s="460" t="s">
        <v>26</v>
      </c>
      <c r="W1" s="461"/>
      <c r="X1" s="461"/>
      <c r="Y1" s="461"/>
      <c r="Z1" s="461"/>
      <c r="AA1" s="462"/>
      <c r="AB1" s="464" t="s">
        <v>27</v>
      </c>
      <c r="AC1" s="465"/>
      <c r="AD1" s="466"/>
      <c r="AE1" s="30" t="s">
        <v>28</v>
      </c>
      <c r="AF1" s="29"/>
      <c r="AG1" s="29"/>
      <c r="AH1" s="31"/>
      <c r="AI1" s="31"/>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row>
    <row r="2" spans="1:79" ht="48">
      <c r="A2" s="32"/>
      <c r="B2" s="33" t="s">
        <v>0</v>
      </c>
      <c r="C2" s="34" t="s">
        <v>1</v>
      </c>
      <c r="D2" s="33" t="s">
        <v>29</v>
      </c>
      <c r="E2" s="33" t="s">
        <v>2</v>
      </c>
      <c r="F2" s="33" t="s">
        <v>30</v>
      </c>
      <c r="G2" s="33" t="s">
        <v>31</v>
      </c>
      <c r="H2" s="33" t="s">
        <v>32</v>
      </c>
      <c r="I2" s="33" t="s">
        <v>33</v>
      </c>
      <c r="J2" s="35" t="s">
        <v>3</v>
      </c>
      <c r="K2" s="35" t="s">
        <v>34</v>
      </c>
      <c r="L2" s="35" t="s">
        <v>35</v>
      </c>
      <c r="M2" s="35" t="s">
        <v>36</v>
      </c>
      <c r="N2" s="35" t="s">
        <v>37</v>
      </c>
      <c r="O2" s="35" t="s">
        <v>38</v>
      </c>
      <c r="P2" s="35" t="s">
        <v>39</v>
      </c>
      <c r="Q2" s="35" t="s">
        <v>40</v>
      </c>
      <c r="R2" s="35" t="s">
        <v>41</v>
      </c>
      <c r="S2" s="36" t="s">
        <v>42</v>
      </c>
      <c r="T2" s="36" t="s">
        <v>43</v>
      </c>
      <c r="U2" s="36" t="s">
        <v>44</v>
      </c>
      <c r="V2" s="37" t="s">
        <v>4</v>
      </c>
      <c r="W2" s="33" t="s">
        <v>45</v>
      </c>
      <c r="X2" s="33" t="s">
        <v>46</v>
      </c>
      <c r="Y2" s="33" t="s">
        <v>47</v>
      </c>
      <c r="Z2" s="33" t="s">
        <v>48</v>
      </c>
      <c r="AA2" s="33" t="s">
        <v>49</v>
      </c>
      <c r="AB2" s="38" t="s">
        <v>50</v>
      </c>
      <c r="AC2" s="38" t="s">
        <v>51</v>
      </c>
      <c r="AD2" s="38" t="s">
        <v>52</v>
      </c>
      <c r="AE2" s="38" t="s">
        <v>53</v>
      </c>
      <c r="AF2" s="38" t="s">
        <v>54</v>
      </c>
      <c r="AG2" s="38" t="s">
        <v>55</v>
      </c>
      <c r="AH2" s="39" t="s">
        <v>56</v>
      </c>
      <c r="AI2" s="39" t="s">
        <v>57</v>
      </c>
      <c r="AJ2" s="40"/>
      <c r="AK2" s="40"/>
      <c r="AL2" s="40"/>
      <c r="AM2" s="40"/>
      <c r="AN2" s="40"/>
      <c r="AO2" s="40"/>
      <c r="AP2" s="40"/>
      <c r="AQ2" s="40"/>
      <c r="AR2" s="40"/>
      <c r="AS2" s="40"/>
      <c r="AT2" s="40"/>
      <c r="AU2" s="40"/>
      <c r="AV2" s="40"/>
      <c r="AW2" s="40"/>
      <c r="AX2" s="40"/>
      <c r="AY2" s="40"/>
      <c r="AZ2" s="5" t="s">
        <v>58</v>
      </c>
      <c r="BA2" s="27" t="s">
        <v>59</v>
      </c>
      <c r="BC2" s="5" t="s">
        <v>60</v>
      </c>
      <c r="BD2" s="32"/>
      <c r="BE2" s="32"/>
      <c r="BF2" s="32"/>
      <c r="BG2" s="32"/>
      <c r="BH2" s="32"/>
      <c r="BI2" s="32"/>
      <c r="BJ2" s="32"/>
      <c r="BK2" s="32"/>
      <c r="BL2" s="32"/>
      <c r="BM2" s="32"/>
      <c r="BN2" s="32"/>
      <c r="BO2" s="32"/>
      <c r="BP2" s="32"/>
      <c r="BQ2" s="32"/>
      <c r="BR2" s="32"/>
    </row>
    <row r="3" spans="1:79" ht="28.8">
      <c r="A3" s="41">
        <v>1</v>
      </c>
      <c r="B3" s="1" t="s">
        <v>61</v>
      </c>
      <c r="C3" s="42" t="str">
        <f ca="1">IFERROR(__xludf.DUMMYFUNCTION("GoogleFinance(B3,""name"")"),"Procter &amp; Gamble Co")</f>
        <v>Procter &amp; Gamble Co</v>
      </c>
      <c r="D3" s="43">
        <f ca="1">IFERROR(__xludf.DUMMYFUNCTION("GoogleFinance(B3,""marketcap"")/1000000"),347805.684282)</f>
        <v>347805.684282</v>
      </c>
      <c r="E3" s="44" t="s">
        <v>16</v>
      </c>
      <c r="F3" s="44" t="s">
        <v>62</v>
      </c>
      <c r="G3" s="45">
        <v>45184</v>
      </c>
      <c r="H3" s="2">
        <v>0.04</v>
      </c>
      <c r="I3" s="9">
        <f ca="1">N3/$M$42</f>
        <v>4.2172413979833137E-2</v>
      </c>
      <c r="J3" s="46">
        <f ca="1">IFERROR(__xludf.DUMMYFUNCTION("GOOGLEFINANCE(B3)"),147.57)</f>
        <v>147.57</v>
      </c>
      <c r="K3" s="47">
        <v>154.91</v>
      </c>
      <c r="L3" s="48">
        <f>4800/K3</f>
        <v>30.985733651797819</v>
      </c>
      <c r="M3" s="49">
        <f>L3*K3</f>
        <v>4800</v>
      </c>
      <c r="N3" s="50">
        <f ca="1">J3*L3</f>
        <v>4572.564714995804</v>
      </c>
      <c r="O3" s="50">
        <f ca="1">N3-M3</f>
        <v>-227.43528500419598</v>
      </c>
      <c r="P3" s="51">
        <f ca="1">J3/K3-1</f>
        <v>-4.7382351042540849E-2</v>
      </c>
      <c r="Q3" s="52">
        <f ca="1">TODAY()-G3</f>
        <v>128</v>
      </c>
      <c r="R3" s="53">
        <v>140</v>
      </c>
      <c r="S3" s="51">
        <f t="shared" ref="S3:S7" ca="1" si="0">R3/J3-1</f>
        <v>-5.1297689232228771E-2</v>
      </c>
      <c r="T3" s="44">
        <v>175</v>
      </c>
      <c r="U3" s="51">
        <f ca="1">T3/J3-1</f>
        <v>0.18587788845971409</v>
      </c>
      <c r="V3" s="8">
        <f ca="1">IFERROR(__xludf.DUMMYFUNCTION("GoogleFinance(B3,""changepct"")/100"),-0.0038)</f>
        <v>-3.8E-3</v>
      </c>
      <c r="W3" s="51">
        <f ca="1">J3/AN4-1</f>
        <v>-2.0119521912350558E-2</v>
      </c>
      <c r="X3" s="51">
        <f ca="1">J3/AP4-1</f>
        <v>7.0287975979255179E-3</v>
      </c>
      <c r="Y3" s="51" t="e">
        <f ca="1">J3/AR4-1</f>
        <v>#DIV/0!</v>
      </c>
      <c r="Z3" s="51" t="e">
        <f ca="1">J3/AT4-1</f>
        <v>#DIV/0!</v>
      </c>
      <c r="AA3" s="51">
        <f ca="1">J3/AV4-1</f>
        <v>7.0287975979255179E-3</v>
      </c>
      <c r="AB3" s="54" t="s">
        <v>63</v>
      </c>
      <c r="AC3" s="55" t="s">
        <v>63</v>
      </c>
      <c r="AD3" s="55" t="s">
        <v>63</v>
      </c>
      <c r="AE3" s="56" t="s">
        <v>64</v>
      </c>
      <c r="AF3" s="56" t="s">
        <v>65</v>
      </c>
      <c r="AG3" s="56" t="s">
        <v>66</v>
      </c>
      <c r="AH3" s="57" t="s">
        <v>67</v>
      </c>
      <c r="AI3" s="57" t="s">
        <v>68</v>
      </c>
      <c r="AJ3" s="2"/>
      <c r="AK3" s="2"/>
      <c r="AL3" s="2"/>
      <c r="AM3" s="2" t="str">
        <f ca="1">IFERROR(__xludf.DUMMYFUNCTION("GoogleFinance(B3,""price"",DATE(2024,1,12))"),"Date")</f>
        <v>Date</v>
      </c>
      <c r="AN3" s="25" t="str">
        <f ca="1">IFERROR(__xludf.DUMMYFUNCTION("""COMPUTED_VALUE"""),"Close")</f>
        <v>Close</v>
      </c>
      <c r="AO3" s="2" t="str">
        <f ca="1">IFERROR(__xludf.DUMMYFUNCTION("GoogleFinance(B3,""price"",DATE(2023,12,29))"),"Date")</f>
        <v>Date</v>
      </c>
      <c r="AP3" s="25" t="str">
        <f ca="1">IFERROR(__xludf.DUMMYFUNCTION("""COMPUTED_VALUE"""),"Close")</f>
        <v>Close</v>
      </c>
      <c r="AQ3" s="2" t="str">
        <f ca="1">IFERROR(__xludf.DUMMYFUNCTION("GoogleFinance(B3,""price"",today()-91)"),"#N/A")</f>
        <v>#N/A</v>
      </c>
      <c r="AR3" s="25"/>
      <c r="AS3" s="2" t="str">
        <f ca="1">IFERROR(__xludf.DUMMYFUNCTION("GoogleFinance(B3,""price"",today()-182)"),"#N/A")</f>
        <v>#N/A</v>
      </c>
      <c r="AT3" s="25"/>
      <c r="AU3" s="2" t="str">
        <f ca="1">IFERROR(__xludf.DUMMYFUNCTION("GoogleFinance(B3,""price"",DATE(2023,12,29))"),"Date")</f>
        <v>Date</v>
      </c>
      <c r="AV3" s="25" t="str">
        <f ca="1">IFERROR(__xludf.DUMMYFUNCTION("""COMPUTED_VALUE"""),"Close")</f>
        <v>Close</v>
      </c>
      <c r="AW3" s="5"/>
      <c r="AX3" s="5"/>
      <c r="AY3" s="5"/>
      <c r="AZ3" s="5"/>
      <c r="BC3" s="5"/>
      <c r="BI3" s="5"/>
      <c r="BJ3" s="5"/>
      <c r="BK3" s="5"/>
      <c r="BL3" s="5"/>
      <c r="BM3" s="5"/>
      <c r="BN3" s="5"/>
      <c r="BO3" s="5"/>
      <c r="BP3" s="5"/>
      <c r="BQ3" s="5"/>
      <c r="BR3" s="5"/>
    </row>
    <row r="4" spans="1:79" ht="13.2" hidden="1">
      <c r="A4" s="41" t="e">
        <f>#REF!+1</f>
        <v>#REF!</v>
      </c>
      <c r="B4" s="1"/>
      <c r="C4" s="42"/>
      <c r="D4" s="43"/>
      <c r="E4" s="44"/>
      <c r="F4" s="44"/>
      <c r="G4" s="58"/>
      <c r="H4" s="2"/>
      <c r="I4" s="59"/>
      <c r="J4" s="46"/>
      <c r="K4" s="47"/>
      <c r="L4" s="44"/>
      <c r="M4" s="44"/>
      <c r="N4" s="60"/>
      <c r="O4" s="61"/>
      <c r="P4" s="61"/>
      <c r="Q4" s="62"/>
      <c r="R4" s="63"/>
      <c r="S4" s="51" t="e">
        <f t="shared" si="0"/>
        <v>#DIV/0!</v>
      </c>
      <c r="T4" s="51"/>
      <c r="U4" s="51"/>
      <c r="V4" s="8" t="str">
        <f ca="1">IFERROR(__xludf.DUMMYFUNCTION("GoogleFinance(B4,""changepct"")/100"),"#N/A")</f>
        <v>#N/A</v>
      </c>
      <c r="W4" s="51" t="e">
        <f>J4/#REF!-1</f>
        <v>#REF!</v>
      </c>
      <c r="X4" s="51" t="e">
        <f>J4/#REF!-1</f>
        <v>#REF!</v>
      </c>
      <c r="Y4" s="51" t="e">
        <f>J4/#REF!-1</f>
        <v>#REF!</v>
      </c>
      <c r="Z4" s="51" t="e">
        <f>J4/#REF!-1</f>
        <v>#REF!</v>
      </c>
      <c r="AA4" s="51" t="e">
        <f>J4/#REF!-1</f>
        <v>#REF!</v>
      </c>
      <c r="AB4" s="12"/>
      <c r="AC4" s="3"/>
      <c r="AD4" s="3"/>
      <c r="AE4" s="3"/>
      <c r="AF4" s="3"/>
      <c r="AG4" s="3"/>
      <c r="AH4" s="3"/>
      <c r="AI4" s="64"/>
      <c r="AJ4" s="2"/>
      <c r="AK4" s="2"/>
      <c r="AL4" s="2"/>
      <c r="AM4" s="45">
        <f ca="1">IFERROR(__xludf.DUMMYFUNCTION("""COMPUTED_VALUE"""),45303.6666666666)</f>
        <v>45303.666666666599</v>
      </c>
      <c r="AN4" s="25">
        <f ca="1">IFERROR(__xludf.DUMMYFUNCTION("""COMPUTED_VALUE"""),150.6)</f>
        <v>150.6</v>
      </c>
      <c r="AO4" s="45">
        <f ca="1">IFERROR(__xludf.DUMMYFUNCTION("""COMPUTED_VALUE"""),45289.6666666666)</f>
        <v>45289.666666666599</v>
      </c>
      <c r="AP4" s="25">
        <f ca="1">IFERROR(__xludf.DUMMYFUNCTION("""COMPUTED_VALUE"""),146.54)</f>
        <v>146.54</v>
      </c>
      <c r="AQ4" s="45"/>
      <c r="AR4" s="25"/>
      <c r="AS4" s="45"/>
      <c r="AT4" s="25"/>
      <c r="AU4" s="45">
        <f ca="1">IFERROR(__xludf.DUMMYFUNCTION("""COMPUTED_VALUE"""),45289.6666666666)</f>
        <v>45289.666666666599</v>
      </c>
      <c r="AV4" s="25">
        <f ca="1">IFERROR(__xludf.DUMMYFUNCTION("""COMPUTED_VALUE"""),146.54)</f>
        <v>146.54</v>
      </c>
      <c r="AW4" s="5"/>
      <c r="AX4" s="5"/>
      <c r="AY4" s="65" t="s">
        <v>69</v>
      </c>
      <c r="AZ4" s="63">
        <v>4.65E-2</v>
      </c>
      <c r="BA4" s="63">
        <v>-1.0200000000000001E-2</v>
      </c>
      <c r="BI4" s="5"/>
      <c r="BJ4" s="5"/>
      <c r="BK4" s="5"/>
      <c r="BL4" s="5"/>
      <c r="BM4" s="5"/>
      <c r="BN4" s="5"/>
      <c r="BO4" s="5"/>
      <c r="BP4" s="5"/>
      <c r="BQ4" s="5"/>
      <c r="BR4" s="5"/>
    </row>
    <row r="5" spans="1:79" ht="48">
      <c r="A5" s="66">
        <v>1</v>
      </c>
      <c r="B5" s="24" t="s">
        <v>70</v>
      </c>
      <c r="C5" s="67" t="str">
        <f ca="1">IFERROR(__xludf.DUMMYFUNCTION("GoogleFinance(B5,""name"")"),"UnitedHealth Group Inc")</f>
        <v>UnitedHealth Group Inc</v>
      </c>
      <c r="D5" s="68">
        <f ca="1">IFERROR(__xludf.DUMMYFUNCTION("GoogleFinance(B5,""marketcap"")/1000000"),465755.381809)</f>
        <v>465755.38180899998</v>
      </c>
      <c r="E5" s="69" t="s">
        <v>15</v>
      </c>
      <c r="F5" s="69" t="s">
        <v>71</v>
      </c>
      <c r="G5" s="70">
        <v>45309</v>
      </c>
      <c r="H5" s="71">
        <v>0.04</v>
      </c>
      <c r="I5" s="72">
        <f ca="1">N5/$M$42</f>
        <v>4.6442952931950492E-2</v>
      </c>
      <c r="J5" s="73">
        <f ca="1">IFERROR(__xludf.DUMMYFUNCTION("GOOGLEFINANCE(B5)"),503.56)</f>
        <v>503.56</v>
      </c>
      <c r="K5" s="74">
        <v>500</v>
      </c>
      <c r="L5" s="75">
        <f>5000/K5</f>
        <v>10</v>
      </c>
      <c r="M5" s="76">
        <f>L5*K5</f>
        <v>5000</v>
      </c>
      <c r="N5" s="77">
        <f ca="1">J5*L5</f>
        <v>5035.6000000000004</v>
      </c>
      <c r="O5" s="77">
        <f ca="1">N5-M5</f>
        <v>35.600000000000364</v>
      </c>
      <c r="P5" s="78">
        <f ca="1">J5/K5-1</f>
        <v>7.1200000000000152E-3</v>
      </c>
      <c r="Q5" s="79">
        <f ca="1">TODAY()-G5</f>
        <v>3</v>
      </c>
      <c r="R5" s="80">
        <v>471</v>
      </c>
      <c r="S5" s="78">
        <f t="shared" ca="1" si="0"/>
        <v>-6.4659623480816553E-2</v>
      </c>
      <c r="T5" s="69">
        <v>620</v>
      </c>
      <c r="U5" s="78">
        <f ca="1">T5/J5-1</f>
        <v>0.23123361664945596</v>
      </c>
      <c r="V5" s="81">
        <f ca="1">IFERROR(__xludf.DUMMYFUNCTION("GoogleFinance(B5,""changepct"")/100"),-0.0248)</f>
        <v>-2.4799999999999999E-2</v>
      </c>
      <c r="W5" s="78">
        <f ca="1">J5/AN6-1</f>
        <v>-3.4419282468217238E-2</v>
      </c>
      <c r="X5" s="78">
        <f ca="1">J5/AP6-1</f>
        <v>-4.3516249738826618E-2</v>
      </c>
      <c r="Y5" s="78" t="e">
        <f ca="1">J5/AR6-1</f>
        <v>#DIV/0!</v>
      </c>
      <c r="Z5" s="78" t="e">
        <f ca="1">J5/AT6-1</f>
        <v>#DIV/0!</v>
      </c>
      <c r="AA5" s="78">
        <f ca="1">J5/AV6-1</f>
        <v>-4.3516249738826618E-2</v>
      </c>
      <c r="AB5" s="82" t="s">
        <v>72</v>
      </c>
      <c r="AC5" s="83" t="s">
        <v>73</v>
      </c>
      <c r="AD5" s="83" t="s">
        <v>63</v>
      </c>
      <c r="AE5" s="84" t="s">
        <v>64</v>
      </c>
      <c r="AF5" s="84" t="s">
        <v>65</v>
      </c>
      <c r="AG5" s="84" t="s">
        <v>74</v>
      </c>
      <c r="AH5" s="85" t="s">
        <v>75</v>
      </c>
      <c r="AI5" s="85" t="s">
        <v>76</v>
      </c>
      <c r="AJ5" s="71"/>
      <c r="AK5" s="71"/>
      <c r="AL5" s="71"/>
      <c r="AM5" s="71" t="str">
        <f ca="1">IFERROR(__xludf.DUMMYFUNCTION("GoogleFinance(B5,""price"",DATE(2024,1,12))"),"Date")</f>
        <v>Date</v>
      </c>
      <c r="AN5" s="86" t="str">
        <f ca="1">IFERROR(__xludf.DUMMYFUNCTION("""COMPUTED_VALUE"""),"Close")</f>
        <v>Close</v>
      </c>
      <c r="AO5" s="71" t="str">
        <f ca="1">IFERROR(__xludf.DUMMYFUNCTION("GoogleFinance(B5,""price"",DATE(2023,12,29))"),"Date")</f>
        <v>Date</v>
      </c>
      <c r="AP5" s="86" t="str">
        <f ca="1">IFERROR(__xludf.DUMMYFUNCTION("""COMPUTED_VALUE"""),"Close")</f>
        <v>Close</v>
      </c>
      <c r="AQ5" s="71" t="str">
        <f ca="1">IFERROR(__xludf.DUMMYFUNCTION("GoogleFinance(B5,""price"",today()-91)"),"#N/A")</f>
        <v>#N/A</v>
      </c>
      <c r="AR5" s="86"/>
      <c r="AS5" s="71" t="str">
        <f ca="1">IFERROR(__xludf.DUMMYFUNCTION("GoogleFinance(B5,""price"",today()-182)"),"#N/A")</f>
        <v>#N/A</v>
      </c>
      <c r="AT5" s="86"/>
      <c r="AU5" s="71" t="str">
        <f ca="1">IFERROR(__xludf.DUMMYFUNCTION("GoogleFinance(B5,""price"",DATE(2023,12,29))"),"Date")</f>
        <v>Date</v>
      </c>
      <c r="AV5" s="86" t="str">
        <f ca="1">IFERROR(__xludf.DUMMYFUNCTION("""COMPUTED_VALUE"""),"Close")</f>
        <v>Close</v>
      </c>
      <c r="AW5" s="87"/>
      <c r="AX5" s="87"/>
      <c r="AY5" s="87"/>
      <c r="AZ5" s="87"/>
      <c r="BA5" s="88"/>
      <c r="BB5" s="88"/>
      <c r="BC5" s="87"/>
      <c r="BD5" s="88"/>
      <c r="BE5" s="88"/>
      <c r="BF5" s="88"/>
      <c r="BG5" s="88"/>
      <c r="BH5" s="88"/>
      <c r="BI5" s="87"/>
      <c r="BJ5" s="87"/>
      <c r="BK5" s="87"/>
      <c r="BL5" s="87"/>
      <c r="BM5" s="87"/>
      <c r="BN5" s="87"/>
      <c r="BO5" s="87"/>
      <c r="BP5" s="87"/>
      <c r="BQ5" s="87"/>
      <c r="BR5" s="87"/>
      <c r="BS5" s="88"/>
      <c r="BT5" s="88"/>
      <c r="BU5" s="88"/>
      <c r="BV5" s="88"/>
      <c r="BW5" s="88"/>
      <c r="BX5" s="88"/>
      <c r="BY5" s="88"/>
      <c r="BZ5" s="88"/>
      <c r="CA5" s="88"/>
    </row>
    <row r="6" spans="1:79" ht="13.2" hidden="1">
      <c r="A6" s="41" t="e">
        <f>#REF!+1</f>
        <v>#REF!</v>
      </c>
      <c r="B6" s="1"/>
      <c r="C6" s="42"/>
      <c r="D6" s="43"/>
      <c r="E6" s="44"/>
      <c r="F6" s="44"/>
      <c r="G6" s="58"/>
      <c r="H6" s="2"/>
      <c r="I6" s="59"/>
      <c r="J6" s="46"/>
      <c r="K6" s="47"/>
      <c r="L6" s="44"/>
      <c r="M6" s="44"/>
      <c r="N6" s="60"/>
      <c r="O6" s="61"/>
      <c r="P6" s="61"/>
      <c r="Q6" s="62"/>
      <c r="R6" s="63"/>
      <c r="S6" s="51" t="e">
        <f t="shared" si="0"/>
        <v>#DIV/0!</v>
      </c>
      <c r="T6" s="51"/>
      <c r="U6" s="51"/>
      <c r="V6" s="8" t="str">
        <f ca="1">IFERROR(__xludf.DUMMYFUNCTION("GoogleFinance(B6,""changepct"")/100"),"#N/A")</f>
        <v>#N/A</v>
      </c>
      <c r="W6" s="51" t="e">
        <f>J6/#REF!-1</f>
        <v>#REF!</v>
      </c>
      <c r="X6" s="51" t="e">
        <f>J6/#REF!-1</f>
        <v>#REF!</v>
      </c>
      <c r="Y6" s="51" t="e">
        <f>J6/#REF!-1</f>
        <v>#REF!</v>
      </c>
      <c r="Z6" s="51" t="e">
        <f>J6/#REF!-1</f>
        <v>#REF!</v>
      </c>
      <c r="AA6" s="51" t="e">
        <f>J6/#REF!-1</f>
        <v>#REF!</v>
      </c>
      <c r="AB6" s="12"/>
      <c r="AC6" s="3"/>
      <c r="AD6" s="3"/>
      <c r="AE6" s="3"/>
      <c r="AF6" s="3"/>
      <c r="AG6" s="3"/>
      <c r="AH6" s="3"/>
      <c r="AI6" s="64"/>
      <c r="AJ6" s="2"/>
      <c r="AK6" s="2"/>
      <c r="AL6" s="2"/>
      <c r="AM6" s="45">
        <f ca="1">IFERROR(__xludf.DUMMYFUNCTION("""COMPUTED_VALUE"""),45303.6666666666)</f>
        <v>45303.666666666599</v>
      </c>
      <c r="AN6" s="25">
        <f ca="1">IFERROR(__xludf.DUMMYFUNCTION("""COMPUTED_VALUE"""),521.51)</f>
        <v>521.51</v>
      </c>
      <c r="AO6" s="45">
        <f ca="1">IFERROR(__xludf.DUMMYFUNCTION("""COMPUTED_VALUE"""),45289.6666666666)</f>
        <v>45289.666666666599</v>
      </c>
      <c r="AP6" s="25">
        <f ca="1">IFERROR(__xludf.DUMMYFUNCTION("""COMPUTED_VALUE"""),526.47)</f>
        <v>526.47</v>
      </c>
      <c r="AQ6" s="45"/>
      <c r="AR6" s="25"/>
      <c r="AS6" s="45"/>
      <c r="AT6" s="25"/>
      <c r="AU6" s="45">
        <f ca="1">IFERROR(__xludf.DUMMYFUNCTION("""COMPUTED_VALUE"""),45289.6666666666)</f>
        <v>45289.666666666599</v>
      </c>
      <c r="AV6" s="25">
        <f ca="1">IFERROR(__xludf.DUMMYFUNCTION("""COMPUTED_VALUE"""),526.47)</f>
        <v>526.47</v>
      </c>
      <c r="AW6" s="5"/>
      <c r="AX6" s="5"/>
      <c r="AY6" s="65" t="s">
        <v>69</v>
      </c>
      <c r="AZ6" s="63">
        <v>4.65E-2</v>
      </c>
      <c r="BA6" s="63">
        <v>-1.0200000000000001E-2</v>
      </c>
      <c r="BI6" s="5"/>
      <c r="BJ6" s="5"/>
      <c r="BK6" s="5"/>
      <c r="BL6" s="5"/>
      <c r="BM6" s="5"/>
      <c r="BN6" s="5"/>
      <c r="BO6" s="5"/>
      <c r="BP6" s="5"/>
      <c r="BQ6" s="5"/>
      <c r="BR6" s="5"/>
    </row>
    <row r="7" spans="1:79" ht="19.2">
      <c r="A7" s="41">
        <f t="shared" ref="A7:A8" si="1">A3+1</f>
        <v>2</v>
      </c>
      <c r="B7" s="25" t="s">
        <v>77</v>
      </c>
      <c r="C7" s="42" t="str">
        <f ca="1">IFERROR(__xludf.DUMMYFUNCTION("GoogleFinance(B7,""name"")"),"Kroger Co")</f>
        <v>Kroger Co</v>
      </c>
      <c r="D7" s="43">
        <f ca="1">IFERROR(__xludf.DUMMYFUNCTION("GoogleFinance(B7,""marketcap"")/1000000"),33050.305414)</f>
        <v>33050.305414000002</v>
      </c>
      <c r="E7" s="44" t="s">
        <v>16</v>
      </c>
      <c r="F7" s="44" t="s">
        <v>78</v>
      </c>
      <c r="G7" s="45">
        <v>44916</v>
      </c>
      <c r="H7" s="2">
        <v>0.04</v>
      </c>
      <c r="I7" s="9">
        <f ca="1">N7/$M$42</f>
        <v>3.8179869313704359E-2</v>
      </c>
      <c r="J7" s="46">
        <f ca="1">IFERROR(__xludf.DUMMYFUNCTION("GOOGLEFINANCE(B7)"),45.94)</f>
        <v>45.94</v>
      </c>
      <c r="K7" s="47">
        <v>44.39</v>
      </c>
      <c r="L7" s="48">
        <f>4000/K7</f>
        <v>90.11038522189682</v>
      </c>
      <c r="M7" s="49">
        <f>L7*K7</f>
        <v>4000</v>
      </c>
      <c r="N7" s="50">
        <f ca="1">J7*L7</f>
        <v>4139.6710970939394</v>
      </c>
      <c r="O7" s="50">
        <f ca="1">N7-M7</f>
        <v>139.67109709393935</v>
      </c>
      <c r="P7" s="51">
        <f ca="1">J7/K7-1</f>
        <v>3.4917774273484969E-2</v>
      </c>
      <c r="Q7" s="52">
        <f ca="1">TODAY()-G7</f>
        <v>396</v>
      </c>
      <c r="R7" s="53">
        <v>41</v>
      </c>
      <c r="S7" s="51">
        <f t="shared" ca="1" si="0"/>
        <v>-0.10753156290814103</v>
      </c>
      <c r="T7" s="44">
        <v>56</v>
      </c>
      <c r="U7" s="51">
        <f ca="1">T7/J7-1</f>
        <v>0.21898127993034389</v>
      </c>
      <c r="V7" s="8">
        <f ca="1">IFERROR(__xludf.DUMMYFUNCTION("GoogleFinance(B7,""changepct"")/100"),-0.0046)</f>
        <v>-4.5999999999999999E-3</v>
      </c>
      <c r="W7" s="51">
        <f ca="1">J7/AN8-1</f>
        <v>-1.9552465783185813E-3</v>
      </c>
      <c r="X7" s="51">
        <f ca="1">J7/AP8-1</f>
        <v>5.0317217239115308E-3</v>
      </c>
      <c r="Y7" s="51" t="e">
        <f ca="1">J7/AR8-1</f>
        <v>#DIV/0!</v>
      </c>
      <c r="Z7" s="51" t="e">
        <f ca="1">J7/AT8-1</f>
        <v>#DIV/0!</v>
      </c>
      <c r="AA7" s="51">
        <f ca="1">J7/AV8-1</f>
        <v>5.0317217239115308E-3</v>
      </c>
      <c r="AB7" s="54" t="s">
        <v>63</v>
      </c>
      <c r="AC7" s="55" t="s">
        <v>73</v>
      </c>
      <c r="AD7" s="55" t="s">
        <v>63</v>
      </c>
      <c r="AE7" s="56" t="s">
        <v>64</v>
      </c>
      <c r="AF7" s="56" t="s">
        <v>79</v>
      </c>
      <c r="AG7" s="56" t="s">
        <v>66</v>
      </c>
      <c r="AH7" s="57" t="s">
        <v>80</v>
      </c>
      <c r="AI7" s="57" t="s">
        <v>81</v>
      </c>
      <c r="AJ7" s="2"/>
      <c r="AK7" s="2"/>
      <c r="AL7" s="2"/>
      <c r="AM7" s="2" t="str">
        <f ca="1">IFERROR(__xludf.DUMMYFUNCTION("GoogleFinance(B7,""price"",DATE(2024,1,12))"),"Date")</f>
        <v>Date</v>
      </c>
      <c r="AN7" s="25" t="str">
        <f ca="1">IFERROR(__xludf.DUMMYFUNCTION("""COMPUTED_VALUE"""),"Close")</f>
        <v>Close</v>
      </c>
      <c r="AO7" s="2" t="str">
        <f ca="1">IFERROR(__xludf.DUMMYFUNCTION("GoogleFinance(B7,""price"",DATE(2023,12,29))"),"Date")</f>
        <v>Date</v>
      </c>
      <c r="AP7" s="25" t="str">
        <f ca="1">IFERROR(__xludf.DUMMYFUNCTION("""COMPUTED_VALUE"""),"Close")</f>
        <v>Close</v>
      </c>
      <c r="AQ7" s="2" t="str">
        <f ca="1">IFERROR(__xludf.DUMMYFUNCTION("GoogleFinance(B7,""price"",today()-91)"),"#N/A")</f>
        <v>#N/A</v>
      </c>
      <c r="AR7" s="25"/>
      <c r="AS7" s="2" t="str">
        <f ca="1">IFERROR(__xludf.DUMMYFUNCTION("GoogleFinance(B7,""price"",today()-182)"),"#N/A")</f>
        <v>#N/A</v>
      </c>
      <c r="AT7" s="25"/>
      <c r="AU7" s="2" t="str">
        <f ca="1">IFERROR(__xludf.DUMMYFUNCTION("GoogleFinance(B7,""price"",DATE(2023,12,29))"),"Date")</f>
        <v>Date</v>
      </c>
      <c r="AV7" s="25" t="str">
        <f ca="1">IFERROR(__xludf.DUMMYFUNCTION("""COMPUTED_VALUE"""),"Close")</f>
        <v>Close</v>
      </c>
      <c r="AW7" s="5"/>
      <c r="AX7" s="5"/>
      <c r="BI7" s="5"/>
      <c r="BJ7" s="5"/>
      <c r="BK7" s="5"/>
      <c r="BL7" s="5"/>
      <c r="BM7" s="5"/>
      <c r="BN7" s="5"/>
      <c r="BO7" s="5"/>
      <c r="BP7" s="5"/>
      <c r="BQ7" s="5"/>
      <c r="BR7" s="5"/>
    </row>
    <row r="8" spans="1:79" ht="13.2" hidden="1">
      <c r="A8" s="41" t="e">
        <f t="shared" si="1"/>
        <v>#REF!</v>
      </c>
      <c r="B8" s="1"/>
      <c r="C8" s="42"/>
      <c r="D8" s="43"/>
      <c r="E8" s="44"/>
      <c r="F8" s="44"/>
      <c r="G8" s="45"/>
      <c r="H8" s="2"/>
      <c r="I8" s="59"/>
      <c r="J8" s="46"/>
      <c r="K8" s="47"/>
      <c r="L8" s="44"/>
      <c r="M8" s="44"/>
      <c r="N8" s="60"/>
      <c r="O8" s="89"/>
      <c r="P8" s="90"/>
      <c r="Q8" s="62"/>
      <c r="R8" s="63"/>
      <c r="S8" s="51"/>
      <c r="T8" s="51"/>
      <c r="U8" s="51"/>
      <c r="V8" s="8" t="str">
        <f ca="1">IFERROR(__xludf.DUMMYFUNCTION("GoogleFinance(B8,""changepct"")/100"),"#N/A")</f>
        <v>#N/A</v>
      </c>
      <c r="W8" s="51" t="e">
        <f>J8/#REF!-1</f>
        <v>#REF!</v>
      </c>
      <c r="X8" s="51" t="e">
        <f>J8/#REF!-1</f>
        <v>#REF!</v>
      </c>
      <c r="Y8" s="51" t="e">
        <f>J8/#REF!-1</f>
        <v>#REF!</v>
      </c>
      <c r="Z8" s="51" t="e">
        <f>J8/#REF!-1</f>
        <v>#REF!</v>
      </c>
      <c r="AA8" s="51" t="e">
        <f>J8/#REF!-1</f>
        <v>#REF!</v>
      </c>
      <c r="AB8" s="12"/>
      <c r="AC8" s="3"/>
      <c r="AD8" s="3"/>
      <c r="AE8" s="3"/>
      <c r="AF8" s="3"/>
      <c r="AG8" s="3"/>
      <c r="AH8" s="3"/>
      <c r="AI8" s="64"/>
      <c r="AJ8" s="2"/>
      <c r="AK8" s="2"/>
      <c r="AL8" s="2"/>
      <c r="AM8" s="45">
        <f ca="1">IFERROR(__xludf.DUMMYFUNCTION("""COMPUTED_VALUE"""),45303.6666666666)</f>
        <v>45303.666666666599</v>
      </c>
      <c r="AN8" s="25">
        <f ca="1">IFERROR(__xludf.DUMMYFUNCTION("""COMPUTED_VALUE"""),46.03)</f>
        <v>46.03</v>
      </c>
      <c r="AO8" s="45">
        <f ca="1">IFERROR(__xludf.DUMMYFUNCTION("""COMPUTED_VALUE"""),45289.6666666666)</f>
        <v>45289.666666666599</v>
      </c>
      <c r="AP8" s="25">
        <f ca="1">IFERROR(__xludf.DUMMYFUNCTION("""COMPUTED_VALUE"""),45.71)</f>
        <v>45.71</v>
      </c>
      <c r="AQ8" s="45"/>
      <c r="AR8" s="25"/>
      <c r="AS8" s="45"/>
      <c r="AT8" s="25"/>
      <c r="AU8" s="45">
        <f ca="1">IFERROR(__xludf.DUMMYFUNCTION("""COMPUTED_VALUE"""),45289.6666666666)</f>
        <v>45289.666666666599</v>
      </c>
      <c r="AV8" s="25">
        <f ca="1">IFERROR(__xludf.DUMMYFUNCTION("""COMPUTED_VALUE"""),45.71)</f>
        <v>45.71</v>
      </c>
      <c r="AW8" s="5"/>
      <c r="AX8" s="5"/>
      <c r="BI8" s="5"/>
      <c r="BJ8" s="5"/>
      <c r="BK8" s="5"/>
      <c r="BL8" s="5"/>
      <c r="BM8" s="5"/>
      <c r="BN8" s="5"/>
      <c r="BO8" s="5"/>
      <c r="BP8" s="5"/>
      <c r="BQ8" s="5"/>
      <c r="BR8" s="5"/>
    </row>
    <row r="9" spans="1:79" ht="38.4">
      <c r="A9" s="41">
        <f>A7+1</f>
        <v>3</v>
      </c>
      <c r="B9" s="7" t="s">
        <v>82</v>
      </c>
      <c r="C9" s="91" t="str">
        <f ca="1">IFERROR(__xludf.DUMMYFUNCTION("GoogleFinance(B9,""name"")"),"JPMorgan Chase &amp; Co")</f>
        <v>JPMorgan Chase &amp; Co</v>
      </c>
      <c r="D9" s="92">
        <f ca="1">IFERROR(__xludf.DUMMYFUNCTION("GoogleFinance(B9,""marketcap"")/1000000"),492367.565421)</f>
        <v>492367.56542100001</v>
      </c>
      <c r="E9" s="93" t="s">
        <v>13</v>
      </c>
      <c r="F9" s="93" t="s">
        <v>18</v>
      </c>
      <c r="G9" s="94">
        <v>45000</v>
      </c>
      <c r="H9" s="51">
        <v>0.02</v>
      </c>
      <c r="I9" s="95">
        <f ca="1">N9/$M$42</f>
        <v>1.2566048635857476E-2</v>
      </c>
      <c r="J9" s="96">
        <f ca="1">IFERROR(__xludf.DUMMYFUNCTION("GOOGLEFINANCE(B9)"),170.31)</f>
        <v>170.31</v>
      </c>
      <c r="K9" s="97">
        <v>133.97999999999999</v>
      </c>
      <c r="L9" s="98">
        <v>8</v>
      </c>
      <c r="M9" s="99">
        <f>L9*K9</f>
        <v>1071.8399999999999</v>
      </c>
      <c r="N9" s="100">
        <f ca="1">J9*L9</f>
        <v>1362.48</v>
      </c>
      <c r="O9" s="100">
        <f ca="1">N9-M9</f>
        <v>290.6400000000001</v>
      </c>
      <c r="P9" s="51">
        <f ca="1">J9/K9-1</f>
        <v>0.2711598746081505</v>
      </c>
      <c r="Q9" s="101">
        <f ca="1">TODAY()-G9</f>
        <v>312</v>
      </c>
      <c r="R9" s="102">
        <v>155</v>
      </c>
      <c r="S9" s="51">
        <f ca="1">R9/J9-1</f>
        <v>-8.9894897539780416E-2</v>
      </c>
      <c r="T9" s="93">
        <v>190</v>
      </c>
      <c r="U9" s="51">
        <f ca="1">T9/J9-1</f>
        <v>0.1156127062415595</v>
      </c>
      <c r="V9" s="63">
        <f ca="1">IFERROR(__xludf.DUMMYFUNCTION("GoogleFinance(B9,""changepct"")/100"),0.0173)</f>
        <v>1.7299999999999999E-2</v>
      </c>
      <c r="W9" s="51">
        <f ca="1">J9/AN10-1</f>
        <v>7.4534161490682482E-3</v>
      </c>
      <c r="X9" s="51">
        <f ca="1">J9/AP10-1</f>
        <v>1.2345679012346622E-3</v>
      </c>
      <c r="Y9" s="51" t="e">
        <f ca="1">J9/AR10-1</f>
        <v>#DIV/0!</v>
      </c>
      <c r="Z9" s="51" t="e">
        <f ca="1">J9/AT10-1</f>
        <v>#DIV/0!</v>
      </c>
      <c r="AA9" s="51">
        <f ca="1">J9/AV10-1</f>
        <v>1.2345679012346622E-3</v>
      </c>
      <c r="AB9" s="103" t="s">
        <v>83</v>
      </c>
      <c r="AC9" s="104" t="s">
        <v>84</v>
      </c>
      <c r="AD9" s="104" t="s">
        <v>63</v>
      </c>
      <c r="AE9" s="105" t="s">
        <v>85</v>
      </c>
      <c r="AF9" s="105" t="s">
        <v>79</v>
      </c>
      <c r="AG9" s="105" t="s">
        <v>74</v>
      </c>
      <c r="AH9" s="106" t="s">
        <v>86</v>
      </c>
      <c r="AI9" s="106" t="s">
        <v>87</v>
      </c>
      <c r="AJ9" s="51"/>
      <c r="AK9" s="51"/>
      <c r="AL9" s="51"/>
      <c r="AM9" s="2" t="str">
        <f ca="1">IFERROR(__xludf.DUMMYFUNCTION("GoogleFinance(B9,""price"",DATE(2024,1,12))"),"Date")</f>
        <v>Date</v>
      </c>
      <c r="AN9" s="25" t="str">
        <f ca="1">IFERROR(__xludf.DUMMYFUNCTION("""COMPUTED_VALUE"""),"Close")</f>
        <v>Close</v>
      </c>
      <c r="AO9" s="2" t="str">
        <f ca="1">IFERROR(__xludf.DUMMYFUNCTION("GoogleFinance(B9,""price"",DATE(2023,12,29))"),"Date")</f>
        <v>Date</v>
      </c>
      <c r="AP9" s="25" t="str">
        <f ca="1">IFERROR(__xludf.DUMMYFUNCTION("""COMPUTED_VALUE"""),"Close")</f>
        <v>Close</v>
      </c>
      <c r="AQ9" s="2" t="str">
        <f ca="1">IFERROR(__xludf.DUMMYFUNCTION("GoogleFinance(B9,""price"",today()-91)"),"#N/A")</f>
        <v>#N/A</v>
      </c>
      <c r="AR9" s="25"/>
      <c r="AS9" s="2" t="str">
        <f ca="1">IFERROR(__xludf.DUMMYFUNCTION("GoogleFinance(B9,""price"",today()-182)"),"#N/A")</f>
        <v>#N/A</v>
      </c>
      <c r="AT9" s="25"/>
      <c r="AU9" s="2" t="str">
        <f ca="1">IFERROR(__xludf.DUMMYFUNCTION("GoogleFinance(B9,""price"",DATE(2023,12,29))"),"Date")</f>
        <v>Date</v>
      </c>
      <c r="AV9" s="25" t="str">
        <f ca="1">IFERROR(__xludf.DUMMYFUNCTION("""COMPUTED_VALUE"""),"Close")</f>
        <v>Close</v>
      </c>
      <c r="AW9" s="107"/>
      <c r="AX9" s="107"/>
      <c r="AY9" s="108"/>
      <c r="AZ9" s="108"/>
      <c r="BA9" s="108"/>
      <c r="BB9" s="108"/>
      <c r="BC9" s="108"/>
      <c r="BD9" s="108"/>
      <c r="BE9" s="108"/>
      <c r="BF9" s="108"/>
      <c r="BG9" s="108"/>
      <c r="BH9" s="108"/>
      <c r="BI9" s="107"/>
      <c r="BJ9" s="107"/>
      <c r="BK9" s="107"/>
      <c r="BL9" s="107"/>
      <c r="BM9" s="107"/>
      <c r="BN9" s="107"/>
      <c r="BO9" s="107"/>
      <c r="BP9" s="107"/>
      <c r="BQ9" s="107"/>
      <c r="BR9" s="107"/>
      <c r="BS9" s="108"/>
      <c r="BT9" s="108"/>
      <c r="BU9" s="108"/>
      <c r="BV9" s="108"/>
      <c r="BW9" s="108"/>
      <c r="BX9" s="108"/>
      <c r="BY9" s="108"/>
      <c r="BZ9" s="108"/>
      <c r="CA9" s="108"/>
    </row>
    <row r="10" spans="1:79" ht="13.2" hidden="1">
      <c r="A10" s="41" t="e">
        <f>#REF!+1</f>
        <v>#REF!</v>
      </c>
      <c r="B10" s="1"/>
      <c r="C10" s="42"/>
      <c r="D10" s="43"/>
      <c r="E10" s="44"/>
      <c r="F10" s="44"/>
      <c r="G10" s="45"/>
      <c r="H10" s="2"/>
      <c r="I10" s="59"/>
      <c r="J10" s="46"/>
      <c r="K10" s="47"/>
      <c r="L10" s="44"/>
      <c r="M10" s="44"/>
      <c r="N10" s="60"/>
      <c r="O10" s="89"/>
      <c r="P10" s="90"/>
      <c r="Q10" s="62"/>
      <c r="R10" s="63"/>
      <c r="S10" s="51"/>
      <c r="T10" s="51"/>
      <c r="U10" s="51"/>
      <c r="V10" s="8" t="str">
        <f ca="1">IFERROR(__xludf.DUMMYFUNCTION("GoogleFinance(B10,""changepct"")/100"),"#N/A")</f>
        <v>#N/A</v>
      </c>
      <c r="W10" s="51" t="e">
        <f>J10/#REF!-1</f>
        <v>#REF!</v>
      </c>
      <c r="X10" s="51" t="e">
        <f>J10/#REF!-1</f>
        <v>#REF!</v>
      </c>
      <c r="Y10" s="51" t="e">
        <f>J10/#REF!-1</f>
        <v>#REF!</v>
      </c>
      <c r="Z10" s="51" t="e">
        <f>J10/#REF!-1</f>
        <v>#REF!</v>
      </c>
      <c r="AA10" s="51" t="e">
        <f>J10/#REF!-1</f>
        <v>#REF!</v>
      </c>
      <c r="AB10" s="12"/>
      <c r="AC10" s="3"/>
      <c r="AD10" s="3"/>
      <c r="AE10" s="3"/>
      <c r="AF10" s="3"/>
      <c r="AG10" s="3"/>
      <c r="AH10" s="3"/>
      <c r="AI10" s="64"/>
      <c r="AJ10" s="2"/>
      <c r="AK10" s="2"/>
      <c r="AL10" s="2"/>
      <c r="AM10" s="45">
        <f ca="1">IFERROR(__xludf.DUMMYFUNCTION("""COMPUTED_VALUE"""),45303.6666666666)</f>
        <v>45303.666666666599</v>
      </c>
      <c r="AN10" s="25">
        <f ca="1">IFERROR(__xludf.DUMMYFUNCTION("""COMPUTED_VALUE"""),169.05)</f>
        <v>169.05</v>
      </c>
      <c r="AO10" s="45">
        <f ca="1">IFERROR(__xludf.DUMMYFUNCTION("""COMPUTED_VALUE"""),45289.6666666666)</f>
        <v>45289.666666666599</v>
      </c>
      <c r="AP10" s="25">
        <f ca="1">IFERROR(__xludf.DUMMYFUNCTION("""COMPUTED_VALUE"""),170.1)</f>
        <v>170.1</v>
      </c>
      <c r="AQ10" s="45"/>
      <c r="AR10" s="25"/>
      <c r="AS10" s="45"/>
      <c r="AT10" s="25"/>
      <c r="AU10" s="45">
        <f ca="1">IFERROR(__xludf.DUMMYFUNCTION("""COMPUTED_VALUE"""),45289.6666666666)</f>
        <v>45289.666666666599</v>
      </c>
      <c r="AV10" s="25">
        <f ca="1">IFERROR(__xludf.DUMMYFUNCTION("""COMPUTED_VALUE"""),170.1)</f>
        <v>170.1</v>
      </c>
      <c r="AW10" s="5"/>
      <c r="AX10" s="5"/>
      <c r="BF10" s="5"/>
      <c r="BG10" s="5"/>
      <c r="BH10" s="5"/>
      <c r="BI10" s="5"/>
      <c r="BJ10" s="5"/>
      <c r="BK10" s="5"/>
      <c r="BL10" s="5"/>
      <c r="BM10" s="5"/>
      <c r="BN10" s="5"/>
      <c r="BO10" s="5"/>
      <c r="BP10" s="5"/>
      <c r="BQ10" s="5"/>
      <c r="BR10" s="5"/>
    </row>
    <row r="11" spans="1:79" ht="38.4">
      <c r="A11" s="41">
        <f t="shared" ref="A11:A17" si="2">A9+1</f>
        <v>4</v>
      </c>
      <c r="B11" s="7" t="s">
        <v>88</v>
      </c>
      <c r="C11" s="91" t="str">
        <f ca="1">IFERROR(__xludf.DUMMYFUNCTION("GoogleFinance(B11,""name"")"),"T-Mobile Us Inc")</f>
        <v>T-Mobile Us Inc</v>
      </c>
      <c r="D11" s="92">
        <f ca="1">IFERROR(__xludf.DUMMYFUNCTION("GoogleFinance(B11,""marketcap"")/1000000"),191003.415235)</f>
        <v>191003.41523499999</v>
      </c>
      <c r="E11" s="93" t="s">
        <v>12</v>
      </c>
      <c r="F11" s="93" t="s">
        <v>89</v>
      </c>
      <c r="G11" s="94">
        <v>45191</v>
      </c>
      <c r="H11" s="51">
        <v>0.04</v>
      </c>
      <c r="I11" s="95">
        <f ca="1">N11/$M$42</f>
        <v>2.1920720311210267E-2</v>
      </c>
      <c r="J11" s="96">
        <f ca="1">IFERROR(__xludf.DUMMYFUNCTION("GOOGLEFINANCE(B11)"),165.16)</f>
        <v>165.16</v>
      </c>
      <c r="K11" s="97">
        <v>139.5</v>
      </c>
      <c r="L11" s="98">
        <f>4100/K11-15</f>
        <v>14.390681003584231</v>
      </c>
      <c r="M11" s="99">
        <v>4100</v>
      </c>
      <c r="N11" s="100">
        <f ca="1">J11*L11</f>
        <v>2376.7648745519714</v>
      </c>
      <c r="O11" s="100">
        <f ca="1">N11-M11</f>
        <v>-1723.2351254480286</v>
      </c>
      <c r="P11" s="51">
        <f ca="1">J11/K11-1</f>
        <v>0.18394265232974916</v>
      </c>
      <c r="Q11" s="101">
        <f ca="1">TODAY()-G11</f>
        <v>121</v>
      </c>
      <c r="R11" s="102">
        <v>138</v>
      </c>
      <c r="S11" s="51">
        <f ca="1">R11/J11-1</f>
        <v>-0.16444659723904087</v>
      </c>
      <c r="T11" s="93">
        <v>190</v>
      </c>
      <c r="U11" s="51">
        <f ca="1">T11/J11-1</f>
        <v>0.15039961249697265</v>
      </c>
      <c r="V11" s="63">
        <f ca="1">IFERROR(__xludf.DUMMYFUNCTION("GoogleFinance(B11,""changepct"")/100"),0.0016)</f>
        <v>1.6000000000000001E-3</v>
      </c>
      <c r="W11" s="51">
        <f ca="1">J11/AN12-1</f>
        <v>1.6119109142364918E-2</v>
      </c>
      <c r="X11" s="51">
        <f ca="1">J11/AP12-1</f>
        <v>3.0125366431734468E-2</v>
      </c>
      <c r="Y11" s="51" t="e">
        <f ca="1">J11/AR12-1</f>
        <v>#DIV/0!</v>
      </c>
      <c r="Z11" s="51" t="e">
        <f ca="1">J11/AT12-1</f>
        <v>#DIV/0!</v>
      </c>
      <c r="AA11" s="51">
        <f ca="1">J11/AV12-1</f>
        <v>3.0125366431734468E-2</v>
      </c>
      <c r="AB11" s="103" t="s">
        <v>83</v>
      </c>
      <c r="AC11" s="104" t="s">
        <v>84</v>
      </c>
      <c r="AD11" s="104" t="s">
        <v>73</v>
      </c>
      <c r="AE11" s="105" t="s">
        <v>85</v>
      </c>
      <c r="AF11" s="105" t="s">
        <v>79</v>
      </c>
      <c r="AG11" s="105" t="s">
        <v>74</v>
      </c>
      <c r="AH11" s="106" t="s">
        <v>90</v>
      </c>
      <c r="AI11" s="106" t="s">
        <v>91</v>
      </c>
      <c r="AJ11" s="51"/>
      <c r="AK11" s="51"/>
      <c r="AL11" s="51"/>
      <c r="AM11" s="2" t="str">
        <f ca="1">IFERROR(__xludf.DUMMYFUNCTION("GoogleFinance(B11,""price"",DATE(2024,1,12))"),"Date")</f>
        <v>Date</v>
      </c>
      <c r="AN11" s="109" t="str">
        <f ca="1">IFERROR(__xludf.DUMMYFUNCTION("""COMPUTED_VALUE"""),"Close")</f>
        <v>Close</v>
      </c>
      <c r="AO11" s="51" t="str">
        <f ca="1">IFERROR(__xludf.DUMMYFUNCTION("GoogleFinance(B11,""price"",DATE(2023,12,29))"),"Date")</f>
        <v>Date</v>
      </c>
      <c r="AP11" s="109" t="str">
        <f ca="1">IFERROR(__xludf.DUMMYFUNCTION("""COMPUTED_VALUE"""),"Close")</f>
        <v>Close</v>
      </c>
      <c r="AQ11" s="51" t="str">
        <f ca="1">IFERROR(__xludf.DUMMYFUNCTION("GoogleFinance(B11,""price"",today()-91)"),"#N/A")</f>
        <v>#N/A</v>
      </c>
      <c r="AR11" s="109"/>
      <c r="AS11" s="51" t="str">
        <f ca="1">IFERROR(__xludf.DUMMYFUNCTION("GoogleFinance(B11,""price"",today()-182)"),"#N/A")</f>
        <v>#N/A</v>
      </c>
      <c r="AT11" s="109"/>
      <c r="AU11" s="51" t="str">
        <f ca="1">IFERROR(__xludf.DUMMYFUNCTION("GoogleFinance(B11,""price"",DATE(2023,12,29))"),"Date")</f>
        <v>Date</v>
      </c>
      <c r="AV11" s="109" t="str">
        <f ca="1">IFERROR(__xludf.DUMMYFUNCTION("""COMPUTED_VALUE"""),"Close")</f>
        <v>Close</v>
      </c>
      <c r="AW11" s="107"/>
      <c r="AX11" s="107"/>
      <c r="AY11" s="108"/>
      <c r="AZ11" s="108"/>
      <c r="BA11" s="108"/>
      <c r="BB11" s="108"/>
      <c r="BC11" s="108"/>
      <c r="BD11" s="108"/>
      <c r="BE11" s="108"/>
      <c r="BF11" s="108"/>
      <c r="BG11" s="108"/>
      <c r="BH11" s="108"/>
      <c r="BI11" s="107"/>
      <c r="BJ11" s="107"/>
      <c r="BK11" s="107"/>
      <c r="BL11" s="107"/>
      <c r="BM11" s="107"/>
      <c r="BN11" s="107"/>
      <c r="BO11" s="107"/>
      <c r="BP11" s="107"/>
      <c r="BQ11" s="107"/>
      <c r="BR11" s="107"/>
      <c r="BS11" s="108"/>
      <c r="BT11" s="108"/>
      <c r="BU11" s="108"/>
      <c r="BV11" s="108"/>
      <c r="BW11" s="108"/>
      <c r="BX11" s="108"/>
      <c r="BY11" s="108"/>
      <c r="BZ11" s="108"/>
      <c r="CA11" s="108"/>
    </row>
    <row r="12" spans="1:79" ht="13.2" hidden="1">
      <c r="A12" s="41" t="e">
        <f t="shared" si="2"/>
        <v>#REF!</v>
      </c>
      <c r="B12" s="24"/>
      <c r="C12" s="67"/>
      <c r="D12" s="68"/>
      <c r="E12" s="69"/>
      <c r="F12" s="69"/>
      <c r="G12" s="70"/>
      <c r="H12" s="71"/>
      <c r="I12" s="110"/>
      <c r="J12" s="73"/>
      <c r="K12" s="74"/>
      <c r="L12" s="69"/>
      <c r="M12" s="69"/>
      <c r="N12" s="111"/>
      <c r="O12" s="112"/>
      <c r="P12" s="113"/>
      <c r="Q12" s="114"/>
      <c r="R12" s="115"/>
      <c r="S12" s="78"/>
      <c r="T12" s="78"/>
      <c r="U12" s="78"/>
      <c r="V12" s="81" t="str">
        <f ca="1">IFERROR(__xludf.DUMMYFUNCTION("GoogleFinance(B12,""changepct"")/100"),"#N/A")</f>
        <v>#N/A</v>
      </c>
      <c r="W12" s="78" t="e">
        <f>J12/#REF!-1</f>
        <v>#REF!</v>
      </c>
      <c r="X12" s="78" t="e">
        <f>J12/#REF!-1</f>
        <v>#REF!</v>
      </c>
      <c r="Y12" s="78" t="e">
        <f>J12/#REF!-1</f>
        <v>#REF!</v>
      </c>
      <c r="Z12" s="78" t="e">
        <f>J12/#REF!-1</f>
        <v>#REF!</v>
      </c>
      <c r="AA12" s="78" t="e">
        <f>J12/#REF!-1</f>
        <v>#REF!</v>
      </c>
      <c r="AB12" s="116"/>
      <c r="AC12" s="117"/>
      <c r="AD12" s="117"/>
      <c r="AE12" s="117"/>
      <c r="AF12" s="117"/>
      <c r="AG12" s="117"/>
      <c r="AH12" s="117"/>
      <c r="AI12" s="118"/>
      <c r="AJ12" s="71"/>
      <c r="AK12" s="71"/>
      <c r="AL12" s="71"/>
      <c r="AM12" s="70">
        <f ca="1">IFERROR(__xludf.DUMMYFUNCTION("""COMPUTED_VALUE"""),45303.6666666666)</f>
        <v>45303.666666666599</v>
      </c>
      <c r="AN12" s="86">
        <f ca="1">IFERROR(__xludf.DUMMYFUNCTION("""COMPUTED_VALUE"""),162.54)</f>
        <v>162.54</v>
      </c>
      <c r="AO12" s="70">
        <f ca="1">IFERROR(__xludf.DUMMYFUNCTION("""COMPUTED_VALUE"""),45289.6666666666)</f>
        <v>45289.666666666599</v>
      </c>
      <c r="AP12" s="86">
        <f ca="1">IFERROR(__xludf.DUMMYFUNCTION("""COMPUTED_VALUE"""),160.33)</f>
        <v>160.33000000000001</v>
      </c>
      <c r="AQ12" s="70"/>
      <c r="AR12" s="86"/>
      <c r="AS12" s="70"/>
      <c r="AT12" s="86"/>
      <c r="AU12" s="70">
        <f ca="1">IFERROR(__xludf.DUMMYFUNCTION("""COMPUTED_VALUE"""),45289.6666666666)</f>
        <v>45289.666666666599</v>
      </c>
      <c r="AV12" s="86">
        <f ca="1">IFERROR(__xludf.DUMMYFUNCTION("""COMPUTED_VALUE"""),160.33)</f>
        <v>160.33000000000001</v>
      </c>
      <c r="AW12" s="87"/>
      <c r="AX12" s="87"/>
      <c r="AY12" s="88"/>
      <c r="AZ12" s="88"/>
      <c r="BA12" s="88"/>
      <c r="BB12" s="88"/>
      <c r="BC12" s="88"/>
      <c r="BD12" s="88"/>
      <c r="BE12" s="88"/>
      <c r="BF12" s="87"/>
      <c r="BG12" s="87"/>
      <c r="BH12" s="87"/>
      <c r="BI12" s="87"/>
      <c r="BJ12" s="87"/>
      <c r="BK12" s="87"/>
      <c r="BL12" s="87"/>
      <c r="BM12" s="87"/>
      <c r="BN12" s="87"/>
      <c r="BO12" s="87"/>
      <c r="BP12" s="87"/>
      <c r="BQ12" s="87"/>
      <c r="BR12" s="87"/>
      <c r="BS12" s="88"/>
      <c r="BT12" s="88"/>
      <c r="BU12" s="88"/>
      <c r="BV12" s="88"/>
      <c r="BW12" s="88"/>
      <c r="BX12" s="88"/>
      <c r="BY12" s="88"/>
      <c r="BZ12" s="88"/>
      <c r="CA12" s="88"/>
    </row>
    <row r="13" spans="1:79" ht="38.4">
      <c r="A13" s="41">
        <f t="shared" si="2"/>
        <v>5</v>
      </c>
      <c r="B13" s="1" t="s">
        <v>92</v>
      </c>
      <c r="C13" s="42" t="str">
        <f ca="1">IFERROR(__xludf.DUMMYFUNCTION("GoogleFinance(B13,""name"")"),"Walt Disney Co")</f>
        <v>Walt Disney Co</v>
      </c>
      <c r="D13" s="43">
        <f ca="1">IFERROR(__xludf.DUMMYFUNCTION("GoogleFinance(B13,""marketcap"")/1000000"),170329.109431)</f>
        <v>170329.10943099999</v>
      </c>
      <c r="E13" s="44" t="s">
        <v>12</v>
      </c>
      <c r="F13" s="44" t="s">
        <v>93</v>
      </c>
      <c r="G13" s="45">
        <v>45204</v>
      </c>
      <c r="H13" s="2">
        <v>0.02</v>
      </c>
      <c r="I13" s="9">
        <f ca="1">N13/$M$42</f>
        <v>4.8042290948045845E-2</v>
      </c>
      <c r="J13" s="46">
        <f ca="1">IFERROR(__xludf.DUMMYFUNCTION("GOOGLEFINANCE(B13)"),93.06)</f>
        <v>93.06</v>
      </c>
      <c r="K13" s="47">
        <f>5000/57.7</f>
        <v>86.655112651646448</v>
      </c>
      <c r="L13" s="48">
        <f>2000/K13+3000/91.2</f>
        <v>55.974736842105258</v>
      </c>
      <c r="M13" s="49">
        <v>5000</v>
      </c>
      <c r="N13" s="50">
        <f ca="1">J13*L13</f>
        <v>5209.0090105263153</v>
      </c>
      <c r="O13" s="50">
        <f ca="1">N13-M13</f>
        <v>209.00901052631525</v>
      </c>
      <c r="P13" s="51">
        <f ca="1">J13/K13-1</f>
        <v>7.3912399999999989E-2</v>
      </c>
      <c r="Q13" s="52">
        <f ca="1">TODAY()-G13</f>
        <v>108</v>
      </c>
      <c r="R13" s="53">
        <v>85</v>
      </c>
      <c r="S13" s="51">
        <f ca="1">R13/J13-1</f>
        <v>-8.6610788738448297E-2</v>
      </c>
      <c r="T13" s="44">
        <v>100</v>
      </c>
      <c r="U13" s="51">
        <f ca="1">T13/J13-1</f>
        <v>7.4575542660648919E-2</v>
      </c>
      <c r="V13" s="8">
        <f ca="1">IFERROR(__xludf.DUMMYFUNCTION("GoogleFinance(B13,""changepct"")/100"),0.0092)</f>
        <v>9.1999999999999998E-3</v>
      </c>
      <c r="W13" s="51">
        <f ca="1">J13/AN14-1</f>
        <v>2.9994465965688999E-2</v>
      </c>
      <c r="X13" s="51">
        <f ca="1">J13/AP14-1</f>
        <v>3.0678923468822727E-2</v>
      </c>
      <c r="Y13" s="51" t="e">
        <f ca="1">J13/AR14-1</f>
        <v>#DIV/0!</v>
      </c>
      <c r="Z13" s="51" t="e">
        <f ca="1">J13/AT14-1</f>
        <v>#DIV/0!</v>
      </c>
      <c r="AA13" s="51">
        <f ca="1">J13/AV14-1</f>
        <v>3.0678923468822727E-2</v>
      </c>
      <c r="AB13" s="54" t="s">
        <v>72</v>
      </c>
      <c r="AC13" s="55" t="s">
        <v>73</v>
      </c>
      <c r="AD13" s="104" t="s">
        <v>63</v>
      </c>
      <c r="AE13" s="56" t="s">
        <v>85</v>
      </c>
      <c r="AF13" s="56" t="s">
        <v>79</v>
      </c>
      <c r="AG13" s="56" t="s">
        <v>74</v>
      </c>
      <c r="AH13" s="119" t="s">
        <v>94</v>
      </c>
      <c r="AI13" s="119" t="s">
        <v>95</v>
      </c>
      <c r="AJ13" s="2"/>
      <c r="AK13" s="2"/>
      <c r="AL13" s="2"/>
      <c r="AM13" s="2" t="str">
        <f ca="1">IFERROR(__xludf.DUMMYFUNCTION("GoogleFinance(B13,""price"",DATE(2024,1,12))"),"Date")</f>
        <v>Date</v>
      </c>
      <c r="AN13" s="25" t="str">
        <f ca="1">IFERROR(__xludf.DUMMYFUNCTION("""COMPUTED_VALUE"""),"Close")</f>
        <v>Close</v>
      </c>
      <c r="AO13" s="2" t="str">
        <f ca="1">IFERROR(__xludf.DUMMYFUNCTION("GoogleFinance(B13,""price"",DATE(2023,12,29))"),"Date")</f>
        <v>Date</v>
      </c>
      <c r="AP13" s="25" t="str">
        <f ca="1">IFERROR(__xludf.DUMMYFUNCTION("""COMPUTED_VALUE"""),"Close")</f>
        <v>Close</v>
      </c>
      <c r="AQ13" s="2" t="str">
        <f ca="1">IFERROR(__xludf.DUMMYFUNCTION("GoogleFinance(B13,""price"",today()-91)"),"#N/A")</f>
        <v>#N/A</v>
      </c>
      <c r="AR13" s="25"/>
      <c r="AS13" s="2" t="str">
        <f ca="1">IFERROR(__xludf.DUMMYFUNCTION("GoogleFinance(B13,""price"",today()-182)"),"#N/A")</f>
        <v>#N/A</v>
      </c>
      <c r="AT13" s="25"/>
      <c r="AU13" s="2" t="str">
        <f ca="1">IFERROR(__xludf.DUMMYFUNCTION("GoogleFinance(B13,""price"",DATE(2023,12,29))"),"Date")</f>
        <v>Date</v>
      </c>
      <c r="AV13" s="25" t="str">
        <f ca="1">IFERROR(__xludf.DUMMYFUNCTION("""COMPUTED_VALUE"""),"Close")</f>
        <v>Close</v>
      </c>
      <c r="AW13" s="5"/>
      <c r="AX13" s="5"/>
      <c r="BI13" s="5"/>
      <c r="BJ13" s="5"/>
      <c r="BK13" s="5"/>
      <c r="BL13" s="5"/>
      <c r="BM13" s="5"/>
      <c r="BN13" s="5"/>
      <c r="BO13" s="5"/>
      <c r="BP13" s="5"/>
      <c r="BQ13" s="5"/>
      <c r="BR13" s="5"/>
    </row>
    <row r="14" spans="1:79" ht="13.2" hidden="1">
      <c r="A14" s="41" t="e">
        <f t="shared" si="2"/>
        <v>#REF!</v>
      </c>
      <c r="B14" s="1"/>
      <c r="C14" s="42"/>
      <c r="D14" s="43"/>
      <c r="E14" s="44"/>
      <c r="F14" s="44"/>
      <c r="G14" s="45"/>
      <c r="H14" s="2"/>
      <c r="I14" s="59"/>
      <c r="J14" s="46"/>
      <c r="K14" s="47"/>
      <c r="L14" s="44"/>
      <c r="M14" s="44"/>
      <c r="N14" s="60"/>
      <c r="O14" s="89"/>
      <c r="P14" s="90"/>
      <c r="Q14" s="62"/>
      <c r="R14" s="63"/>
      <c r="S14" s="51"/>
      <c r="T14" s="51"/>
      <c r="U14" s="51"/>
      <c r="V14" s="8" t="str">
        <f ca="1">IFERROR(__xludf.DUMMYFUNCTION("GoogleFinance(B14,""changepct"")/100"),"#N/A")</f>
        <v>#N/A</v>
      </c>
      <c r="W14" s="51" t="e">
        <f>J14/#REF!-1</f>
        <v>#REF!</v>
      </c>
      <c r="X14" s="51" t="e">
        <f>J14/#REF!-1</f>
        <v>#REF!</v>
      </c>
      <c r="Y14" s="51" t="e">
        <f>J14/#REF!-1</f>
        <v>#REF!</v>
      </c>
      <c r="Z14" s="51" t="e">
        <f>J14/#REF!-1</f>
        <v>#REF!</v>
      </c>
      <c r="AA14" s="51" t="e">
        <f>J14/#REF!-1</f>
        <v>#REF!</v>
      </c>
      <c r="AB14" s="12"/>
      <c r="AC14" s="3"/>
      <c r="AD14" s="3"/>
      <c r="AE14" s="3"/>
      <c r="AF14" s="3"/>
      <c r="AG14" s="3"/>
      <c r="AH14" s="3"/>
      <c r="AI14" s="64"/>
      <c r="AJ14" s="2"/>
      <c r="AK14" s="2"/>
      <c r="AL14" s="2"/>
      <c r="AM14" s="45">
        <f ca="1">IFERROR(__xludf.DUMMYFUNCTION("""COMPUTED_VALUE"""),45303.6666666666)</f>
        <v>45303.666666666599</v>
      </c>
      <c r="AN14" s="25">
        <f ca="1">IFERROR(__xludf.DUMMYFUNCTION("""COMPUTED_VALUE"""),90.35)</f>
        <v>90.35</v>
      </c>
      <c r="AO14" s="45">
        <f ca="1">IFERROR(__xludf.DUMMYFUNCTION("""COMPUTED_VALUE"""),45289.6666666666)</f>
        <v>45289.666666666599</v>
      </c>
      <c r="AP14" s="25">
        <f ca="1">IFERROR(__xludf.DUMMYFUNCTION("""COMPUTED_VALUE"""),90.29)</f>
        <v>90.29</v>
      </c>
      <c r="AQ14" s="45"/>
      <c r="AR14" s="25"/>
      <c r="AS14" s="45"/>
      <c r="AT14" s="25"/>
      <c r="AU14" s="45">
        <f ca="1">IFERROR(__xludf.DUMMYFUNCTION("""COMPUTED_VALUE"""),45289.6666666666)</f>
        <v>45289.666666666599</v>
      </c>
      <c r="AV14" s="25">
        <f ca="1">IFERROR(__xludf.DUMMYFUNCTION("""COMPUTED_VALUE"""),90.29)</f>
        <v>90.29</v>
      </c>
      <c r="AW14" s="5"/>
      <c r="AX14" s="5"/>
      <c r="BF14" s="5"/>
      <c r="BG14" s="5"/>
      <c r="BH14" s="5"/>
      <c r="BI14" s="5"/>
      <c r="BJ14" s="5"/>
      <c r="BK14" s="5"/>
      <c r="BL14" s="5"/>
      <c r="BM14" s="5"/>
      <c r="BN14" s="5"/>
      <c r="BO14" s="5"/>
      <c r="BP14" s="5"/>
      <c r="BQ14" s="5"/>
      <c r="BR14" s="5"/>
    </row>
    <row r="15" spans="1:79" ht="38.4">
      <c r="A15" s="41">
        <f t="shared" si="2"/>
        <v>6</v>
      </c>
      <c r="B15" s="1" t="s">
        <v>96</v>
      </c>
      <c r="C15" s="42" t="str">
        <f ca="1">IFERROR(__xludf.DUMMYFUNCTION("GoogleFinance(B15,""name"")"),"Paramount Global Class B")</f>
        <v>Paramount Global Class B</v>
      </c>
      <c r="D15" s="43">
        <f ca="1">IFERROR(__xludf.DUMMYFUNCTION("GoogleFinance(B15,""marketcap"")/1000000"),8944.074965)</f>
        <v>8944.0749649999998</v>
      </c>
      <c r="E15" s="44" t="s">
        <v>12</v>
      </c>
      <c r="F15" s="44" t="s">
        <v>93</v>
      </c>
      <c r="G15" s="45">
        <v>45204</v>
      </c>
      <c r="H15" s="2">
        <v>0.04</v>
      </c>
      <c r="I15" s="9">
        <f ca="1">N15/$M$42</f>
        <v>3.7299951665358141E-2</v>
      </c>
      <c r="J15" s="46">
        <f ca="1">IFERROR(__xludf.DUMMYFUNCTION("GOOGLEFINANCE(B15)"),13.4)</f>
        <v>13.4</v>
      </c>
      <c r="K15" s="47">
        <v>14.91</v>
      </c>
      <c r="L15" s="48">
        <f>4500/K15</f>
        <v>301.81086519114689</v>
      </c>
      <c r="M15" s="49">
        <v>5000</v>
      </c>
      <c r="N15" s="50">
        <f ca="1">J15*L15</f>
        <v>4044.2655935613684</v>
      </c>
      <c r="O15" s="50">
        <f ca="1">N15-M15</f>
        <v>-955.73440643863159</v>
      </c>
      <c r="P15" s="51">
        <f ca="1">J15/K15-1</f>
        <v>-0.10127431254191821</v>
      </c>
      <c r="Q15" s="52">
        <f ca="1">TODAY()-G15</f>
        <v>108</v>
      </c>
      <c r="R15" s="53">
        <v>10.7</v>
      </c>
      <c r="S15" s="51">
        <f ca="1">R15/J15-1</f>
        <v>-0.20149253731343286</v>
      </c>
      <c r="T15" s="44">
        <v>23</v>
      </c>
      <c r="U15" s="51">
        <f ca="1">T15/J15-1</f>
        <v>0.71641791044776104</v>
      </c>
      <c r="V15" s="8">
        <f ca="1">IFERROR(__xludf.DUMMYFUNCTION("GoogleFinance(B15,""changepct"")/100"),0.0220999999999999)</f>
        <v>2.2099999999999901E-2</v>
      </c>
      <c r="W15" s="51">
        <f ca="1">J15/AN16-1</f>
        <v>5.251312828207011E-3</v>
      </c>
      <c r="X15" s="51">
        <f ca="1">J15/AP16-1</f>
        <v>-9.3982420554428625E-2</v>
      </c>
      <c r="Y15" s="51" t="e">
        <f ca="1">J15/AR16-1</f>
        <v>#DIV/0!</v>
      </c>
      <c r="Z15" s="51" t="e">
        <f ca="1">J15/AT16-1</f>
        <v>#DIV/0!</v>
      </c>
      <c r="AA15" s="51">
        <f ca="1">J15/AV16-1</f>
        <v>-9.3982420554428625E-2</v>
      </c>
      <c r="AB15" s="54" t="s">
        <v>72</v>
      </c>
      <c r="AC15" s="55" t="s">
        <v>73</v>
      </c>
      <c r="AD15" s="104" t="s">
        <v>73</v>
      </c>
      <c r="AE15" s="56" t="s">
        <v>85</v>
      </c>
      <c r="AF15" s="56" t="s">
        <v>79</v>
      </c>
      <c r="AG15" s="56" t="s">
        <v>74</v>
      </c>
      <c r="AH15" s="119" t="s">
        <v>97</v>
      </c>
      <c r="AI15" s="119" t="s">
        <v>98</v>
      </c>
      <c r="AJ15" s="2"/>
      <c r="AK15" s="2"/>
      <c r="AL15" s="2"/>
      <c r="AM15" s="2" t="str">
        <f ca="1">IFERROR(__xludf.DUMMYFUNCTION("GoogleFinance(B15,""price"",DATE(2024,1,12))"),"Date")</f>
        <v>Date</v>
      </c>
      <c r="AN15" s="25" t="str">
        <f ca="1">IFERROR(__xludf.DUMMYFUNCTION("""COMPUTED_VALUE"""),"Close")</f>
        <v>Close</v>
      </c>
      <c r="AO15" s="2" t="str">
        <f ca="1">IFERROR(__xludf.DUMMYFUNCTION("GoogleFinance(B15,""price"",DATE(2023,12,29))"),"Date")</f>
        <v>Date</v>
      </c>
      <c r="AP15" s="25" t="str">
        <f ca="1">IFERROR(__xludf.DUMMYFUNCTION("""COMPUTED_VALUE"""),"Close")</f>
        <v>Close</v>
      </c>
      <c r="AQ15" s="2" t="str">
        <f ca="1">IFERROR(__xludf.DUMMYFUNCTION("GoogleFinance(B15,""price"",today()-91)"),"#N/A")</f>
        <v>#N/A</v>
      </c>
      <c r="AR15" s="25"/>
      <c r="AS15" s="2" t="str">
        <f ca="1">IFERROR(__xludf.DUMMYFUNCTION("GoogleFinance(B15,""price"",today()-182)"),"#N/A")</f>
        <v>#N/A</v>
      </c>
      <c r="AT15" s="25"/>
      <c r="AU15" s="2" t="str">
        <f ca="1">IFERROR(__xludf.DUMMYFUNCTION("GoogleFinance(B15,""price"",DATE(2023,12,29))"),"Date")</f>
        <v>Date</v>
      </c>
      <c r="AV15" s="25" t="str">
        <f ca="1">IFERROR(__xludf.DUMMYFUNCTION("""COMPUTED_VALUE"""),"Close")</f>
        <v>Close</v>
      </c>
      <c r="AW15" s="5"/>
      <c r="AX15" s="5"/>
      <c r="BI15" s="5"/>
      <c r="BJ15" s="5"/>
      <c r="BK15" s="5"/>
      <c r="BL15" s="5"/>
      <c r="BM15" s="5"/>
      <c r="BN15" s="5"/>
      <c r="BO15" s="5"/>
      <c r="BP15" s="5"/>
      <c r="BQ15" s="5"/>
      <c r="BR15" s="5"/>
    </row>
    <row r="16" spans="1:79" ht="13.2" hidden="1">
      <c r="A16" s="66" t="e">
        <f t="shared" si="2"/>
        <v>#REF!</v>
      </c>
      <c r="B16" s="24"/>
      <c r="C16" s="67"/>
      <c r="D16" s="68"/>
      <c r="E16" s="69"/>
      <c r="F16" s="69"/>
      <c r="G16" s="70"/>
      <c r="H16" s="71"/>
      <c r="I16" s="110"/>
      <c r="J16" s="73"/>
      <c r="K16" s="74"/>
      <c r="L16" s="69"/>
      <c r="M16" s="69"/>
      <c r="N16" s="111"/>
      <c r="O16" s="112"/>
      <c r="P16" s="113"/>
      <c r="Q16" s="114"/>
      <c r="R16" s="115"/>
      <c r="S16" s="78"/>
      <c r="T16" s="78"/>
      <c r="U16" s="78"/>
      <c r="V16" s="81" t="str">
        <f ca="1">IFERROR(__xludf.DUMMYFUNCTION("GoogleFinance(B16,""changepct"")/100"),"#N/A")</f>
        <v>#N/A</v>
      </c>
      <c r="W16" s="78" t="e">
        <f>J16/#REF!-1</f>
        <v>#REF!</v>
      </c>
      <c r="X16" s="78" t="e">
        <f>J16/#REF!-1</f>
        <v>#REF!</v>
      </c>
      <c r="Y16" s="78" t="e">
        <f>J16/#REF!-1</f>
        <v>#REF!</v>
      </c>
      <c r="Z16" s="78" t="e">
        <f>J16/#REF!-1</f>
        <v>#REF!</v>
      </c>
      <c r="AA16" s="78" t="e">
        <f>J16/#REF!-1</f>
        <v>#REF!</v>
      </c>
      <c r="AB16" s="116"/>
      <c r="AC16" s="117"/>
      <c r="AD16" s="117"/>
      <c r="AE16" s="117"/>
      <c r="AF16" s="117"/>
      <c r="AG16" s="117"/>
      <c r="AH16" s="117"/>
      <c r="AI16" s="118"/>
      <c r="AJ16" s="71"/>
      <c r="AK16" s="71"/>
      <c r="AL16" s="71"/>
      <c r="AM16" s="70">
        <f ca="1">IFERROR(__xludf.DUMMYFUNCTION("""COMPUTED_VALUE"""),45303.6666666666)</f>
        <v>45303.666666666599</v>
      </c>
      <c r="AN16" s="86">
        <f ca="1">IFERROR(__xludf.DUMMYFUNCTION("""COMPUTED_VALUE"""),13.33)</f>
        <v>13.33</v>
      </c>
      <c r="AO16" s="70">
        <f ca="1">IFERROR(__xludf.DUMMYFUNCTION("""COMPUTED_VALUE"""),45289.6666666666)</f>
        <v>45289.666666666599</v>
      </c>
      <c r="AP16" s="86">
        <f ca="1">IFERROR(__xludf.DUMMYFUNCTION("""COMPUTED_VALUE"""),14.79)</f>
        <v>14.79</v>
      </c>
      <c r="AQ16" s="70"/>
      <c r="AR16" s="86"/>
      <c r="AS16" s="70"/>
      <c r="AT16" s="86"/>
      <c r="AU16" s="70">
        <f ca="1">IFERROR(__xludf.DUMMYFUNCTION("""COMPUTED_VALUE"""),45289.6666666666)</f>
        <v>45289.666666666599</v>
      </c>
      <c r="AV16" s="86">
        <f ca="1">IFERROR(__xludf.DUMMYFUNCTION("""COMPUTED_VALUE"""),14.79)</f>
        <v>14.79</v>
      </c>
      <c r="AW16" s="87"/>
      <c r="AX16" s="87"/>
      <c r="AY16" s="88"/>
      <c r="AZ16" s="88"/>
      <c r="BA16" s="88"/>
      <c r="BB16" s="88"/>
      <c r="BC16" s="88"/>
      <c r="BD16" s="88"/>
      <c r="BE16" s="88"/>
      <c r="BF16" s="87"/>
      <c r="BG16" s="87"/>
      <c r="BH16" s="87"/>
      <c r="BI16" s="87"/>
      <c r="BJ16" s="87"/>
      <c r="BK16" s="87"/>
      <c r="BL16" s="87"/>
      <c r="BM16" s="87"/>
      <c r="BN16" s="87"/>
      <c r="BO16" s="87"/>
      <c r="BP16" s="87"/>
      <c r="BQ16" s="87"/>
      <c r="BR16" s="87"/>
      <c r="BS16" s="88"/>
      <c r="BT16" s="88"/>
      <c r="BU16" s="88"/>
      <c r="BV16" s="88"/>
      <c r="BW16" s="88"/>
      <c r="BX16" s="88"/>
      <c r="BY16" s="88"/>
      <c r="BZ16" s="88"/>
      <c r="CA16" s="88"/>
    </row>
    <row r="17" spans="1:79" ht="48">
      <c r="A17" s="41">
        <f t="shared" si="2"/>
        <v>7</v>
      </c>
      <c r="B17" s="1" t="s">
        <v>99</v>
      </c>
      <c r="C17" s="42" t="str">
        <f ca="1">IFERROR(__xludf.DUMMYFUNCTION("GoogleFinance(B17,""name"")"),"Alibaba Group Holding Ltd - ADR")</f>
        <v>Alibaba Group Holding Ltd - ADR</v>
      </c>
      <c r="D17" s="43">
        <f ca="1">IFERROR(__xludf.DUMMYFUNCTION("GoogleFinance(B17,""marketcap"")/1000000"),176564.420002)</f>
        <v>176564.420002</v>
      </c>
      <c r="E17" s="44" t="s">
        <v>100</v>
      </c>
      <c r="F17" s="44" t="s">
        <v>20</v>
      </c>
      <c r="G17" s="45">
        <v>45267</v>
      </c>
      <c r="H17" s="2">
        <v>0.04</v>
      </c>
      <c r="I17" s="9">
        <f ca="1">N17/$M$42</f>
        <v>4.3554785066868149E-2</v>
      </c>
      <c r="J17" s="46">
        <f ca="1">IFERROR(__xludf.DUMMYFUNCTION("GOOGLEFINANCE(B17)"),69.42)</f>
        <v>69.42</v>
      </c>
      <c r="K17" s="47">
        <v>73.5</v>
      </c>
      <c r="L17" s="48">
        <f>5000/K17</f>
        <v>68.027210884353735</v>
      </c>
      <c r="M17" s="49">
        <v>4000</v>
      </c>
      <c r="N17" s="50">
        <f ca="1">J17*L17</f>
        <v>4722.4489795918362</v>
      </c>
      <c r="O17" s="50">
        <f ca="1">N17-M17</f>
        <v>722.44897959183618</v>
      </c>
      <c r="P17" s="51">
        <f ca="1">J17/K17-1</f>
        <v>-5.5510204081632653E-2</v>
      </c>
      <c r="Q17" s="52">
        <f ca="1">TODAY()-G17</f>
        <v>45</v>
      </c>
      <c r="R17" s="53">
        <v>65</v>
      </c>
      <c r="S17" s="51">
        <f ca="1">R17/J17-1</f>
        <v>-6.3670411985018771E-2</v>
      </c>
      <c r="T17" s="44">
        <v>96</v>
      </c>
      <c r="U17" s="51">
        <f ca="1">T17/J17-1</f>
        <v>0.38288677614520306</v>
      </c>
      <c r="V17" s="8">
        <f ca="1">IFERROR(__xludf.DUMMYFUNCTION("GoogleFinance(B17,""changepct"")/100"),0.0200999999999999)</f>
        <v>2.0099999999999899E-2</v>
      </c>
      <c r="W17" s="51">
        <f ca="1">J17/AN18-1</f>
        <v>-3.3685968819599177E-2</v>
      </c>
      <c r="X17" s="51">
        <f ca="1">J17/AP18-1</f>
        <v>-0.10437362920913429</v>
      </c>
      <c r="Y17" s="51" t="e">
        <f ca="1">J17/AR18-1</f>
        <v>#DIV/0!</v>
      </c>
      <c r="Z17" s="51" t="e">
        <f ca="1">J17/AT18-1</f>
        <v>#DIV/0!</v>
      </c>
      <c r="AA17" s="51">
        <f ca="1">J17/AV18-1</f>
        <v>-0.10437362920913429</v>
      </c>
      <c r="AB17" s="54" t="s">
        <v>72</v>
      </c>
      <c r="AC17" s="55" t="s">
        <v>73</v>
      </c>
      <c r="AD17" s="104" t="s">
        <v>63</v>
      </c>
      <c r="AE17" s="56" t="s">
        <v>85</v>
      </c>
      <c r="AF17" s="56" t="s">
        <v>79</v>
      </c>
      <c r="AG17" s="56" t="s">
        <v>74</v>
      </c>
      <c r="AH17" s="119" t="s">
        <v>101</v>
      </c>
      <c r="AI17" s="119" t="s">
        <v>102</v>
      </c>
      <c r="AJ17" s="2"/>
      <c r="AK17" s="2"/>
      <c r="AL17" s="2"/>
      <c r="AM17" s="2" t="str">
        <f ca="1">IFERROR(__xludf.DUMMYFUNCTION("GoogleFinance(B17,""price"",DATE(2024,1,12))"),"Date")</f>
        <v>Date</v>
      </c>
      <c r="AN17" s="25" t="str">
        <f ca="1">IFERROR(__xludf.DUMMYFUNCTION("""COMPUTED_VALUE"""),"Close")</f>
        <v>Close</v>
      </c>
      <c r="AO17" s="2" t="str">
        <f ca="1">IFERROR(__xludf.DUMMYFUNCTION("GoogleFinance(B17,""price"",DATE(2023,12,29))"),"Date")</f>
        <v>Date</v>
      </c>
      <c r="AP17" s="25" t="str">
        <f ca="1">IFERROR(__xludf.DUMMYFUNCTION("""COMPUTED_VALUE"""),"Close")</f>
        <v>Close</v>
      </c>
      <c r="AQ17" s="2" t="str">
        <f ca="1">IFERROR(__xludf.DUMMYFUNCTION("GoogleFinance(B17,""price"",today()-91)"),"#N/A")</f>
        <v>#N/A</v>
      </c>
      <c r="AR17" s="25"/>
      <c r="AS17" s="2" t="str">
        <f ca="1">IFERROR(__xludf.DUMMYFUNCTION("GoogleFinance(B17,""price"",today()-182)"),"#N/A")</f>
        <v>#N/A</v>
      </c>
      <c r="AT17" s="25"/>
      <c r="AU17" s="2" t="str">
        <f ca="1">IFERROR(__xludf.DUMMYFUNCTION("GoogleFinance(B17,""price"",DATE(2023,12,29))"),"Date")</f>
        <v>Date</v>
      </c>
      <c r="AV17" s="25" t="str">
        <f ca="1">IFERROR(__xludf.DUMMYFUNCTION("""COMPUTED_VALUE"""),"Close")</f>
        <v>Close</v>
      </c>
      <c r="AW17" s="5"/>
      <c r="AX17" s="5"/>
      <c r="BI17" s="5"/>
      <c r="BJ17" s="5"/>
      <c r="BK17" s="5"/>
      <c r="BL17" s="5"/>
      <c r="BM17" s="5"/>
      <c r="BN17" s="5"/>
      <c r="BO17" s="5"/>
      <c r="BP17" s="5"/>
      <c r="BQ17" s="5"/>
      <c r="BR17" s="5"/>
    </row>
    <row r="18" spans="1:79" ht="13.2" hidden="1">
      <c r="A18" s="41" t="e">
        <f>A14+1</f>
        <v>#REF!</v>
      </c>
      <c r="B18" s="120"/>
      <c r="C18" s="121"/>
      <c r="D18" s="121"/>
      <c r="E18" s="120"/>
      <c r="F18" s="120"/>
      <c r="G18" s="122"/>
      <c r="H18" s="123"/>
      <c r="I18" s="124"/>
      <c r="J18" s="120"/>
      <c r="K18" s="125"/>
      <c r="L18" s="120"/>
      <c r="M18" s="120"/>
      <c r="N18" s="120"/>
      <c r="O18" s="126"/>
      <c r="P18" s="123"/>
      <c r="Q18" s="127"/>
      <c r="R18" s="123"/>
      <c r="S18" s="123"/>
      <c r="T18" s="123"/>
      <c r="U18" s="127"/>
      <c r="V18" s="128" t="str">
        <f ca="1">IFERROR(__xludf.DUMMYFUNCTION("GoogleFinance(B18,""changepct"")/100"),"#N/A")</f>
        <v>#N/A</v>
      </c>
      <c r="W18" s="128" t="e">
        <f>J18/#REF!-1</f>
        <v>#REF!</v>
      </c>
      <c r="X18" s="128" t="e">
        <f>J18/#REF!-1</f>
        <v>#REF!</v>
      </c>
      <c r="Y18" s="128" t="e">
        <f>J18/#REF!-1</f>
        <v>#REF!</v>
      </c>
      <c r="Z18" s="128" t="e">
        <f>J18/#REF!-1</f>
        <v>#REF!</v>
      </c>
      <c r="AA18" s="129" t="e">
        <f>J18/#REF!-1</f>
        <v>#REF!</v>
      </c>
      <c r="AB18" s="123"/>
      <c r="AC18" s="123"/>
      <c r="AD18" s="123"/>
      <c r="AE18" s="123"/>
      <c r="AF18" s="123"/>
      <c r="AG18" s="123"/>
      <c r="AH18" s="123"/>
      <c r="AI18" s="123"/>
      <c r="AJ18" s="123"/>
      <c r="AK18" s="123"/>
      <c r="AL18" s="123"/>
      <c r="AM18" s="130">
        <f ca="1">IFERROR(__xludf.DUMMYFUNCTION("""COMPUTED_VALUE"""),45303.6666666666)</f>
        <v>45303.666666666599</v>
      </c>
      <c r="AN18" s="131">
        <f ca="1">IFERROR(__xludf.DUMMYFUNCTION("""COMPUTED_VALUE"""),71.84)</f>
        <v>71.84</v>
      </c>
      <c r="AO18" s="130">
        <f ca="1">IFERROR(__xludf.DUMMYFUNCTION("""COMPUTED_VALUE"""),45289.6666666666)</f>
        <v>45289.666666666599</v>
      </c>
      <c r="AP18" s="131">
        <f ca="1">IFERROR(__xludf.DUMMYFUNCTION("""COMPUTED_VALUE"""),77.51)</f>
        <v>77.510000000000005</v>
      </c>
      <c r="AQ18" s="130"/>
      <c r="AR18" s="131"/>
      <c r="AS18" s="130"/>
      <c r="AT18" s="131"/>
      <c r="AU18" s="130">
        <f ca="1">IFERROR(__xludf.DUMMYFUNCTION("""COMPUTED_VALUE"""),45289.6666666666)</f>
        <v>45289.666666666599</v>
      </c>
      <c r="AV18" s="131">
        <f ca="1">IFERROR(__xludf.DUMMYFUNCTION("""COMPUTED_VALUE"""),77.51)</f>
        <v>77.510000000000005</v>
      </c>
      <c r="AW18" s="120"/>
      <c r="AX18" s="120"/>
      <c r="AY18" s="132"/>
      <c r="AZ18" s="132"/>
      <c r="BA18" s="132"/>
      <c r="BB18" s="132"/>
      <c r="BC18" s="132"/>
      <c r="BD18" s="132"/>
      <c r="BE18" s="132"/>
      <c r="BF18" s="120"/>
      <c r="BG18" s="120"/>
      <c r="BH18" s="120"/>
      <c r="BI18" s="120"/>
      <c r="BJ18" s="120"/>
      <c r="BK18" s="120"/>
      <c r="BL18" s="120"/>
      <c r="BM18" s="120"/>
      <c r="BN18" s="120"/>
      <c r="BO18" s="120"/>
      <c r="BP18" s="120"/>
      <c r="BQ18" s="120"/>
      <c r="BR18" s="120"/>
      <c r="BS18" s="132"/>
      <c r="BT18" s="132"/>
      <c r="BU18" s="132"/>
      <c r="BV18" s="132"/>
      <c r="BW18" s="132"/>
      <c r="BX18" s="132"/>
      <c r="BY18" s="132"/>
      <c r="BZ18" s="132"/>
      <c r="CA18" s="132"/>
    </row>
    <row r="19" spans="1:79" ht="28.8">
      <c r="A19" s="41">
        <f>A17+1</f>
        <v>8</v>
      </c>
      <c r="B19" s="7" t="s">
        <v>103</v>
      </c>
      <c r="C19" s="91" t="str">
        <f ca="1">IFERROR(__xludf.DUMMYFUNCTION("GoogleFinance(B19,""name"")"),"AbbVie Inc")</f>
        <v>AbbVie Inc</v>
      </c>
      <c r="D19" s="92">
        <f ca="1">IFERROR(__xludf.DUMMYFUNCTION("GoogleFinance(B19,""marketcap"")/1000000"),290907.539033)</f>
        <v>290907.53903300001</v>
      </c>
      <c r="E19" s="93" t="s">
        <v>15</v>
      </c>
      <c r="F19" s="93" t="s">
        <v>104</v>
      </c>
      <c r="G19" s="94">
        <v>45184</v>
      </c>
      <c r="H19" s="51">
        <v>0.04</v>
      </c>
      <c r="I19" s="95">
        <f ca="1">N19/$M$42</f>
        <v>2.3361064507002014E-2</v>
      </c>
      <c r="J19" s="96">
        <f ca="1">IFERROR(__xludf.DUMMYFUNCTION("GOOGLEFINANCE(B19)"),164.77)</f>
        <v>164.77</v>
      </c>
      <c r="K19" s="97">
        <v>153</v>
      </c>
      <c r="L19" s="98">
        <f>4800/K19-16</f>
        <v>15.372549019607842</v>
      </c>
      <c r="M19" s="99">
        <f>L19*K19</f>
        <v>2352</v>
      </c>
      <c r="N19" s="100">
        <f ca="1">J19*L19</f>
        <v>2532.9349019607844</v>
      </c>
      <c r="O19" s="100">
        <f ca="1">N19-M19</f>
        <v>180.93490196078437</v>
      </c>
      <c r="P19" s="51">
        <f ca="1">J19/K19-1</f>
        <v>7.6928104575163525E-2</v>
      </c>
      <c r="Q19" s="101">
        <f ca="1">TODAY()-G19</f>
        <v>128</v>
      </c>
      <c r="R19" s="102">
        <v>137</v>
      </c>
      <c r="S19" s="51">
        <f ca="1">R19/J19-1</f>
        <v>-0.16853796200764704</v>
      </c>
      <c r="T19" s="93">
        <v>182</v>
      </c>
      <c r="U19" s="51">
        <f ca="1">T19/J19-1</f>
        <v>0.10457000667597249</v>
      </c>
      <c r="V19" s="63">
        <f ca="1">IFERROR(__xludf.DUMMYFUNCTION("GoogleFinance(B19,""changepct"")/100"),0.009)</f>
        <v>8.9999999999999993E-3</v>
      </c>
      <c r="W19" s="51">
        <f ca="1">J19/AN20-1</f>
        <v>1.4593596059113256E-2</v>
      </c>
      <c r="X19" s="51">
        <f ca="1">J19/AP20-1</f>
        <v>6.323804607343364E-2</v>
      </c>
      <c r="Y19" s="51" t="e">
        <f ca="1">J19/AR20-1</f>
        <v>#DIV/0!</v>
      </c>
      <c r="Z19" s="51" t="e">
        <f ca="1">J19/AT20-1</f>
        <v>#DIV/0!</v>
      </c>
      <c r="AA19" s="51">
        <f ca="1">J19/AV20-1</f>
        <v>6.323804607343364E-2</v>
      </c>
      <c r="AB19" s="103" t="s">
        <v>83</v>
      </c>
      <c r="AC19" s="104" t="s">
        <v>63</v>
      </c>
      <c r="AD19" s="104" t="s">
        <v>63</v>
      </c>
      <c r="AE19" s="105" t="s">
        <v>85</v>
      </c>
      <c r="AF19" s="105" t="s">
        <v>79</v>
      </c>
      <c r="AG19" s="105" t="s">
        <v>74</v>
      </c>
      <c r="AH19" s="106" t="s">
        <v>105</v>
      </c>
      <c r="AI19" s="106" t="s">
        <v>106</v>
      </c>
      <c r="AJ19" s="51"/>
      <c r="AK19" s="51"/>
      <c r="AL19" s="51"/>
      <c r="AM19" s="2" t="str">
        <f ca="1">IFERROR(__xludf.DUMMYFUNCTION("GoogleFinance(B19,""price"",DATE(2024,1,12))"),"Date")</f>
        <v>Date</v>
      </c>
      <c r="AN19" s="109" t="str">
        <f ca="1">IFERROR(__xludf.DUMMYFUNCTION("""COMPUTED_VALUE"""),"Close")</f>
        <v>Close</v>
      </c>
      <c r="AO19" s="51" t="str">
        <f ca="1">IFERROR(__xludf.DUMMYFUNCTION("GoogleFinance(B19,""price"",DATE(2023,12,29))"),"Date")</f>
        <v>Date</v>
      </c>
      <c r="AP19" s="109" t="str">
        <f ca="1">IFERROR(__xludf.DUMMYFUNCTION("""COMPUTED_VALUE"""),"Close")</f>
        <v>Close</v>
      </c>
      <c r="AQ19" s="51" t="str">
        <f ca="1">IFERROR(__xludf.DUMMYFUNCTION("GoogleFinance(B19,""price"",today()-91)"),"#N/A")</f>
        <v>#N/A</v>
      </c>
      <c r="AR19" s="109"/>
      <c r="AS19" s="51" t="str">
        <f ca="1">IFERROR(__xludf.DUMMYFUNCTION("GoogleFinance(B19,""price"",today()-182)"),"#N/A")</f>
        <v>#N/A</v>
      </c>
      <c r="AT19" s="109"/>
      <c r="AU19" s="51" t="str">
        <f ca="1">IFERROR(__xludf.DUMMYFUNCTION("GoogleFinance(B19,""price"",DATE(2023,12,29))"),"Date")</f>
        <v>Date</v>
      </c>
      <c r="AV19" s="109" t="str">
        <f ca="1">IFERROR(__xludf.DUMMYFUNCTION("""COMPUTED_VALUE"""),"Close")</f>
        <v>Close</v>
      </c>
      <c r="AW19" s="107"/>
      <c r="AX19" s="107"/>
      <c r="AY19" s="108"/>
      <c r="AZ19" s="108"/>
      <c r="BA19" s="108"/>
      <c r="BB19" s="108"/>
      <c r="BC19" s="108"/>
      <c r="BD19" s="108"/>
      <c r="BE19" s="108"/>
      <c r="BF19" s="108"/>
      <c r="BG19" s="108"/>
      <c r="BH19" s="108"/>
      <c r="BI19" s="107"/>
      <c r="BJ19" s="107"/>
      <c r="BK19" s="107"/>
      <c r="BL19" s="107"/>
      <c r="BM19" s="107"/>
      <c r="BN19" s="107"/>
      <c r="BO19" s="107"/>
      <c r="BP19" s="107"/>
      <c r="BQ19" s="107"/>
      <c r="BR19" s="107"/>
      <c r="BS19" s="108"/>
      <c r="BT19" s="108"/>
      <c r="BU19" s="108"/>
      <c r="BV19" s="108"/>
      <c r="BW19" s="108"/>
      <c r="BX19" s="108"/>
      <c r="BY19" s="108"/>
      <c r="BZ19" s="108"/>
      <c r="CA19" s="108"/>
    </row>
    <row r="20" spans="1:79" ht="13.2" hidden="1">
      <c r="A20" s="66" t="e">
        <f>#REF!+1</f>
        <v>#REF!</v>
      </c>
      <c r="B20" s="1"/>
      <c r="C20" s="42"/>
      <c r="D20" s="43"/>
      <c r="E20" s="44"/>
      <c r="F20" s="44"/>
      <c r="G20" s="45"/>
      <c r="H20" s="2"/>
      <c r="I20" s="59"/>
      <c r="J20" s="46"/>
      <c r="K20" s="47"/>
      <c r="L20" s="44"/>
      <c r="M20" s="44"/>
      <c r="N20" s="60"/>
      <c r="O20" s="89"/>
      <c r="P20" s="90"/>
      <c r="Q20" s="62"/>
      <c r="R20" s="63"/>
      <c r="S20" s="51"/>
      <c r="T20" s="51"/>
      <c r="U20" s="51"/>
      <c r="V20" s="8" t="str">
        <f ca="1">IFERROR(__xludf.DUMMYFUNCTION("GoogleFinance(B20,""changepct"")/100"),"#N/A")</f>
        <v>#N/A</v>
      </c>
      <c r="W20" s="51" t="e">
        <f>J20/#REF!-1</f>
        <v>#REF!</v>
      </c>
      <c r="X20" s="51" t="e">
        <f>J20/#REF!-1</f>
        <v>#REF!</v>
      </c>
      <c r="Y20" s="51" t="e">
        <f>J20/#REF!-1</f>
        <v>#REF!</v>
      </c>
      <c r="Z20" s="51" t="e">
        <f>J20/#REF!-1</f>
        <v>#REF!</v>
      </c>
      <c r="AA20" s="51" t="e">
        <f>J20/#REF!-1</f>
        <v>#REF!</v>
      </c>
      <c r="AB20" s="12"/>
      <c r="AC20" s="3"/>
      <c r="AD20" s="3"/>
      <c r="AE20" s="3"/>
      <c r="AF20" s="3"/>
      <c r="AG20" s="3"/>
      <c r="AH20" s="3"/>
      <c r="AI20" s="64"/>
      <c r="AJ20" s="2"/>
      <c r="AK20" s="2"/>
      <c r="AL20" s="2"/>
      <c r="AM20" s="45">
        <f ca="1">IFERROR(__xludf.DUMMYFUNCTION("""COMPUTED_VALUE"""),45303.6666666666)</f>
        <v>45303.666666666599</v>
      </c>
      <c r="AN20" s="25">
        <f ca="1">IFERROR(__xludf.DUMMYFUNCTION("""COMPUTED_VALUE"""),162.4)</f>
        <v>162.4</v>
      </c>
      <c r="AO20" s="45">
        <f ca="1">IFERROR(__xludf.DUMMYFUNCTION("""COMPUTED_VALUE"""),45289.6666666666)</f>
        <v>45289.666666666599</v>
      </c>
      <c r="AP20" s="25">
        <f ca="1">IFERROR(__xludf.DUMMYFUNCTION("""COMPUTED_VALUE"""),154.97)</f>
        <v>154.97</v>
      </c>
      <c r="AQ20" s="45"/>
      <c r="AR20" s="25"/>
      <c r="AS20" s="45"/>
      <c r="AT20" s="25"/>
      <c r="AU20" s="45">
        <f ca="1">IFERROR(__xludf.DUMMYFUNCTION("""COMPUTED_VALUE"""),45289.6666666666)</f>
        <v>45289.666666666599</v>
      </c>
      <c r="AV20" s="25">
        <f ca="1">IFERROR(__xludf.DUMMYFUNCTION("""COMPUTED_VALUE"""),154.97)</f>
        <v>154.97</v>
      </c>
      <c r="AW20" s="5"/>
      <c r="AX20" s="5"/>
      <c r="BF20" s="5"/>
      <c r="BG20" s="5"/>
      <c r="BH20" s="5"/>
      <c r="BI20" s="5"/>
      <c r="BJ20" s="5"/>
      <c r="BK20" s="5"/>
      <c r="BL20" s="5"/>
      <c r="BM20" s="5"/>
      <c r="BN20" s="5"/>
      <c r="BO20" s="5"/>
      <c r="BP20" s="5"/>
      <c r="BQ20" s="5"/>
      <c r="BR20" s="5"/>
    </row>
    <row r="21" spans="1:79" ht="38.4">
      <c r="A21" s="41">
        <f>A19+1</f>
        <v>9</v>
      </c>
      <c r="B21" s="7" t="s">
        <v>107</v>
      </c>
      <c r="C21" s="91" t="str">
        <f ca="1">IFERROR(__xludf.DUMMYFUNCTION("GoogleFinance(B21,""name"")"),"Pioneer Natural Resources Co")</f>
        <v>Pioneer Natural Resources Co</v>
      </c>
      <c r="D21" s="92">
        <f ca="1">IFERROR(__xludf.DUMMYFUNCTION("GoogleFinance(B21,""marketcap"")/1000000"),50656.4972)</f>
        <v>50656.497199999998</v>
      </c>
      <c r="E21" s="93" t="s">
        <v>14</v>
      </c>
      <c r="F21" s="93" t="s">
        <v>108</v>
      </c>
      <c r="G21" s="45">
        <v>45093</v>
      </c>
      <c r="H21" s="51">
        <v>0.03</v>
      </c>
      <c r="I21" s="95">
        <f ca="1">N21/$M$42</f>
        <v>3.4276800497618456E-2</v>
      </c>
      <c r="J21" s="96">
        <f ca="1">IFERROR(__xludf.DUMMYFUNCTION("GOOGLEFINANCE(B21)"),216.83)</f>
        <v>216.83</v>
      </c>
      <c r="K21" s="97">
        <v>204.2</v>
      </c>
      <c r="L21" s="98">
        <f>3500/204.2-8+8</f>
        <v>17.140058765915771</v>
      </c>
      <c r="M21" s="99">
        <f>L21*K21</f>
        <v>3500.0000000000005</v>
      </c>
      <c r="N21" s="100">
        <f ca="1">J21*L21</f>
        <v>3716.4789422135168</v>
      </c>
      <c r="O21" s="100">
        <f ca="1">N21-M21</f>
        <v>216.47894221351635</v>
      </c>
      <c r="P21" s="51">
        <f ca="1">J21/K21-1</f>
        <v>6.1851126346718965E-2</v>
      </c>
      <c r="Q21" s="101">
        <f ca="1">TODAY()-G21</f>
        <v>219</v>
      </c>
      <c r="R21" s="102">
        <v>175</v>
      </c>
      <c r="S21" s="51">
        <f ca="1">R21/J21-1</f>
        <v>-0.19291610939445658</v>
      </c>
      <c r="T21" s="93">
        <v>280</v>
      </c>
      <c r="U21" s="51">
        <f ca="1">T21/J21-1</f>
        <v>0.29133422496886952</v>
      </c>
      <c r="V21" s="63">
        <f ca="1">IFERROR(__xludf.DUMMYFUNCTION("GoogleFinance(B21,""changepct"")/100"),0.0009)</f>
        <v>8.9999999999999998E-4</v>
      </c>
      <c r="W21" s="51">
        <f ca="1">J21/AN22-1</f>
        <v>-3.0667441548571595E-2</v>
      </c>
      <c r="X21" s="51">
        <f ca="1">J21/AP22-1</f>
        <v>-3.5796869441479862E-2</v>
      </c>
      <c r="Y21" s="51" t="e">
        <f ca="1">J21/AR22-1</f>
        <v>#DIV/0!</v>
      </c>
      <c r="Z21" s="51" t="e">
        <f ca="1">J21/AT22-1</f>
        <v>#DIV/0!</v>
      </c>
      <c r="AA21" s="51">
        <f ca="1">J21/AV22-1</f>
        <v>-3.5796869441479862E-2</v>
      </c>
      <c r="AB21" s="54" t="s">
        <v>72</v>
      </c>
      <c r="AC21" s="55" t="s">
        <v>73</v>
      </c>
      <c r="AD21" s="104" t="s">
        <v>63</v>
      </c>
      <c r="AE21" s="105" t="s">
        <v>109</v>
      </c>
      <c r="AF21" s="105" t="s">
        <v>79</v>
      </c>
      <c r="AG21" s="105" t="s">
        <v>66</v>
      </c>
      <c r="AH21" s="119" t="s">
        <v>110</v>
      </c>
      <c r="AI21" s="119" t="s">
        <v>111</v>
      </c>
      <c r="AJ21" s="51"/>
      <c r="AK21" s="51"/>
      <c r="AL21" s="51"/>
      <c r="AM21" s="2" t="str">
        <f ca="1">IFERROR(__xludf.DUMMYFUNCTION("GoogleFinance(B21,""price"",DATE(2024,1,12))"),"Date")</f>
        <v>Date</v>
      </c>
      <c r="AN21" s="25" t="str">
        <f ca="1">IFERROR(__xludf.DUMMYFUNCTION("""COMPUTED_VALUE"""),"Close")</f>
        <v>Close</v>
      </c>
      <c r="AO21" s="2" t="str">
        <f ca="1">IFERROR(__xludf.DUMMYFUNCTION("GoogleFinance(B21,""price"",DATE(2023,12,29))"),"Date")</f>
        <v>Date</v>
      </c>
      <c r="AP21" s="25" t="str">
        <f ca="1">IFERROR(__xludf.DUMMYFUNCTION("""COMPUTED_VALUE"""),"Close")</f>
        <v>Close</v>
      </c>
      <c r="AQ21" s="2" t="str">
        <f ca="1">IFERROR(__xludf.DUMMYFUNCTION("GoogleFinance(B21,""price"",today()-91)"),"#N/A")</f>
        <v>#N/A</v>
      </c>
      <c r="AR21" s="25"/>
      <c r="AS21" s="2" t="str">
        <f ca="1">IFERROR(__xludf.DUMMYFUNCTION("GoogleFinance(B21,""price"",today()-182)"),"#N/A")</f>
        <v>#N/A</v>
      </c>
      <c r="AT21" s="25"/>
      <c r="AU21" s="2" t="str">
        <f ca="1">IFERROR(__xludf.DUMMYFUNCTION("GoogleFinance(B21,""price"",DATE(2023,12,29))"),"Date")</f>
        <v>Date</v>
      </c>
      <c r="AV21" s="25" t="str">
        <f ca="1">IFERROR(__xludf.DUMMYFUNCTION("""COMPUTED_VALUE"""),"Close")</f>
        <v>Close</v>
      </c>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8"/>
      <c r="BT21" s="108"/>
      <c r="BU21" s="108"/>
      <c r="BV21" s="108"/>
      <c r="BW21" s="108"/>
      <c r="BX21" s="108"/>
      <c r="BY21" s="108"/>
      <c r="BZ21" s="108"/>
      <c r="CA21" s="108"/>
    </row>
    <row r="22" spans="1:79" ht="13.2" hidden="1">
      <c r="A22" s="41" t="e">
        <f>#REF!+1</f>
        <v>#REF!</v>
      </c>
      <c r="B22" s="7"/>
      <c r="C22" s="91"/>
      <c r="D22" s="92"/>
      <c r="E22" s="93"/>
      <c r="F22" s="93"/>
      <c r="G22" s="45"/>
      <c r="H22" s="51"/>
      <c r="I22" s="133"/>
      <c r="J22" s="96"/>
      <c r="K22" s="97"/>
      <c r="L22" s="93"/>
      <c r="M22" s="93"/>
      <c r="N22" s="134"/>
      <c r="O22" s="135"/>
      <c r="P22" s="61"/>
      <c r="Q22" s="62"/>
      <c r="R22" s="63"/>
      <c r="S22" s="51"/>
      <c r="T22" s="51"/>
      <c r="U22" s="51"/>
      <c r="V22" s="63" t="str">
        <f ca="1">IFERROR(__xludf.DUMMYFUNCTION("GoogleFinance(B22,""changepct"")/100"),"#N/A")</f>
        <v>#N/A</v>
      </c>
      <c r="W22" s="51" t="e">
        <f>J22/#REF!-1</f>
        <v>#REF!</v>
      </c>
      <c r="X22" s="51" t="e">
        <f>J22/#REF!-1</f>
        <v>#REF!</v>
      </c>
      <c r="Y22" s="51" t="e">
        <f>J22/#REF!-1</f>
        <v>#REF!</v>
      </c>
      <c r="Z22" s="51" t="e">
        <f>J22/#REF!-1</f>
        <v>#REF!</v>
      </c>
      <c r="AA22" s="51" t="e">
        <f>J22/#REF!-1</f>
        <v>#REF!</v>
      </c>
      <c r="AB22" s="136"/>
      <c r="AC22" s="137"/>
      <c r="AD22" s="137"/>
      <c r="AE22" s="137"/>
      <c r="AF22" s="137"/>
      <c r="AG22" s="137"/>
      <c r="AH22" s="137"/>
      <c r="AI22" s="138"/>
      <c r="AJ22" s="51"/>
      <c r="AK22" s="51"/>
      <c r="AL22" s="51"/>
      <c r="AM22" s="94">
        <f ca="1">IFERROR(__xludf.DUMMYFUNCTION("""COMPUTED_VALUE"""),45303.6666666666)</f>
        <v>45303.666666666599</v>
      </c>
      <c r="AN22" s="109">
        <f ca="1">IFERROR(__xludf.DUMMYFUNCTION("""COMPUTED_VALUE"""),223.69)</f>
        <v>223.69</v>
      </c>
      <c r="AO22" s="94">
        <f ca="1">IFERROR(__xludf.DUMMYFUNCTION("""COMPUTED_VALUE"""),45289.6666666666)</f>
        <v>45289.666666666599</v>
      </c>
      <c r="AP22" s="109">
        <f ca="1">IFERROR(__xludf.DUMMYFUNCTION("""COMPUTED_VALUE"""),224.88)</f>
        <v>224.88</v>
      </c>
      <c r="AQ22" s="94"/>
      <c r="AR22" s="109"/>
      <c r="AS22" s="94"/>
      <c r="AT22" s="109"/>
      <c r="AU22" s="94">
        <f ca="1">IFERROR(__xludf.DUMMYFUNCTION("""COMPUTED_VALUE"""),45289.6666666666)</f>
        <v>45289.666666666599</v>
      </c>
      <c r="AV22" s="109">
        <f ca="1">IFERROR(__xludf.DUMMYFUNCTION("""COMPUTED_VALUE"""),224.88)</f>
        <v>224.88</v>
      </c>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8"/>
      <c r="BT22" s="108"/>
      <c r="BU22" s="108"/>
      <c r="BV22" s="108"/>
      <c r="BW22" s="108"/>
      <c r="BX22" s="108"/>
      <c r="BY22" s="108"/>
      <c r="BZ22" s="108"/>
      <c r="CA22" s="108"/>
    </row>
    <row r="23" spans="1:79" ht="28.8">
      <c r="A23" s="41">
        <f>A21+1</f>
        <v>10</v>
      </c>
      <c r="B23" s="7" t="s">
        <v>112</v>
      </c>
      <c r="C23" s="91" t="str">
        <f ca="1">IFERROR(__xludf.DUMMYFUNCTION("GoogleFinance(B23,""name"")"),"Occidental Petroleum Corp")</f>
        <v>Occidental Petroleum Corp</v>
      </c>
      <c r="D23" s="92">
        <f ca="1">IFERROR(__xludf.DUMMYFUNCTION("GoogleFinance(B23,""marketcap"")/1000000"),49513.124055)</f>
        <v>49513.124055</v>
      </c>
      <c r="E23" s="93" t="s">
        <v>14</v>
      </c>
      <c r="F23" s="93" t="s">
        <v>108</v>
      </c>
      <c r="G23" s="45">
        <v>45203</v>
      </c>
      <c r="H23" s="51">
        <v>0.02</v>
      </c>
      <c r="I23" s="95">
        <f ca="1">N23/$M$42</f>
        <v>1.7187690723276677E-2</v>
      </c>
      <c r="J23" s="96">
        <f ca="1">IFERROR(__xludf.DUMMYFUNCTION("GOOGLEFINANCE(B23)"),56.42)</f>
        <v>56.42</v>
      </c>
      <c r="K23" s="97">
        <f>(59.9+61.2)/2</f>
        <v>60.55</v>
      </c>
      <c r="L23" s="98">
        <f>2000/K23-16+16</f>
        <v>33.030553261767139</v>
      </c>
      <c r="M23" s="99">
        <f>L23*K23</f>
        <v>2000.0000000000002</v>
      </c>
      <c r="N23" s="100">
        <f ca="1">J23*L23</f>
        <v>1863.5838150289021</v>
      </c>
      <c r="O23" s="100">
        <f ca="1">N23-M23</f>
        <v>-136.41618497109812</v>
      </c>
      <c r="P23" s="51">
        <f ca="1">J23/K23-1</f>
        <v>-6.8208092485549043E-2</v>
      </c>
      <c r="Q23" s="101">
        <f ca="1">TODAY()-G23</f>
        <v>109</v>
      </c>
      <c r="R23" s="102"/>
      <c r="S23" s="51">
        <f ca="1">R23/J23-1</f>
        <v>-1</v>
      </c>
      <c r="T23" s="93"/>
      <c r="U23" s="51">
        <f ca="1">T23/J23-1</f>
        <v>-1</v>
      </c>
      <c r="V23" s="63">
        <f ca="1">IFERROR(__xludf.DUMMYFUNCTION("GoogleFinance(B23,""changepct"")/100"),-0.0009)</f>
        <v>-8.9999999999999998E-4</v>
      </c>
      <c r="W23" s="51">
        <f ca="1">J23/AN24-1</f>
        <v>-2.8246641405442641E-2</v>
      </c>
      <c r="X23" s="51">
        <f ca="1">J23/AP24-1</f>
        <v>-5.5099648300117265E-2</v>
      </c>
      <c r="Y23" s="51" t="e">
        <f ca="1">J23/AR24-1</f>
        <v>#DIV/0!</v>
      </c>
      <c r="Z23" s="51" t="e">
        <f ca="1">J23/AT24-1</f>
        <v>#DIV/0!</v>
      </c>
      <c r="AA23" s="51">
        <f ca="1">J23/AV24-1</f>
        <v>-5.5099648300117265E-2</v>
      </c>
      <c r="AB23" s="54" t="s">
        <v>72</v>
      </c>
      <c r="AC23" s="55" t="s">
        <v>73</v>
      </c>
      <c r="AD23" s="104" t="s">
        <v>63</v>
      </c>
      <c r="AE23" s="105" t="s">
        <v>109</v>
      </c>
      <c r="AF23" s="105" t="s">
        <v>79</v>
      </c>
      <c r="AG23" s="105" t="s">
        <v>66</v>
      </c>
      <c r="AH23" s="119" t="s">
        <v>113</v>
      </c>
      <c r="AI23" s="119" t="s">
        <v>114</v>
      </c>
      <c r="AJ23" s="51"/>
      <c r="AK23" s="51"/>
      <c r="AL23" s="51"/>
      <c r="AM23" s="2" t="str">
        <f ca="1">IFERROR(__xludf.DUMMYFUNCTION("GoogleFinance(B23,""price"",DATE(2024,1,12))"),"Date")</f>
        <v>Date</v>
      </c>
      <c r="AN23" s="25" t="str">
        <f ca="1">IFERROR(__xludf.DUMMYFUNCTION("""COMPUTED_VALUE"""),"Close")</f>
        <v>Close</v>
      </c>
      <c r="AO23" s="2" t="str">
        <f ca="1">IFERROR(__xludf.DUMMYFUNCTION("GoogleFinance(B23,""price"",DATE(2023,12,29))"),"Date")</f>
        <v>Date</v>
      </c>
      <c r="AP23" s="25" t="str">
        <f ca="1">IFERROR(__xludf.DUMMYFUNCTION("""COMPUTED_VALUE"""),"Close")</f>
        <v>Close</v>
      </c>
      <c r="AQ23" s="2" t="str">
        <f ca="1">IFERROR(__xludf.DUMMYFUNCTION("GoogleFinance(B23,""price"",today()-91)"),"#N/A")</f>
        <v>#N/A</v>
      </c>
      <c r="AR23" s="25"/>
      <c r="AS23" s="2" t="str">
        <f ca="1">IFERROR(__xludf.DUMMYFUNCTION("GoogleFinance(B23,""price"",today()-182)"),"#N/A")</f>
        <v>#N/A</v>
      </c>
      <c r="AT23" s="25"/>
      <c r="AU23" s="2" t="str">
        <f ca="1">IFERROR(__xludf.DUMMYFUNCTION("GoogleFinance(B23,""price"",DATE(2023,12,29))"),"Date")</f>
        <v>Date</v>
      </c>
      <c r="AV23" s="25" t="str">
        <f ca="1">IFERROR(__xludf.DUMMYFUNCTION("""COMPUTED_VALUE"""),"Close")</f>
        <v>Close</v>
      </c>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8"/>
      <c r="BT23" s="108"/>
      <c r="BU23" s="108"/>
      <c r="BV23" s="108"/>
      <c r="BW23" s="108"/>
      <c r="BX23" s="108"/>
      <c r="BY23" s="108"/>
      <c r="BZ23" s="108"/>
      <c r="CA23" s="108"/>
    </row>
    <row r="24" spans="1:79" ht="13.2" hidden="1">
      <c r="A24" s="41" t="e">
        <f>#REF!+1</f>
        <v>#REF!</v>
      </c>
      <c r="B24" s="7"/>
      <c r="C24" s="91"/>
      <c r="D24" s="92"/>
      <c r="E24" s="93"/>
      <c r="F24" s="93"/>
      <c r="G24" s="45"/>
      <c r="H24" s="51"/>
      <c r="I24" s="133"/>
      <c r="J24" s="96"/>
      <c r="K24" s="97"/>
      <c r="L24" s="93"/>
      <c r="M24" s="93"/>
      <c r="N24" s="134"/>
      <c r="O24" s="135"/>
      <c r="P24" s="61"/>
      <c r="Q24" s="62"/>
      <c r="R24" s="63"/>
      <c r="S24" s="51"/>
      <c r="T24" s="51"/>
      <c r="U24" s="51"/>
      <c r="V24" s="63" t="str">
        <f ca="1">IFERROR(__xludf.DUMMYFUNCTION("GoogleFinance(B24,""changepct"")/100"),"#N/A")</f>
        <v>#N/A</v>
      </c>
      <c r="W24" s="51" t="e">
        <f>J24/#REF!-1</f>
        <v>#REF!</v>
      </c>
      <c r="X24" s="51" t="e">
        <f>J24/#REF!-1</f>
        <v>#REF!</v>
      </c>
      <c r="Y24" s="51" t="e">
        <f>J24/#REF!-1</f>
        <v>#REF!</v>
      </c>
      <c r="Z24" s="51" t="e">
        <f>J24/#REF!-1</f>
        <v>#REF!</v>
      </c>
      <c r="AA24" s="51" t="e">
        <f>J24/#REF!-1</f>
        <v>#REF!</v>
      </c>
      <c r="AB24" s="136"/>
      <c r="AC24" s="137"/>
      <c r="AD24" s="137"/>
      <c r="AE24" s="137"/>
      <c r="AF24" s="137"/>
      <c r="AG24" s="137"/>
      <c r="AH24" s="137"/>
      <c r="AI24" s="138"/>
      <c r="AJ24" s="51"/>
      <c r="AK24" s="51"/>
      <c r="AL24" s="51"/>
      <c r="AM24" s="94">
        <f ca="1">IFERROR(__xludf.DUMMYFUNCTION("""COMPUTED_VALUE"""),45303.6666666666)</f>
        <v>45303.666666666599</v>
      </c>
      <c r="AN24" s="109">
        <f ca="1">IFERROR(__xludf.DUMMYFUNCTION("""COMPUTED_VALUE"""),58.06)</f>
        <v>58.06</v>
      </c>
      <c r="AO24" s="94">
        <f ca="1">IFERROR(__xludf.DUMMYFUNCTION("""COMPUTED_VALUE"""),45289.6666666666)</f>
        <v>45289.666666666599</v>
      </c>
      <c r="AP24" s="109">
        <f ca="1">IFERROR(__xludf.DUMMYFUNCTION("""COMPUTED_VALUE"""),59.71)</f>
        <v>59.71</v>
      </c>
      <c r="AQ24" s="94"/>
      <c r="AR24" s="109"/>
      <c r="AS24" s="94"/>
      <c r="AT24" s="109"/>
      <c r="AU24" s="94">
        <f ca="1">IFERROR(__xludf.DUMMYFUNCTION("""COMPUTED_VALUE"""),45289.6666666666)</f>
        <v>45289.666666666599</v>
      </c>
      <c r="AV24" s="109">
        <f ca="1">IFERROR(__xludf.DUMMYFUNCTION("""COMPUTED_VALUE"""),59.71)</f>
        <v>59.71</v>
      </c>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8"/>
      <c r="BT24" s="108"/>
      <c r="BU24" s="108"/>
      <c r="BV24" s="108"/>
      <c r="BW24" s="108"/>
      <c r="BX24" s="108"/>
      <c r="BY24" s="108"/>
      <c r="BZ24" s="108"/>
      <c r="CA24" s="108"/>
    </row>
    <row r="25" spans="1:79" ht="38.4">
      <c r="A25" s="41">
        <f>A23+1</f>
        <v>11</v>
      </c>
      <c r="B25" s="7" t="s">
        <v>115</v>
      </c>
      <c r="C25" s="91" t="str">
        <f ca="1">IFERROR(__xludf.DUMMYFUNCTION("GoogleFinance(B25,""name"")"),"BP plc")</f>
        <v>BP plc</v>
      </c>
      <c r="D25" s="92">
        <f ca="1">IFERROR(__xludf.DUMMYFUNCTION("GoogleFinance(B25,""marketcap"")/1000000"),97201.523068)</f>
        <v>97201.523067999995</v>
      </c>
      <c r="E25" s="93" t="s">
        <v>14</v>
      </c>
      <c r="F25" s="93" t="s">
        <v>116</v>
      </c>
      <c r="G25" s="45">
        <v>45203</v>
      </c>
      <c r="H25" s="51">
        <v>0.02</v>
      </c>
      <c r="I25" s="95">
        <f ca="1">N25/$M$42</f>
        <v>3.4916783743094953E-2</v>
      </c>
      <c r="J25" s="96">
        <f ca="1">IFERROR(__xludf.DUMMYFUNCTION("GOOGLEFINANCE(B25)"),33.85)</f>
        <v>33.85</v>
      </c>
      <c r="K25" s="97">
        <f>(36.4+35.23)/2</f>
        <v>35.814999999999998</v>
      </c>
      <c r="L25" s="98">
        <f>2000/K25-27+27 +56</f>
        <v>111.84252408208852</v>
      </c>
      <c r="M25" s="99">
        <f>L25*K25</f>
        <v>4005.64</v>
      </c>
      <c r="N25" s="100">
        <f ca="1">J25*L25</f>
        <v>3785.8694401786965</v>
      </c>
      <c r="O25" s="100">
        <f ca="1">N25-M25</f>
        <v>-219.77055982130332</v>
      </c>
      <c r="P25" s="51">
        <f ca="1">J25/K25-1</f>
        <v>-5.4865279910651821E-2</v>
      </c>
      <c r="Q25" s="101">
        <f ca="1">TODAY()-G25</f>
        <v>109</v>
      </c>
      <c r="R25" s="102"/>
      <c r="S25" s="51">
        <f ca="1">R25/J25-1</f>
        <v>-1</v>
      </c>
      <c r="T25" s="93"/>
      <c r="U25" s="51">
        <f ca="1">T25/J25-1</f>
        <v>-1</v>
      </c>
      <c r="V25" s="63">
        <f ca="1">IFERROR(__xludf.DUMMYFUNCTION("GoogleFinance(B25,""changepct"")/100"),-0.0053)</f>
        <v>-5.3E-3</v>
      </c>
      <c r="W25" s="51">
        <f ca="1">J25/AN26-1</f>
        <v>-2.8973034997131331E-2</v>
      </c>
      <c r="X25" s="51">
        <f ca="1">J25/AP26-1</f>
        <v>-4.3785310734463234E-2</v>
      </c>
      <c r="Y25" s="51" t="e">
        <f ca="1">J25/AR26-1</f>
        <v>#DIV/0!</v>
      </c>
      <c r="Z25" s="51" t="e">
        <f ca="1">J25/AT26-1</f>
        <v>#DIV/0!</v>
      </c>
      <c r="AA25" s="51">
        <f ca="1">J25/AV26-1</f>
        <v>-4.3785310734463234E-2</v>
      </c>
      <c r="AB25" s="54" t="s">
        <v>72</v>
      </c>
      <c r="AC25" s="55" t="s">
        <v>73</v>
      </c>
      <c r="AD25" s="104" t="s">
        <v>63</v>
      </c>
      <c r="AE25" s="105" t="s">
        <v>109</v>
      </c>
      <c r="AF25" s="105" t="s">
        <v>79</v>
      </c>
      <c r="AG25" s="105" t="s">
        <v>66</v>
      </c>
      <c r="AH25" s="119" t="s">
        <v>117</v>
      </c>
      <c r="AI25" s="119" t="s">
        <v>118</v>
      </c>
      <c r="AJ25" s="51"/>
      <c r="AK25" s="51"/>
      <c r="AL25" s="51"/>
      <c r="AM25" s="2" t="str">
        <f ca="1">IFERROR(__xludf.DUMMYFUNCTION("GoogleFinance(B25,""price"",DATE(2024,1,12))"),"Date")</f>
        <v>Date</v>
      </c>
      <c r="AN25" s="25" t="str">
        <f ca="1">IFERROR(__xludf.DUMMYFUNCTION("""COMPUTED_VALUE"""),"Close")</f>
        <v>Close</v>
      </c>
      <c r="AO25" s="2" t="str">
        <f ca="1">IFERROR(__xludf.DUMMYFUNCTION("GoogleFinance(B25,""price"",DATE(2023,12,29))"),"Date")</f>
        <v>Date</v>
      </c>
      <c r="AP25" s="25" t="str">
        <f ca="1">IFERROR(__xludf.DUMMYFUNCTION("""COMPUTED_VALUE"""),"Close")</f>
        <v>Close</v>
      </c>
      <c r="AQ25" s="2" t="str">
        <f ca="1">IFERROR(__xludf.DUMMYFUNCTION("GoogleFinance(B25,""price"",today()-91)"),"#N/A")</f>
        <v>#N/A</v>
      </c>
      <c r="AR25" s="25"/>
      <c r="AS25" s="2" t="str">
        <f ca="1">IFERROR(__xludf.DUMMYFUNCTION("GoogleFinance(B25,""price"",today()-182)"),"#N/A")</f>
        <v>#N/A</v>
      </c>
      <c r="AT25" s="25"/>
      <c r="AU25" s="2" t="str">
        <f ca="1">IFERROR(__xludf.DUMMYFUNCTION("GoogleFinance(B25,""price"",DATE(2023,12,29))"),"Date")</f>
        <v>Date</v>
      </c>
      <c r="AV25" s="25" t="str">
        <f ca="1">IFERROR(__xludf.DUMMYFUNCTION("""COMPUTED_VALUE"""),"Close")</f>
        <v>Close</v>
      </c>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8"/>
      <c r="BT25" s="108"/>
      <c r="BU25" s="108"/>
      <c r="BV25" s="108"/>
      <c r="BW25" s="108"/>
      <c r="BX25" s="108"/>
      <c r="BY25" s="108"/>
      <c r="BZ25" s="108"/>
      <c r="CA25" s="108"/>
    </row>
    <row r="26" spans="1:79" ht="13.2" hidden="1">
      <c r="A26" s="41" t="e">
        <f>#REF!+1</f>
        <v>#REF!</v>
      </c>
      <c r="B26" s="7"/>
      <c r="C26" s="91"/>
      <c r="D26" s="92"/>
      <c r="E26" s="93"/>
      <c r="F26" s="93"/>
      <c r="G26" s="45"/>
      <c r="H26" s="51"/>
      <c r="I26" s="133"/>
      <c r="J26" s="96"/>
      <c r="K26" s="97"/>
      <c r="L26" s="93"/>
      <c r="M26" s="93"/>
      <c r="N26" s="134"/>
      <c r="O26" s="135"/>
      <c r="P26" s="61"/>
      <c r="Q26" s="62"/>
      <c r="R26" s="63"/>
      <c r="S26" s="51"/>
      <c r="T26" s="51"/>
      <c r="U26" s="51"/>
      <c r="V26" s="63" t="str">
        <f ca="1">IFERROR(__xludf.DUMMYFUNCTION("GoogleFinance(B26,""changepct"")/100"),"#N/A")</f>
        <v>#N/A</v>
      </c>
      <c r="W26" s="51" t="e">
        <f>J26/#REF!-1</f>
        <v>#REF!</v>
      </c>
      <c r="X26" s="51" t="e">
        <f>J26/#REF!-1</f>
        <v>#REF!</v>
      </c>
      <c r="Y26" s="51" t="e">
        <f>J26/#REF!-1</f>
        <v>#REF!</v>
      </c>
      <c r="Z26" s="51" t="e">
        <f>J26/#REF!-1</f>
        <v>#REF!</v>
      </c>
      <c r="AA26" s="51" t="e">
        <f>J26/#REF!-1</f>
        <v>#REF!</v>
      </c>
      <c r="AB26" s="136"/>
      <c r="AC26" s="137"/>
      <c r="AD26" s="137"/>
      <c r="AE26" s="137"/>
      <c r="AF26" s="137"/>
      <c r="AG26" s="137"/>
      <c r="AH26" s="137"/>
      <c r="AI26" s="138"/>
      <c r="AJ26" s="51"/>
      <c r="AK26" s="51"/>
      <c r="AL26" s="51"/>
      <c r="AM26" s="94">
        <f ca="1">IFERROR(__xludf.DUMMYFUNCTION("""COMPUTED_VALUE"""),45303.6666666666)</f>
        <v>45303.666666666599</v>
      </c>
      <c r="AN26" s="109">
        <f ca="1">IFERROR(__xludf.DUMMYFUNCTION("""COMPUTED_VALUE"""),34.86)</f>
        <v>34.86</v>
      </c>
      <c r="AO26" s="94">
        <f ca="1">IFERROR(__xludf.DUMMYFUNCTION("""COMPUTED_VALUE"""),45289.6666666666)</f>
        <v>45289.666666666599</v>
      </c>
      <c r="AP26" s="109">
        <f ca="1">IFERROR(__xludf.DUMMYFUNCTION("""COMPUTED_VALUE"""),35.4)</f>
        <v>35.4</v>
      </c>
      <c r="AQ26" s="94"/>
      <c r="AR26" s="109"/>
      <c r="AS26" s="94"/>
      <c r="AT26" s="109"/>
      <c r="AU26" s="94">
        <f ca="1">IFERROR(__xludf.DUMMYFUNCTION("""COMPUTED_VALUE"""),45289.6666666666)</f>
        <v>45289.666666666599</v>
      </c>
      <c r="AV26" s="109">
        <f ca="1">IFERROR(__xludf.DUMMYFUNCTION("""COMPUTED_VALUE"""),35.4)</f>
        <v>35.4</v>
      </c>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8"/>
      <c r="BT26" s="108"/>
      <c r="BU26" s="108"/>
      <c r="BV26" s="108"/>
      <c r="BW26" s="108"/>
      <c r="BX26" s="108"/>
      <c r="BY26" s="108"/>
      <c r="BZ26" s="108"/>
      <c r="CA26" s="108"/>
    </row>
    <row r="27" spans="1:79" ht="38.4">
      <c r="A27" s="41">
        <f t="shared" ref="A27:A28" si="3">A25+1</f>
        <v>12</v>
      </c>
      <c r="B27" s="7" t="s">
        <v>119</v>
      </c>
      <c r="C27" s="91" t="str">
        <f ca="1">IFERROR(__xludf.DUMMYFUNCTION("GoogleFinance(B27,""name"")"),"Schlumberger NV")</f>
        <v>Schlumberger NV</v>
      </c>
      <c r="D27" s="92">
        <f ca="1">IFERROR(__xludf.DUMMYFUNCTION("GoogleFinance(B27,""marketcap"")/1000000"),70908.654248)</f>
        <v>70908.654248000006</v>
      </c>
      <c r="E27" s="93" t="s">
        <v>14</v>
      </c>
      <c r="F27" s="93" t="s">
        <v>120</v>
      </c>
      <c r="G27" s="45">
        <v>45203</v>
      </c>
      <c r="H27" s="51">
        <v>0.01</v>
      </c>
      <c r="I27" s="95">
        <f ca="1">N27/$M$42</f>
        <v>8.1174807834249307E-3</v>
      </c>
      <c r="J27" s="96">
        <f ca="1">IFERROR(__xludf.DUMMYFUNCTION("GOOGLEFINANCE(B27)"),49.64)</f>
        <v>49.64</v>
      </c>
      <c r="K27" s="97">
        <v>56.4</v>
      </c>
      <c r="L27" s="98">
        <f>1000/K27-9+9</f>
        <v>17.730496453900709</v>
      </c>
      <c r="M27" s="99">
        <f>L27*K27</f>
        <v>1000</v>
      </c>
      <c r="N27" s="100">
        <f ca="1">J27*L27</f>
        <v>880.14184397163126</v>
      </c>
      <c r="O27" s="100">
        <f ca="1">N27-M27</f>
        <v>-119.85815602836874</v>
      </c>
      <c r="P27" s="51">
        <f ca="1">J27/K27-1</f>
        <v>-0.1198581560283688</v>
      </c>
      <c r="Q27" s="101">
        <f ca="1">TODAY()-G27</f>
        <v>109</v>
      </c>
      <c r="R27" s="102"/>
      <c r="S27" s="51">
        <f ca="1">R27/J27-1</f>
        <v>-1</v>
      </c>
      <c r="T27" s="93"/>
      <c r="U27" s="51">
        <f ca="1">T27/J27-1</f>
        <v>-1</v>
      </c>
      <c r="V27" s="63">
        <f ca="1">IFERROR(__xludf.DUMMYFUNCTION("GoogleFinance(B27,""changepct"")/100"),0.0222)</f>
        <v>2.2200000000000001E-2</v>
      </c>
      <c r="W27" s="51">
        <f ca="1">J27/AN28-1</f>
        <v>-6.2062062062062662E-3</v>
      </c>
      <c r="X27" s="51">
        <f ca="1">J27/AP28-1</f>
        <v>-4.6118370484242832E-2</v>
      </c>
      <c r="Y27" s="51" t="e">
        <f ca="1">J27/AR28-1</f>
        <v>#DIV/0!</v>
      </c>
      <c r="Z27" s="51" t="e">
        <f ca="1">J27/AT28-1</f>
        <v>#DIV/0!</v>
      </c>
      <c r="AA27" s="51">
        <f ca="1">J27/AV28-1</f>
        <v>-4.6118370484242832E-2</v>
      </c>
      <c r="AB27" s="54" t="s">
        <v>72</v>
      </c>
      <c r="AC27" s="55" t="s">
        <v>73</v>
      </c>
      <c r="AD27" s="104" t="s">
        <v>63</v>
      </c>
      <c r="AE27" s="105" t="s">
        <v>109</v>
      </c>
      <c r="AF27" s="105" t="s">
        <v>79</v>
      </c>
      <c r="AG27" s="105" t="s">
        <v>66</v>
      </c>
      <c r="AH27" s="119" t="s">
        <v>121</v>
      </c>
      <c r="AI27" s="119" t="s">
        <v>122</v>
      </c>
      <c r="AJ27" s="51"/>
      <c r="AK27" s="51"/>
      <c r="AL27" s="51"/>
      <c r="AM27" s="2" t="str">
        <f ca="1">IFERROR(__xludf.DUMMYFUNCTION("GoogleFinance(B27,""price"",DATE(2024,1,12))"),"Date")</f>
        <v>Date</v>
      </c>
      <c r="AN27" s="25" t="str">
        <f ca="1">IFERROR(__xludf.DUMMYFUNCTION("""COMPUTED_VALUE"""),"Close")</f>
        <v>Close</v>
      </c>
      <c r="AO27" s="2" t="str">
        <f ca="1">IFERROR(__xludf.DUMMYFUNCTION("GoogleFinance(B27,""price"",DATE(2023,12,29))"),"Date")</f>
        <v>Date</v>
      </c>
      <c r="AP27" s="25" t="str">
        <f ca="1">IFERROR(__xludf.DUMMYFUNCTION("""COMPUTED_VALUE"""),"Close")</f>
        <v>Close</v>
      </c>
      <c r="AQ27" s="2" t="str">
        <f ca="1">IFERROR(__xludf.DUMMYFUNCTION("GoogleFinance(B27,""price"",today()-91)"),"#N/A")</f>
        <v>#N/A</v>
      </c>
      <c r="AR27" s="25"/>
      <c r="AS27" s="2" t="str">
        <f ca="1">IFERROR(__xludf.DUMMYFUNCTION("GoogleFinance(B27,""price"",today()-182)"),"#N/A")</f>
        <v>#N/A</v>
      </c>
      <c r="AT27" s="25"/>
      <c r="AU27" s="2" t="str">
        <f ca="1">IFERROR(__xludf.DUMMYFUNCTION("GoogleFinance(B27,""price"",DATE(2023,12,29))"),"Date")</f>
        <v>Date</v>
      </c>
      <c r="AV27" s="25" t="str">
        <f ca="1">IFERROR(__xludf.DUMMYFUNCTION("""COMPUTED_VALUE"""),"Close")</f>
        <v>Close</v>
      </c>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8"/>
      <c r="BT27" s="108"/>
      <c r="BU27" s="108"/>
      <c r="BV27" s="108"/>
      <c r="BW27" s="108"/>
      <c r="BX27" s="108"/>
      <c r="BY27" s="108"/>
      <c r="BZ27" s="108"/>
      <c r="CA27" s="108"/>
    </row>
    <row r="28" spans="1:79" ht="13.2" hidden="1">
      <c r="A28" s="41" t="e">
        <f t="shared" si="3"/>
        <v>#REF!</v>
      </c>
      <c r="B28" s="24"/>
      <c r="C28" s="67"/>
      <c r="D28" s="68"/>
      <c r="E28" s="69"/>
      <c r="F28" s="69"/>
      <c r="G28" s="45"/>
      <c r="H28" s="71"/>
      <c r="I28" s="110"/>
      <c r="J28" s="73"/>
      <c r="K28" s="74"/>
      <c r="L28" s="69"/>
      <c r="M28" s="69"/>
      <c r="N28" s="111"/>
      <c r="O28" s="112"/>
      <c r="P28" s="113"/>
      <c r="Q28" s="114"/>
      <c r="R28" s="115"/>
      <c r="S28" s="78"/>
      <c r="T28" s="78"/>
      <c r="U28" s="51"/>
      <c r="V28" s="81" t="str">
        <f ca="1">IFERROR(__xludf.DUMMYFUNCTION("GoogleFinance(B28,""changepct"")/100"),"#N/A")</f>
        <v>#N/A</v>
      </c>
      <c r="W28" s="78" t="e">
        <f>J28/#REF!-1</f>
        <v>#REF!</v>
      </c>
      <c r="X28" s="78" t="e">
        <f>J28/#REF!-1</f>
        <v>#REF!</v>
      </c>
      <c r="Y28" s="78" t="e">
        <f>J28/#REF!-1</f>
        <v>#REF!</v>
      </c>
      <c r="Z28" s="78" t="e">
        <f>J28/#REF!-1</f>
        <v>#REF!</v>
      </c>
      <c r="AA28" s="78" t="e">
        <f>J28/#REF!-1</f>
        <v>#REF!</v>
      </c>
      <c r="AB28" s="116"/>
      <c r="AC28" s="117"/>
      <c r="AD28" s="117"/>
      <c r="AE28" s="117"/>
      <c r="AF28" s="117"/>
      <c r="AG28" s="117"/>
      <c r="AH28" s="117"/>
      <c r="AI28" s="118"/>
      <c r="AJ28" s="71"/>
      <c r="AK28" s="71"/>
      <c r="AL28" s="71"/>
      <c r="AM28" s="70">
        <f ca="1">IFERROR(__xludf.DUMMYFUNCTION("""COMPUTED_VALUE"""),45303.6666666666)</f>
        <v>45303.666666666599</v>
      </c>
      <c r="AN28" s="86">
        <f ca="1">IFERROR(__xludf.DUMMYFUNCTION("""COMPUTED_VALUE"""),49.95)</f>
        <v>49.95</v>
      </c>
      <c r="AO28" s="70">
        <f ca="1">IFERROR(__xludf.DUMMYFUNCTION("""COMPUTED_VALUE"""),45289.6666666666)</f>
        <v>45289.666666666599</v>
      </c>
      <c r="AP28" s="86">
        <f ca="1">IFERROR(__xludf.DUMMYFUNCTION("""COMPUTED_VALUE"""),52.04)</f>
        <v>52.04</v>
      </c>
      <c r="AQ28" s="70"/>
      <c r="AR28" s="86"/>
      <c r="AS28" s="70"/>
      <c r="AT28" s="86"/>
      <c r="AU28" s="70">
        <f ca="1">IFERROR(__xludf.DUMMYFUNCTION("""COMPUTED_VALUE"""),45289.6666666666)</f>
        <v>45289.666666666599</v>
      </c>
      <c r="AV28" s="86">
        <f ca="1">IFERROR(__xludf.DUMMYFUNCTION("""COMPUTED_VALUE"""),52.04)</f>
        <v>52.04</v>
      </c>
      <c r="AW28" s="87"/>
      <c r="AX28" s="87"/>
      <c r="AY28" s="87"/>
      <c r="AZ28" s="87"/>
      <c r="BA28" s="87"/>
      <c r="BB28" s="87"/>
      <c r="BC28" s="87"/>
      <c r="BD28" s="87"/>
      <c r="BE28" s="87"/>
      <c r="BF28" s="87"/>
      <c r="BG28" s="87"/>
      <c r="BH28" s="87"/>
      <c r="BI28" s="87"/>
      <c r="BJ28" s="87"/>
      <c r="BK28" s="87"/>
      <c r="BL28" s="87"/>
      <c r="BM28" s="87"/>
      <c r="BN28" s="87"/>
      <c r="BO28" s="87"/>
      <c r="BP28" s="87"/>
      <c r="BQ28" s="87"/>
      <c r="BR28" s="87"/>
      <c r="BS28" s="88"/>
      <c r="BT28" s="88"/>
      <c r="BU28" s="88"/>
      <c r="BV28" s="88"/>
      <c r="BW28" s="88"/>
      <c r="BX28" s="88"/>
      <c r="BY28" s="88"/>
      <c r="BZ28" s="88"/>
      <c r="CA28" s="88"/>
    </row>
    <row r="29" spans="1:79" ht="13.2">
      <c r="A29" s="41">
        <f t="shared" ref="A29:A31" si="4">A27+1</f>
        <v>13</v>
      </c>
      <c r="B29" s="7" t="s">
        <v>123</v>
      </c>
      <c r="C29" s="91" t="str">
        <f ca="1">IFERROR(__xludf.DUMMYFUNCTION("GoogleFinance(B29,""name"")"),"First Trust NASDAQ Oil &amp; Gas ETF")</f>
        <v>First Trust NASDAQ Oil &amp; Gas ETF</v>
      </c>
      <c r="D29" s="92" t="str">
        <f ca="1">IFERROR(__xludf.DUMMYFUNCTION("GoogleFinance(B29,""marketcap"")/1000000"),"#N/A")</f>
        <v>#N/A</v>
      </c>
      <c r="E29" s="93" t="s">
        <v>14</v>
      </c>
      <c r="F29" s="93" t="s">
        <v>116</v>
      </c>
      <c r="G29" s="45">
        <v>45254</v>
      </c>
      <c r="H29" s="51">
        <v>7.0000000000000007E-2</v>
      </c>
      <c r="I29" s="95">
        <f ca="1">N29/$M$42</f>
        <v>6.937186278953425E-2</v>
      </c>
      <c r="J29" s="96">
        <f ca="1">IFERROR(__xludf.DUMMYFUNCTION("GOOGLEFINANCE(B29)"),26.89)</f>
        <v>26.89</v>
      </c>
      <c r="K29" s="97">
        <v>28.6</v>
      </c>
      <c r="L29" s="98">
        <f>8000/K29</f>
        <v>279.72027972027973</v>
      </c>
      <c r="M29" s="99">
        <f>L29*K29</f>
        <v>8000.0000000000009</v>
      </c>
      <c r="N29" s="100">
        <f ca="1">J29*L29</f>
        <v>7521.6783216783224</v>
      </c>
      <c r="O29" s="100">
        <f ca="1">N29-M29</f>
        <v>-478.32167832167852</v>
      </c>
      <c r="P29" s="51">
        <f ca="1">J29/K29-1</f>
        <v>-5.979020979020977E-2</v>
      </c>
      <c r="Q29" s="101">
        <f ca="1">TODAY()-G29</f>
        <v>58</v>
      </c>
      <c r="R29" s="102">
        <v>27</v>
      </c>
      <c r="S29" s="51">
        <f ca="1">R29/J29-1</f>
        <v>4.0907400520640014E-3</v>
      </c>
      <c r="T29" s="93">
        <v>35</v>
      </c>
      <c r="U29" s="51">
        <f ca="1">T29/J29-1</f>
        <v>0.3015991074748976</v>
      </c>
      <c r="V29" s="63">
        <f ca="1">IFERROR(__xludf.DUMMYFUNCTION("GoogleFinance(B29,""changepct"")/100"),0.0004)</f>
        <v>4.0000000000000002E-4</v>
      </c>
      <c r="W29" s="51">
        <f ca="1">J29/AN30-1</f>
        <v>-3.4123563218390829E-2</v>
      </c>
      <c r="X29" s="51">
        <f ca="1">J29/AP30-1</f>
        <v>-4.9823321554770317E-2</v>
      </c>
      <c r="Y29" s="51" t="e">
        <f ca="1">J29/AR30-1</f>
        <v>#DIV/0!</v>
      </c>
      <c r="Z29" s="51" t="e">
        <f ca="1">J29/AT30-1</f>
        <v>#DIV/0!</v>
      </c>
      <c r="AA29" s="51">
        <f ca="1">J29/AV30-1</f>
        <v>-4.9823321554770317E-2</v>
      </c>
      <c r="AB29" s="54" t="s">
        <v>72</v>
      </c>
      <c r="AC29" s="55" t="s">
        <v>73</v>
      </c>
      <c r="AD29" s="104" t="s">
        <v>63</v>
      </c>
      <c r="AE29" s="105" t="s">
        <v>109</v>
      </c>
      <c r="AF29" s="105" t="s">
        <v>79</v>
      </c>
      <c r="AG29" s="105" t="s">
        <v>66</v>
      </c>
      <c r="AH29" s="119" t="s">
        <v>124</v>
      </c>
      <c r="AI29" s="119" t="s">
        <v>122</v>
      </c>
      <c r="AJ29" s="51"/>
      <c r="AK29" s="51"/>
      <c r="AL29" s="51"/>
      <c r="AM29" s="2" t="str">
        <f ca="1">IFERROR(__xludf.DUMMYFUNCTION("GoogleFinance(B29,""price"",DATE(2024,1,12))"),"Date")</f>
        <v>Date</v>
      </c>
      <c r="AN29" s="25" t="str">
        <f ca="1">IFERROR(__xludf.DUMMYFUNCTION("""COMPUTED_VALUE"""),"Close")</f>
        <v>Close</v>
      </c>
      <c r="AO29" s="2" t="str">
        <f ca="1">IFERROR(__xludf.DUMMYFUNCTION("GoogleFinance(B29,""price"",DATE(2023,12,29))"),"Date")</f>
        <v>Date</v>
      </c>
      <c r="AP29" s="25" t="str">
        <f ca="1">IFERROR(__xludf.DUMMYFUNCTION("""COMPUTED_VALUE"""),"Close")</f>
        <v>Close</v>
      </c>
      <c r="AQ29" s="2" t="str">
        <f ca="1">IFERROR(__xludf.DUMMYFUNCTION("GoogleFinance(B29,""price"",today()-91)"),"#N/A")</f>
        <v>#N/A</v>
      </c>
      <c r="AR29" s="25"/>
      <c r="AS29" s="2" t="str">
        <f ca="1">IFERROR(__xludf.DUMMYFUNCTION("GoogleFinance(B29,""price"",today()-182)"),"#N/A")</f>
        <v>#N/A</v>
      </c>
      <c r="AT29" s="25"/>
      <c r="AU29" s="2" t="str">
        <f ca="1">IFERROR(__xludf.DUMMYFUNCTION("GoogleFinance(B29,""price"",DATE(2023,12,29))"),"Date")</f>
        <v>Date</v>
      </c>
      <c r="AV29" s="25" t="str">
        <f ca="1">IFERROR(__xludf.DUMMYFUNCTION("""COMPUTED_VALUE"""),"Close")</f>
        <v>Close</v>
      </c>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8"/>
      <c r="BT29" s="108"/>
      <c r="BU29" s="108"/>
      <c r="BV29" s="108"/>
      <c r="BW29" s="108"/>
      <c r="BX29" s="108"/>
      <c r="BY29" s="108"/>
      <c r="BZ29" s="108"/>
      <c r="CA29" s="108"/>
    </row>
    <row r="30" spans="1:79" ht="13.2" hidden="1">
      <c r="A30" s="41" t="e">
        <f t="shared" si="4"/>
        <v>#REF!</v>
      </c>
      <c r="B30" s="120"/>
      <c r="C30" s="121"/>
      <c r="D30" s="121"/>
      <c r="E30" s="120"/>
      <c r="F30" s="120"/>
      <c r="G30" s="122"/>
      <c r="H30" s="123"/>
      <c r="I30" s="124"/>
      <c r="J30" s="120"/>
      <c r="K30" s="125"/>
      <c r="L30" s="120"/>
      <c r="M30" s="120"/>
      <c r="N30" s="120"/>
      <c r="O30" s="126"/>
      <c r="P30" s="123"/>
      <c r="Q30" s="127"/>
      <c r="R30" s="123"/>
      <c r="S30" s="123"/>
      <c r="T30" s="123"/>
      <c r="U30" s="127"/>
      <c r="V30" s="128" t="str">
        <f ca="1">IFERROR(__xludf.DUMMYFUNCTION("GoogleFinance(B30,""changepct"")/100"),"#N/A")</f>
        <v>#N/A</v>
      </c>
      <c r="W30" s="128" t="e">
        <f>J30/#REF!-1</f>
        <v>#REF!</v>
      </c>
      <c r="X30" s="128" t="e">
        <f>J30/#REF!-1</f>
        <v>#REF!</v>
      </c>
      <c r="Y30" s="128" t="e">
        <f>J30/#REF!-1</f>
        <v>#REF!</v>
      </c>
      <c r="Z30" s="128" t="e">
        <f>J30/#REF!-1</f>
        <v>#REF!</v>
      </c>
      <c r="AA30" s="129" t="e">
        <f>J30/#REF!-1</f>
        <v>#REF!</v>
      </c>
      <c r="AB30" s="123"/>
      <c r="AC30" s="123"/>
      <c r="AD30" s="123"/>
      <c r="AE30" s="123"/>
      <c r="AF30" s="123"/>
      <c r="AG30" s="123"/>
      <c r="AH30" s="123"/>
      <c r="AI30" s="123"/>
      <c r="AJ30" s="123"/>
      <c r="AK30" s="123"/>
      <c r="AL30" s="123"/>
      <c r="AM30" s="130">
        <f ca="1">IFERROR(__xludf.DUMMYFUNCTION("""COMPUTED_VALUE"""),45303.6666666666)</f>
        <v>45303.666666666599</v>
      </c>
      <c r="AN30" s="131">
        <f ca="1">IFERROR(__xludf.DUMMYFUNCTION("""COMPUTED_VALUE"""),27.84)</f>
        <v>27.84</v>
      </c>
      <c r="AO30" s="130">
        <f ca="1">IFERROR(__xludf.DUMMYFUNCTION("""COMPUTED_VALUE"""),45289.6666666666)</f>
        <v>45289.666666666599</v>
      </c>
      <c r="AP30" s="131">
        <f ca="1">IFERROR(__xludf.DUMMYFUNCTION("""COMPUTED_VALUE"""),28.3)</f>
        <v>28.3</v>
      </c>
      <c r="AQ30" s="130"/>
      <c r="AR30" s="131"/>
      <c r="AS30" s="130"/>
      <c r="AT30" s="131"/>
      <c r="AU30" s="130">
        <f ca="1">IFERROR(__xludf.DUMMYFUNCTION("""COMPUTED_VALUE"""),45289.6666666666)</f>
        <v>45289.666666666599</v>
      </c>
      <c r="AV30" s="131">
        <f ca="1">IFERROR(__xludf.DUMMYFUNCTION("""COMPUTED_VALUE"""),28.3)</f>
        <v>28.3</v>
      </c>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32"/>
      <c r="BT30" s="132"/>
      <c r="BU30" s="132"/>
      <c r="BV30" s="132"/>
      <c r="BW30" s="132"/>
      <c r="BX30" s="132"/>
      <c r="BY30" s="132"/>
      <c r="BZ30" s="132"/>
      <c r="CA30" s="132"/>
    </row>
    <row r="31" spans="1:79" ht="38.4">
      <c r="A31" s="41">
        <f t="shared" si="4"/>
        <v>14</v>
      </c>
      <c r="B31" s="7" t="s">
        <v>21</v>
      </c>
      <c r="C31" s="91" t="str">
        <f ca="1">IFERROR(__xludf.DUMMYFUNCTION("GoogleFinance(B31,""name"")"),"VanEck Gold Miners ETF")</f>
        <v>VanEck Gold Miners ETF</v>
      </c>
      <c r="D31" s="92" t="str">
        <f ca="1">IFERROR(__xludf.DUMMYFUNCTION("GoogleFinance(B31,""marketcap"")/1000000"),"#N/A")</f>
        <v>#N/A</v>
      </c>
      <c r="E31" s="93" t="s">
        <v>11</v>
      </c>
      <c r="F31" s="93" t="s">
        <v>23</v>
      </c>
      <c r="G31" s="94">
        <v>45064</v>
      </c>
      <c r="H31" s="51">
        <v>1.4999999999999999E-2</v>
      </c>
      <c r="I31" s="95">
        <f ca="1">N31/$M$42</f>
        <v>1.276913740850851E-2</v>
      </c>
      <c r="J31" s="96">
        <f ca="1">IFERROR(__xludf.DUMMYFUNCTION("GOOGLEFINANCE(B31)"),27.69)</f>
        <v>27.69</v>
      </c>
      <c r="K31" s="97">
        <v>31.43</v>
      </c>
      <c r="L31" s="98">
        <v>50</v>
      </c>
      <c r="M31" s="99">
        <f>L31*K31</f>
        <v>1571.5</v>
      </c>
      <c r="N31" s="100">
        <f ca="1">J31*L31</f>
        <v>1384.5</v>
      </c>
      <c r="O31" s="100">
        <f ca="1">N31-M31</f>
        <v>-187</v>
      </c>
      <c r="P31" s="51">
        <f ca="1">J31/K31-1</f>
        <v>-0.11899459115494748</v>
      </c>
      <c r="Q31" s="101">
        <f ca="1">TODAY()-G31</f>
        <v>248</v>
      </c>
      <c r="R31" s="102">
        <v>26</v>
      </c>
      <c r="S31" s="51">
        <f ca="1">R31/J31-1</f>
        <v>-6.1032863849765251E-2</v>
      </c>
      <c r="T31" s="93">
        <v>40</v>
      </c>
      <c r="U31" s="51">
        <f ca="1">T31/J31-1</f>
        <v>0.44456482484651483</v>
      </c>
      <c r="V31" s="63">
        <f ca="1">IFERROR(__xludf.DUMMYFUNCTION("GoogleFinance(B31,""changepct"")/100"),0.0036)</f>
        <v>3.5999999999999999E-3</v>
      </c>
      <c r="W31" s="51">
        <f ca="1">J31/AN32-1</f>
        <v>-6.7676767676767557E-2</v>
      </c>
      <c r="X31" s="51">
        <f ca="1">J31/AP32-1</f>
        <v>-0.10706223798774595</v>
      </c>
      <c r="Y31" s="51" t="e">
        <f ca="1">J31/AR32-1</f>
        <v>#DIV/0!</v>
      </c>
      <c r="Z31" s="51" t="e">
        <f ca="1">J31/AT32-1</f>
        <v>#DIV/0!</v>
      </c>
      <c r="AA31" s="51">
        <f ca="1">J31/AV32-1</f>
        <v>-0.10706223798774595</v>
      </c>
      <c r="AB31" s="103" t="s">
        <v>83</v>
      </c>
      <c r="AC31" s="104" t="s">
        <v>63</v>
      </c>
      <c r="AD31" s="104" t="s">
        <v>73</v>
      </c>
      <c r="AE31" s="105" t="s">
        <v>109</v>
      </c>
      <c r="AF31" s="105" t="s">
        <v>79</v>
      </c>
      <c r="AG31" s="105" t="s">
        <v>125</v>
      </c>
      <c r="AH31" s="106" t="s">
        <v>126</v>
      </c>
      <c r="AI31" s="106" t="s">
        <v>127</v>
      </c>
      <c r="AJ31" s="51"/>
      <c r="AK31" s="51"/>
      <c r="AL31" s="51"/>
      <c r="AM31" s="2" t="str">
        <f ca="1">IFERROR(__xludf.DUMMYFUNCTION("GoogleFinance(B31,""price"",DATE(2024,1,12))"),"Date")</f>
        <v>Date</v>
      </c>
      <c r="AN31" s="25" t="str">
        <f ca="1">IFERROR(__xludf.DUMMYFUNCTION("""COMPUTED_VALUE"""),"Close")</f>
        <v>Close</v>
      </c>
      <c r="AO31" s="2" t="str">
        <f ca="1">IFERROR(__xludf.DUMMYFUNCTION("GoogleFinance(B31,""price"",DATE(2023,12,29))"),"Date")</f>
        <v>Date</v>
      </c>
      <c r="AP31" s="25" t="str">
        <f ca="1">IFERROR(__xludf.DUMMYFUNCTION("""COMPUTED_VALUE"""),"Close")</f>
        <v>Close</v>
      </c>
      <c r="AQ31" s="2" t="str">
        <f ca="1">IFERROR(__xludf.DUMMYFUNCTION("GoogleFinance(B31,""price"",today()-91)"),"#N/A")</f>
        <v>#N/A</v>
      </c>
      <c r="AR31" s="25"/>
      <c r="AS31" s="2" t="str">
        <f ca="1">IFERROR(__xludf.DUMMYFUNCTION("GoogleFinance(B31,""price"",today()-182)"),"#N/A")</f>
        <v>#N/A</v>
      </c>
      <c r="AT31" s="25"/>
      <c r="AU31" s="2" t="str">
        <f ca="1">IFERROR(__xludf.DUMMYFUNCTION("GoogleFinance(B31,""price"",DATE(2023,12,29))"),"Date")</f>
        <v>Date</v>
      </c>
      <c r="AV31" s="25" t="str">
        <f ca="1">IFERROR(__xludf.DUMMYFUNCTION("""COMPUTED_VALUE"""),"Close")</f>
        <v>Close</v>
      </c>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8"/>
      <c r="BT31" s="108"/>
      <c r="BU31" s="108"/>
      <c r="BV31" s="108"/>
      <c r="BW31" s="108"/>
      <c r="BX31" s="108"/>
      <c r="BY31" s="108"/>
      <c r="BZ31" s="108"/>
      <c r="CA31" s="108"/>
    </row>
    <row r="32" spans="1:79" ht="13.2" hidden="1">
      <c r="A32" s="41" t="e">
        <f>A22+1</f>
        <v>#REF!</v>
      </c>
      <c r="B32" s="7"/>
      <c r="C32" s="91"/>
      <c r="D32" s="92"/>
      <c r="E32" s="93"/>
      <c r="F32" s="93"/>
      <c r="G32" s="94"/>
      <c r="H32" s="51"/>
      <c r="I32" s="133"/>
      <c r="J32" s="96"/>
      <c r="K32" s="97"/>
      <c r="L32" s="93"/>
      <c r="M32" s="93"/>
      <c r="N32" s="134"/>
      <c r="O32" s="135"/>
      <c r="P32" s="61"/>
      <c r="Q32" s="62"/>
      <c r="R32" s="63"/>
      <c r="S32" s="51"/>
      <c r="T32" s="51"/>
      <c r="U32" s="51"/>
      <c r="V32" s="63" t="str">
        <f ca="1">IFERROR(__xludf.DUMMYFUNCTION("GoogleFinance(B32,""changepct"")/100"),"#N/A")</f>
        <v>#N/A</v>
      </c>
      <c r="W32" s="51" t="e">
        <f>J32/#REF!-1</f>
        <v>#REF!</v>
      </c>
      <c r="X32" s="51" t="e">
        <f>J32/#REF!-1</f>
        <v>#REF!</v>
      </c>
      <c r="Y32" s="51" t="e">
        <f>J32/#REF!-1</f>
        <v>#REF!</v>
      </c>
      <c r="Z32" s="51" t="e">
        <f>J32/#REF!-1</f>
        <v>#REF!</v>
      </c>
      <c r="AA32" s="51" t="e">
        <f>J32/#REF!-1</f>
        <v>#REF!</v>
      </c>
      <c r="AB32" s="136"/>
      <c r="AC32" s="137"/>
      <c r="AD32" s="137"/>
      <c r="AE32" s="137"/>
      <c r="AF32" s="137"/>
      <c r="AG32" s="137"/>
      <c r="AH32" s="137"/>
      <c r="AI32" s="138"/>
      <c r="AJ32" s="51"/>
      <c r="AK32" s="51"/>
      <c r="AL32" s="51"/>
      <c r="AM32" s="94">
        <f ca="1">IFERROR(__xludf.DUMMYFUNCTION("""COMPUTED_VALUE"""),45303.6666666666)</f>
        <v>45303.666666666599</v>
      </c>
      <c r="AN32" s="109">
        <f ca="1">IFERROR(__xludf.DUMMYFUNCTION("""COMPUTED_VALUE"""),29.7)</f>
        <v>29.7</v>
      </c>
      <c r="AO32" s="94">
        <f ca="1">IFERROR(__xludf.DUMMYFUNCTION("""COMPUTED_VALUE"""),45289.6666666666)</f>
        <v>45289.666666666599</v>
      </c>
      <c r="AP32" s="109">
        <f ca="1">IFERROR(__xludf.DUMMYFUNCTION("""COMPUTED_VALUE"""),31.01)</f>
        <v>31.01</v>
      </c>
      <c r="AQ32" s="94"/>
      <c r="AR32" s="109"/>
      <c r="AS32" s="94"/>
      <c r="AT32" s="109"/>
      <c r="AU32" s="94">
        <f ca="1">IFERROR(__xludf.DUMMYFUNCTION("""COMPUTED_VALUE"""),45289.6666666666)</f>
        <v>45289.666666666599</v>
      </c>
      <c r="AV32" s="109">
        <f ca="1">IFERROR(__xludf.DUMMYFUNCTION("""COMPUTED_VALUE"""),31.01)</f>
        <v>31.01</v>
      </c>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8"/>
      <c r="BT32" s="108"/>
      <c r="BU32" s="108"/>
      <c r="BV32" s="108"/>
      <c r="BW32" s="108"/>
      <c r="BX32" s="108"/>
      <c r="BY32" s="108"/>
      <c r="BZ32" s="108"/>
      <c r="CA32" s="108"/>
    </row>
    <row r="33" spans="1:79" ht="13.2">
      <c r="A33" s="66">
        <f t="shared" ref="A33:A35" si="5">A31+1</f>
        <v>15</v>
      </c>
      <c r="B33" s="139" t="s">
        <v>5</v>
      </c>
      <c r="C33" s="140" t="str">
        <f ca="1">IFERROR(__xludf.DUMMYFUNCTION("GoogleFinance(B33,""name"")"),"SPDR S&amp;P 500 ETF Trust")</f>
        <v>SPDR S&amp;P 500 ETF Trust</v>
      </c>
      <c r="D33" s="141">
        <f ca="1">IFERROR(__xludf.DUMMYFUNCTION("GoogleFinance(B33,""marketcap"")/1000000"),435441.745576)</f>
        <v>435441.74557600002</v>
      </c>
      <c r="E33" s="142" t="s">
        <v>59</v>
      </c>
      <c r="F33" s="142"/>
      <c r="G33" s="143">
        <v>45308</v>
      </c>
      <c r="H33" s="78">
        <v>0.17699999999999999</v>
      </c>
      <c r="I33" s="144">
        <f ca="1">N33/$M$42</f>
        <v>0.17797659689380313</v>
      </c>
      <c r="J33" s="145">
        <f ca="1">IFERROR(__xludf.DUMMYFUNCTION("GOOGLEFINANCE(B33)"),482.43)</f>
        <v>482.43</v>
      </c>
      <c r="K33" s="146">
        <v>473.25</v>
      </c>
      <c r="L33" s="147">
        <v>40</v>
      </c>
      <c r="M33" s="148">
        <f>L33*K33</f>
        <v>18930</v>
      </c>
      <c r="N33" s="149">
        <f ca="1">J33*L33</f>
        <v>19297.2</v>
      </c>
      <c r="O33" s="149">
        <f ca="1">N33-M33</f>
        <v>367.20000000000073</v>
      </c>
      <c r="P33" s="78">
        <f ca="1">J33/K33-1</f>
        <v>1.9397781299524519E-2</v>
      </c>
      <c r="Q33" s="150">
        <f ca="1">TODAY()-G33</f>
        <v>4</v>
      </c>
      <c r="R33" s="151">
        <v>465</v>
      </c>
      <c r="S33" s="78">
        <f ca="1">R33/J33-1</f>
        <v>-3.6129593930725679E-2</v>
      </c>
      <c r="T33" s="142">
        <v>483</v>
      </c>
      <c r="U33" s="144">
        <f ca="1">T33/J33-1</f>
        <v>1.1815185622785496E-3</v>
      </c>
      <c r="V33" s="115">
        <f ca="1">IFERROR(__xludf.DUMMYFUNCTION("GoogleFinance(B33,""changepct"")/100"),0.0125)</f>
        <v>1.2500000000000001E-2</v>
      </c>
      <c r="W33" s="78" t="e">
        <f ca="1">J33/AN34-1</f>
        <v>#DIV/0!</v>
      </c>
      <c r="X33" s="78" t="e">
        <f ca="1">J33/AP34-1</f>
        <v>#DIV/0!</v>
      </c>
      <c r="Y33" s="78" t="e">
        <f ca="1">J33/AR34-1</f>
        <v>#DIV/0!</v>
      </c>
      <c r="Z33" s="78" t="e">
        <f ca="1">J33/AT34-1</f>
        <v>#DIV/0!</v>
      </c>
      <c r="AA33" s="78" t="e">
        <f ca="1">J33/AV34-1</f>
        <v>#DIV/0!</v>
      </c>
      <c r="AB33" s="152" t="s">
        <v>63</v>
      </c>
      <c r="AC33" s="153" t="s">
        <v>84</v>
      </c>
      <c r="AD33" s="153" t="s">
        <v>84</v>
      </c>
      <c r="AE33" s="154" t="s">
        <v>128</v>
      </c>
      <c r="AF33" s="154" t="s">
        <v>79</v>
      </c>
      <c r="AG33" s="154" t="s">
        <v>74</v>
      </c>
      <c r="AH33" s="155"/>
      <c r="AI33" s="156"/>
      <c r="AJ33" s="78"/>
      <c r="AK33" s="78"/>
      <c r="AL33" s="78"/>
      <c r="AM33" s="78" t="str">
        <f ca="1">IFERROR(__xludf.DUMMYFUNCTION("GoogleFinance(B33,""price"",DATE(2024,1,5))"),"#N/A")</f>
        <v>#N/A</v>
      </c>
      <c r="AN33" s="157"/>
      <c r="AO33" s="78" t="str">
        <f ca="1">IFERROR(__xludf.DUMMYFUNCTION("GoogleFinance(B33,""price"",DATE(2023,12,29))"),"#N/A")</f>
        <v>#N/A</v>
      </c>
      <c r="AP33" s="157"/>
      <c r="AQ33" s="78" t="str">
        <f ca="1">IFERROR(__xludf.DUMMYFUNCTION("GoogleFinance(B33,""price"",today()-91)"),"#N/A")</f>
        <v>#N/A</v>
      </c>
      <c r="AR33" s="157"/>
      <c r="AS33" s="78" t="str">
        <f ca="1">IFERROR(__xludf.DUMMYFUNCTION("GoogleFinance(B33,""price"",today()-182)"),"#N/A")</f>
        <v>#N/A</v>
      </c>
      <c r="AT33" s="157"/>
      <c r="AU33" s="78" t="str">
        <f ca="1">IFERROR(__xludf.DUMMYFUNCTION("GoogleFinance(B33,""price"",DATE(2023,12,29))"),"#N/A")</f>
        <v>#N/A</v>
      </c>
      <c r="AV33" s="157"/>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9"/>
      <c r="BT33" s="159"/>
      <c r="BU33" s="159"/>
      <c r="BV33" s="159"/>
      <c r="BW33" s="159"/>
      <c r="BX33" s="159"/>
      <c r="BY33" s="159"/>
      <c r="BZ33" s="159"/>
      <c r="CA33" s="159"/>
    </row>
    <row r="34" spans="1:79" ht="13.2" hidden="1">
      <c r="A34" s="66" t="e">
        <f t="shared" si="5"/>
        <v>#REF!</v>
      </c>
      <c r="B34" s="7"/>
      <c r="C34" s="91"/>
      <c r="D34" s="92"/>
      <c r="E34" s="93"/>
      <c r="F34" s="93"/>
      <c r="G34" s="143">
        <v>45296</v>
      </c>
      <c r="H34" s="51"/>
      <c r="I34" s="133"/>
      <c r="J34" s="145"/>
      <c r="K34" s="97"/>
      <c r="L34" s="93"/>
      <c r="M34" s="93"/>
      <c r="N34" s="134"/>
      <c r="O34" s="135"/>
      <c r="P34" s="61"/>
      <c r="Q34" s="62"/>
      <c r="R34" s="63"/>
      <c r="S34" s="51"/>
      <c r="T34" s="51"/>
      <c r="U34" s="95"/>
      <c r="V34" s="63"/>
      <c r="W34" s="51"/>
      <c r="X34" s="51"/>
      <c r="Y34" s="51"/>
      <c r="Z34" s="51"/>
      <c r="AA34" s="51"/>
      <c r="AB34" s="136"/>
      <c r="AC34" s="137"/>
      <c r="AD34" s="137"/>
      <c r="AE34" s="137"/>
      <c r="AF34" s="137"/>
      <c r="AG34" s="137"/>
      <c r="AH34" s="137"/>
      <c r="AI34" s="137"/>
      <c r="AJ34" s="51"/>
      <c r="AK34" s="51"/>
      <c r="AL34" s="51"/>
      <c r="AM34" s="143"/>
      <c r="AN34" s="157"/>
      <c r="AO34" s="143"/>
      <c r="AP34" s="157"/>
      <c r="AQ34" s="143"/>
      <c r="AR34" s="157"/>
      <c r="AS34" s="143"/>
      <c r="AT34" s="157"/>
      <c r="AU34" s="143"/>
      <c r="AV34" s="15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8"/>
      <c r="BT34" s="108"/>
      <c r="BU34" s="108"/>
      <c r="BV34" s="108"/>
      <c r="BW34" s="108"/>
      <c r="BX34" s="108"/>
      <c r="BY34" s="108"/>
      <c r="BZ34" s="108"/>
      <c r="CA34" s="108"/>
    </row>
    <row r="35" spans="1:79" ht="19.2">
      <c r="A35" s="41">
        <f t="shared" si="5"/>
        <v>16</v>
      </c>
      <c r="B35" s="160" t="s">
        <v>6</v>
      </c>
      <c r="C35" s="161" t="str">
        <f ca="1">IFERROR(__xludf.DUMMYFUNCTION("GoogleFinance(B35,""name"")"),"Invesco QQQ Trust Series 1")</f>
        <v>Invesco QQQ Trust Series 1</v>
      </c>
      <c r="D35" s="162">
        <f ca="1">IFERROR(__xludf.DUMMYFUNCTION("GoogleFinance(B35,""marketcap"")/1000000"),164491.804021)</f>
        <v>164491.80402099999</v>
      </c>
      <c r="E35" s="163" t="s">
        <v>7</v>
      </c>
      <c r="F35" s="164"/>
      <c r="G35" s="94">
        <v>45295</v>
      </c>
      <c r="H35" s="165">
        <v>0.3</v>
      </c>
      <c r="I35" s="166">
        <f ca="1">N35/$M$42</f>
        <v>0.33018342359395253</v>
      </c>
      <c r="J35" s="167">
        <f ca="1">IFERROR(__xludf.DUMMYFUNCTION("GOOGLEFINANCE(B35)"),421.18)</f>
        <v>421.18</v>
      </c>
      <c r="K35" s="168">
        <v>399.3</v>
      </c>
      <c r="L35" s="98">
        <v>85</v>
      </c>
      <c r="M35" s="169">
        <f>L35*K35</f>
        <v>33940.5</v>
      </c>
      <c r="N35" s="169">
        <f ca="1">J35*L35</f>
        <v>35800.300000000003</v>
      </c>
      <c r="O35" s="169">
        <f ca="1">N35-M35</f>
        <v>1859.8000000000029</v>
      </c>
      <c r="P35" s="165">
        <f ca="1">J35/K35-1</f>
        <v>5.4795892812421698E-2</v>
      </c>
      <c r="Q35" s="170">
        <f ca="1">TODAY()-G35</f>
        <v>17</v>
      </c>
      <c r="R35" s="163">
        <v>385</v>
      </c>
      <c r="S35" s="171">
        <f ca="1">R35/J35-1</f>
        <v>-8.5901514791775546E-2</v>
      </c>
      <c r="T35" s="163">
        <v>420</v>
      </c>
      <c r="U35" s="172">
        <f ca="1">T35/J35-1</f>
        <v>-2.8016525001187675E-3</v>
      </c>
      <c r="V35" s="165">
        <f ca="1">IFERROR(__xludf.DUMMYFUNCTION("GoogleFinance(B35,""changepct"")/100"),0.0197999999999999)</f>
        <v>1.9799999999999901E-2</v>
      </c>
      <c r="W35" s="165">
        <f ca="1">J35/AN36-1</f>
        <v>2.8371911319464704E-2</v>
      </c>
      <c r="X35" s="165">
        <f ca="1">J35/AP36-1</f>
        <v>2.847235788239888E-2</v>
      </c>
      <c r="Y35" s="165" t="e">
        <f ca="1">J35/AR36-1</f>
        <v>#DIV/0!</v>
      </c>
      <c r="Z35" s="165" t="e">
        <f ca="1">J35/AT36-1</f>
        <v>#DIV/0!</v>
      </c>
      <c r="AA35" s="166">
        <f ca="1">J35/AV36-1</f>
        <v>2.847235788239888E-2</v>
      </c>
      <c r="AB35" s="173" t="s">
        <v>63</v>
      </c>
      <c r="AC35" s="174" t="s">
        <v>84</v>
      </c>
      <c r="AD35" s="174" t="s">
        <v>84</v>
      </c>
      <c r="AE35" s="175" t="s">
        <v>128</v>
      </c>
      <c r="AF35" s="176" t="s">
        <v>79</v>
      </c>
      <c r="AG35" s="177" t="s">
        <v>74</v>
      </c>
      <c r="AH35" s="178"/>
      <c r="AI35" s="106" t="s">
        <v>129</v>
      </c>
      <c r="AJ35" s="179"/>
      <c r="AK35" s="179"/>
      <c r="AL35" s="179"/>
      <c r="AM35" s="2" t="str">
        <f ca="1">IFERROR(__xludf.DUMMYFUNCTION("GoogleFinance(B35,""price"",DATE(2024,1,12))"),"Date")</f>
        <v>Date</v>
      </c>
      <c r="AN35" s="25" t="str">
        <f ca="1">IFERROR(__xludf.DUMMYFUNCTION("""COMPUTED_VALUE"""),"Close")</f>
        <v>Close</v>
      </c>
      <c r="AO35" s="20" t="str">
        <f ca="1">IFERROR(__xludf.DUMMYFUNCTION("GoogleFinance(B35,""price"",DATE(2023,12,29))"),"Date")</f>
        <v>Date</v>
      </c>
      <c r="AP35" s="25" t="str">
        <f ca="1">IFERROR(__xludf.DUMMYFUNCTION("""COMPUTED_VALUE"""),"Close")</f>
        <v>Close</v>
      </c>
      <c r="AQ35" s="20" t="str">
        <f ca="1">IFERROR(__xludf.DUMMYFUNCTION("GoogleFinance(B35,""price"",today()-91)"),"#N/A")</f>
        <v>#N/A</v>
      </c>
      <c r="AR35" s="25"/>
      <c r="AS35" s="20" t="str">
        <f ca="1">IFERROR(__xludf.DUMMYFUNCTION("GoogleFinance(B35,""price"",today()-182)"),"#N/A")</f>
        <v>#N/A</v>
      </c>
      <c r="AT35" s="25"/>
      <c r="AU35" s="20" t="str">
        <f ca="1">IFERROR(__xludf.DUMMYFUNCTION("GoogleFinance(B35,""price"",DATE(2023,12,29))"),"Date")</f>
        <v>Date</v>
      </c>
      <c r="AV35" s="25" t="str">
        <f ca="1">IFERROR(__xludf.DUMMYFUNCTION("""COMPUTED_VALUE"""),"Close")</f>
        <v>Close</v>
      </c>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80"/>
      <c r="BT35" s="180"/>
      <c r="BU35" s="180"/>
      <c r="BV35" s="180"/>
      <c r="BW35" s="180"/>
      <c r="BX35" s="180"/>
      <c r="BY35" s="180"/>
      <c r="BZ35" s="180"/>
      <c r="CA35" s="180"/>
    </row>
    <row r="36" spans="1:79" ht="13.2" hidden="1">
      <c r="A36" s="167" t="e">
        <f>#REF!+1</f>
        <v>#REF!</v>
      </c>
      <c r="B36" s="164"/>
      <c r="C36" s="181"/>
      <c r="D36" s="181"/>
      <c r="E36" s="164"/>
      <c r="F36" s="164"/>
      <c r="G36" s="182"/>
      <c r="H36" s="179"/>
      <c r="I36" s="183"/>
      <c r="J36" s="164"/>
      <c r="K36" s="184"/>
      <c r="L36" s="185"/>
      <c r="M36" s="186"/>
      <c r="N36" s="186"/>
      <c r="O36" s="187"/>
      <c r="P36" s="179"/>
      <c r="Q36" s="183"/>
      <c r="R36" s="179"/>
      <c r="S36" s="179"/>
      <c r="T36" s="179"/>
      <c r="U36" s="183"/>
      <c r="V36" s="179"/>
      <c r="W36" s="179"/>
      <c r="X36" s="179"/>
      <c r="Y36" s="179"/>
      <c r="Z36" s="179"/>
      <c r="AA36" s="183"/>
      <c r="AB36" s="179"/>
      <c r="AC36" s="179"/>
      <c r="AD36" s="179"/>
      <c r="AE36" s="179"/>
      <c r="AF36" s="179"/>
      <c r="AG36" s="179"/>
      <c r="AH36" s="179"/>
      <c r="AI36" s="179"/>
      <c r="AJ36" s="179"/>
      <c r="AK36" s="179"/>
      <c r="AL36" s="179"/>
      <c r="AM36" s="188">
        <f ca="1">IFERROR(__xludf.DUMMYFUNCTION("""COMPUTED_VALUE"""),45303.6666666666)</f>
        <v>45303.666666666599</v>
      </c>
      <c r="AN36" s="189">
        <f ca="1">IFERROR(__xludf.DUMMYFUNCTION("""COMPUTED_VALUE"""),409.56)</f>
        <v>409.56</v>
      </c>
      <c r="AO36" s="188">
        <f ca="1">IFERROR(__xludf.DUMMYFUNCTION("""COMPUTED_VALUE"""),45289.6666666666)</f>
        <v>45289.666666666599</v>
      </c>
      <c r="AP36" s="189">
        <f ca="1">IFERROR(__xludf.DUMMYFUNCTION("""COMPUTED_VALUE"""),409.52)</f>
        <v>409.52</v>
      </c>
      <c r="AQ36" s="188"/>
      <c r="AR36" s="189"/>
      <c r="AS36" s="188"/>
      <c r="AT36" s="189"/>
      <c r="AU36" s="188">
        <f ca="1">IFERROR(__xludf.DUMMYFUNCTION("""COMPUTED_VALUE"""),45289.6666666666)</f>
        <v>45289.666666666599</v>
      </c>
      <c r="AV36" s="189">
        <f ca="1">IFERROR(__xludf.DUMMYFUNCTION("""COMPUTED_VALUE"""),409.52)</f>
        <v>409.52</v>
      </c>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80"/>
      <c r="BT36" s="180"/>
      <c r="BU36" s="180"/>
      <c r="BV36" s="180"/>
      <c r="BW36" s="180"/>
      <c r="BX36" s="180"/>
      <c r="BY36" s="180"/>
      <c r="BZ36" s="180"/>
      <c r="CA36" s="180"/>
    </row>
    <row r="37" spans="1:79" ht="19.2" hidden="1">
      <c r="A37" s="190">
        <f>A33+1</f>
        <v>16</v>
      </c>
      <c r="B37" s="191" t="s">
        <v>130</v>
      </c>
      <c r="C37" s="192" t="str">
        <f ca="1">IFERROR(__xludf.DUMMYFUNCTION("GoogleFinance(B37,""name"")"),"Invesco S&amp;P 500 Eql Wght ETF")</f>
        <v>Invesco S&amp;P 500 Eql Wght ETF</v>
      </c>
      <c r="D37" s="193">
        <f ca="1">IFERROR(__xludf.DUMMYFUNCTION("GoogleFinance(B37,""marketcap"")/1000000"),290.349014)</f>
        <v>290.34901400000001</v>
      </c>
      <c r="E37" s="194" t="s">
        <v>59</v>
      </c>
      <c r="F37" s="194"/>
      <c r="G37" s="195">
        <v>45225</v>
      </c>
      <c r="H37" s="196">
        <v>0.25</v>
      </c>
      <c r="I37" s="197">
        <f ca="1">N37/$M$42</f>
        <v>0</v>
      </c>
      <c r="J37" s="198">
        <f ca="1">IFERROR(__xludf.DUMMYFUNCTION("GOOGLEFINANCE(B37)"),155.82)</f>
        <v>155.82</v>
      </c>
      <c r="K37" s="199">
        <v>135.37</v>
      </c>
      <c r="L37" s="200"/>
      <c r="M37" s="201">
        <f>L37*K37</f>
        <v>0</v>
      </c>
      <c r="N37" s="202">
        <f ca="1">J37*L37</f>
        <v>0</v>
      </c>
      <c r="O37" s="202">
        <f ca="1">N37-M37</f>
        <v>0</v>
      </c>
      <c r="P37" s="196">
        <f ca="1">J37/K37-1</f>
        <v>0.15106744478097056</v>
      </c>
      <c r="Q37" s="203">
        <f ca="1">TODAY()-G37</f>
        <v>87</v>
      </c>
      <c r="R37" s="204"/>
      <c r="S37" s="196">
        <f ca="1">R37/J37-1</f>
        <v>-1</v>
      </c>
      <c r="T37" s="194">
        <v>147</v>
      </c>
      <c r="U37" s="197">
        <f ca="1">T37/J37-1</f>
        <v>-5.6603773584905648E-2</v>
      </c>
      <c r="V37" s="205">
        <f ca="1">IFERROR(__xludf.DUMMYFUNCTION("GoogleFinance(B37,""changepct"")/100"),0.0077)</f>
        <v>7.7000000000000002E-3</v>
      </c>
      <c r="W37" s="196">
        <f ca="1">J37/AN38-1</f>
        <v>3.4867503486750273E-2</v>
      </c>
      <c r="X37" s="196">
        <f ca="1">J37/AP38-1</f>
        <v>0.14716925568725592</v>
      </c>
      <c r="Y37" s="196" t="e">
        <f ca="1">J37/AR38-1</f>
        <v>#DIV/0!</v>
      </c>
      <c r="Z37" s="196" t="e">
        <f ca="1">J37/AT38-1</f>
        <v>#DIV/0!</v>
      </c>
      <c r="AA37" s="196">
        <f ca="1">J37/AV38-1</f>
        <v>0.10315044247787597</v>
      </c>
      <c r="AB37" s="206" t="s">
        <v>83</v>
      </c>
      <c r="AC37" s="207" t="s">
        <v>84</v>
      </c>
      <c r="AD37" s="207" t="s">
        <v>84</v>
      </c>
      <c r="AE37" s="208" t="s">
        <v>128</v>
      </c>
      <c r="AF37" s="208" t="s">
        <v>79</v>
      </c>
      <c r="AG37" s="208" t="s">
        <v>74</v>
      </c>
      <c r="AH37" s="209"/>
      <c r="AI37" s="210" t="s">
        <v>129</v>
      </c>
      <c r="AJ37" s="196"/>
      <c r="AK37" s="196"/>
      <c r="AL37" s="196"/>
      <c r="AM37" s="2" t="str">
        <f ca="1">IFERROR(__xludf.DUMMYFUNCTION("GoogleFinance(B37,""price"",DATE(2023,12,8))"),"Date")</f>
        <v>Date</v>
      </c>
      <c r="AN37" s="211" t="str">
        <f ca="1">IFERROR(__xludf.DUMMYFUNCTION("""COMPUTED_VALUE"""),"Close")</f>
        <v>Close</v>
      </c>
      <c r="AO37" s="212" t="str">
        <f ca="1">IFERROR(__xludf.DUMMYFUNCTION("GoogleFinance(B37,""price"",DATE(2023,10,31))"),"Date")</f>
        <v>Date</v>
      </c>
      <c r="AP37" s="211" t="str">
        <f ca="1">IFERROR(__xludf.DUMMYFUNCTION("""COMPUTED_VALUE"""),"Close")</f>
        <v>Close</v>
      </c>
      <c r="AQ37" s="196" t="str">
        <f ca="1">IFERROR(__xludf.DUMMYFUNCTION("GoogleFinance(B37,""price"",today()-91)"),"#N/A")</f>
        <v>#N/A</v>
      </c>
      <c r="AR37" s="211"/>
      <c r="AS37" s="196" t="str">
        <f ca="1">IFERROR(__xludf.DUMMYFUNCTION("GoogleFinance(B37,""price"",today()-182)"),"#N/A")</f>
        <v>#N/A</v>
      </c>
      <c r="AT37" s="211"/>
      <c r="AU37" s="196" t="str">
        <f ca="1">IFERROR(__xludf.DUMMYFUNCTION("GoogleFinance(B37,""price"",DATE(2022,12,30))"),"Date")</f>
        <v>Date</v>
      </c>
      <c r="AV37" s="211" t="str">
        <f ca="1">IFERROR(__xludf.DUMMYFUNCTION("""COMPUTED_VALUE"""),"Close")</f>
        <v>Close</v>
      </c>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4"/>
      <c r="BT37" s="214"/>
      <c r="BU37" s="214"/>
      <c r="BV37" s="214"/>
      <c r="BW37" s="214"/>
      <c r="BX37" s="214"/>
      <c r="BY37" s="214"/>
      <c r="BZ37" s="214"/>
      <c r="CA37" s="214"/>
    </row>
    <row r="38" spans="1:79" ht="13.2" hidden="1">
      <c r="A38" s="41" t="e">
        <f>#REF!+1</f>
        <v>#REF!</v>
      </c>
      <c r="B38" s="1"/>
      <c r="C38" s="42"/>
      <c r="D38" s="43"/>
      <c r="E38" s="44"/>
      <c r="F38" s="44"/>
      <c r="G38" s="45"/>
      <c r="H38" s="2"/>
      <c r="I38" s="59"/>
      <c r="J38" s="73"/>
      <c r="K38" s="47"/>
      <c r="L38" s="44"/>
      <c r="M38" s="44"/>
      <c r="N38" s="60"/>
      <c r="O38" s="89"/>
      <c r="P38" s="90"/>
      <c r="Q38" s="62"/>
      <c r="R38" s="63"/>
      <c r="S38" s="51"/>
      <c r="T38" s="51"/>
      <c r="U38" s="95"/>
      <c r="V38" s="63"/>
      <c r="W38" s="51"/>
      <c r="X38" s="51"/>
      <c r="Y38" s="51"/>
      <c r="Z38" s="51"/>
      <c r="AA38" s="51"/>
      <c r="AB38" s="12"/>
      <c r="AC38" s="3"/>
      <c r="AD38" s="3"/>
      <c r="AE38" s="3"/>
      <c r="AF38" s="3"/>
      <c r="AG38" s="3"/>
      <c r="AH38" s="3"/>
      <c r="AI38" s="3"/>
      <c r="AJ38" s="2"/>
      <c r="AK38" s="2"/>
      <c r="AL38" s="2"/>
      <c r="AM38" s="45">
        <f ca="1">IFERROR(__xludf.DUMMYFUNCTION("""COMPUTED_VALUE"""),45268.6666666666)</f>
        <v>45268.666666666599</v>
      </c>
      <c r="AN38" s="25">
        <f ca="1">IFERROR(__xludf.DUMMYFUNCTION("""COMPUTED_VALUE"""),150.57)</f>
        <v>150.57</v>
      </c>
      <c r="AO38" s="45">
        <f ca="1">IFERROR(__xludf.DUMMYFUNCTION("""COMPUTED_VALUE"""),45230.6666666666)</f>
        <v>45230.666666666599</v>
      </c>
      <c r="AP38" s="25">
        <f ca="1">IFERROR(__xludf.DUMMYFUNCTION("""COMPUTED_VALUE"""),135.83)</f>
        <v>135.83000000000001</v>
      </c>
      <c r="AQ38" s="45"/>
      <c r="AR38" s="25"/>
      <c r="AS38" s="45"/>
      <c r="AT38" s="25"/>
      <c r="AU38" s="45">
        <f ca="1">IFERROR(__xludf.DUMMYFUNCTION("""COMPUTED_VALUE"""),44925.6666666666)</f>
        <v>44925.666666666599</v>
      </c>
      <c r="AV38" s="25">
        <f ca="1">IFERROR(__xludf.DUMMYFUNCTION("""COMPUTED_VALUE"""),141.25)</f>
        <v>141.25</v>
      </c>
      <c r="AW38" s="5"/>
      <c r="AX38" s="5"/>
      <c r="AY38" s="5"/>
      <c r="AZ38" s="5"/>
      <c r="BA38" s="5"/>
      <c r="BB38" s="5"/>
      <c r="BC38" s="5"/>
      <c r="BD38" s="5"/>
      <c r="BE38" s="5"/>
      <c r="BF38" s="5"/>
      <c r="BG38" s="5"/>
      <c r="BH38" s="5"/>
      <c r="BI38" s="5"/>
      <c r="BJ38" s="5"/>
      <c r="BK38" s="5"/>
      <c r="BL38" s="5"/>
      <c r="BM38" s="5"/>
      <c r="BN38" s="5"/>
      <c r="BO38" s="5"/>
      <c r="BP38" s="5"/>
      <c r="BQ38" s="5"/>
      <c r="BR38" s="5"/>
    </row>
    <row r="39" spans="1:79" ht="6.75" customHeight="1">
      <c r="A39" s="215"/>
      <c r="B39" s="215"/>
      <c r="C39" s="215"/>
      <c r="D39" s="215"/>
      <c r="E39" s="215"/>
      <c r="F39" s="215"/>
      <c r="G39" s="215"/>
      <c r="H39" s="215"/>
      <c r="I39" s="216"/>
      <c r="J39" s="217"/>
      <c r="K39" s="218"/>
      <c r="L39" s="218"/>
      <c r="M39" s="219"/>
      <c r="N39" s="220"/>
      <c r="O39" s="221"/>
      <c r="P39" s="221"/>
      <c r="Q39" s="222"/>
      <c r="R39" s="223"/>
      <c r="S39" s="224"/>
      <c r="T39" s="224"/>
      <c r="U39" s="225"/>
      <c r="V39" s="223"/>
      <c r="W39" s="226"/>
      <c r="X39" s="226"/>
      <c r="Y39" s="226"/>
      <c r="Z39" s="226"/>
      <c r="AA39" s="226"/>
      <c r="AB39" s="227"/>
      <c r="AC39" s="228"/>
      <c r="AD39" s="228"/>
      <c r="AE39" s="228"/>
      <c r="AF39" s="228"/>
      <c r="AG39" s="228"/>
      <c r="AH39" s="228"/>
      <c r="AI39" s="228"/>
      <c r="AJ39" s="2"/>
      <c r="AK39" s="2"/>
      <c r="AL39" s="2"/>
      <c r="AM39" s="3"/>
      <c r="AN39" s="229"/>
      <c r="AO39" s="24"/>
      <c r="AP39" s="229"/>
      <c r="AQ39" s="24"/>
      <c r="AR39" s="229"/>
      <c r="AS39" s="24"/>
      <c r="AT39" s="229"/>
      <c r="AU39" s="24"/>
      <c r="AV39" s="229"/>
      <c r="AW39" s="24"/>
      <c r="AX39" s="24"/>
      <c r="AY39" s="5"/>
      <c r="AZ39" s="5"/>
      <c r="BA39" s="5"/>
      <c r="BB39" s="5"/>
      <c r="BC39" s="5"/>
      <c r="BD39" s="5"/>
      <c r="BE39" s="5"/>
      <c r="BF39" s="24"/>
      <c r="BG39" s="24"/>
      <c r="BH39" s="24"/>
      <c r="BI39" s="24"/>
      <c r="BJ39" s="24"/>
      <c r="BK39" s="24"/>
      <c r="BL39" s="24"/>
      <c r="BM39" s="24"/>
      <c r="BN39" s="24"/>
      <c r="BO39" s="24"/>
      <c r="BP39" s="24"/>
      <c r="BQ39" s="24"/>
      <c r="BR39" s="24"/>
      <c r="BS39" s="229"/>
      <c r="BT39" s="229"/>
      <c r="BU39" s="229"/>
      <c r="BV39" s="229"/>
      <c r="BW39" s="229"/>
      <c r="BX39" s="229"/>
      <c r="BY39" s="229"/>
      <c r="BZ39" s="229"/>
      <c r="CA39" s="229"/>
    </row>
    <row r="40" spans="1:79" ht="15.75" customHeight="1">
      <c r="A40" s="230"/>
      <c r="B40" s="230"/>
      <c r="C40" s="230"/>
      <c r="D40" s="99"/>
      <c r="E40" s="230"/>
      <c r="F40" s="230"/>
      <c r="G40" s="230"/>
      <c r="H40" s="230"/>
      <c r="I40" s="231"/>
      <c r="J40" s="232" t="s">
        <v>25</v>
      </c>
      <c r="K40" s="233"/>
      <c r="L40" s="233"/>
      <c r="M40" s="234">
        <f ca="1">SUM(N3:N38)</f>
        <v>108245.4915353531</v>
      </c>
      <c r="N40" s="235">
        <f ca="1">M40/M42</f>
        <v>0.99833987379304334</v>
      </c>
      <c r="O40" s="236"/>
      <c r="P40" s="236"/>
      <c r="Q40" s="237"/>
      <c r="R40" s="237"/>
      <c r="S40" s="237"/>
      <c r="T40" s="237"/>
      <c r="U40" s="237"/>
      <c r="V40" s="237"/>
      <c r="W40" s="238"/>
      <c r="X40" s="238"/>
      <c r="Y40" s="238"/>
      <c r="Z40" s="238"/>
      <c r="AA40" s="238"/>
      <c r="AB40" s="18"/>
      <c r="AC40" s="18"/>
      <c r="AD40" s="18"/>
      <c r="AE40" s="18"/>
      <c r="AF40" s="18"/>
      <c r="AG40" s="18"/>
      <c r="AH40" s="18"/>
      <c r="AI40" s="18"/>
      <c r="AJ40" s="2"/>
      <c r="AK40" s="2"/>
      <c r="AL40" s="2"/>
      <c r="AM40" s="3"/>
      <c r="AN40" s="24"/>
      <c r="AO40" s="24"/>
      <c r="AP40" s="24"/>
      <c r="AQ40" s="24"/>
      <c r="AR40" s="24"/>
      <c r="AS40" s="24"/>
      <c r="AT40" s="24"/>
      <c r="AU40" s="24"/>
      <c r="AV40" s="24"/>
      <c r="AW40" s="24"/>
      <c r="AX40" s="24"/>
      <c r="AY40" s="5"/>
      <c r="AZ40" s="5"/>
      <c r="BA40" s="5"/>
      <c r="BB40" s="5"/>
      <c r="BC40" s="5"/>
      <c r="BD40" s="5"/>
      <c r="BE40" s="5"/>
      <c r="BF40" s="24"/>
      <c r="BG40" s="24"/>
      <c r="BH40" s="24"/>
      <c r="BI40" s="24"/>
      <c r="BJ40" s="24"/>
      <c r="BK40" s="24"/>
      <c r="BL40" s="24"/>
      <c r="BM40" s="24"/>
      <c r="BN40" s="24"/>
      <c r="BO40" s="24"/>
      <c r="BP40" s="24"/>
      <c r="BQ40" s="24"/>
      <c r="BR40" s="24"/>
      <c r="BS40" s="24"/>
      <c r="BT40" s="24"/>
      <c r="BU40" s="24"/>
      <c r="BV40" s="24"/>
      <c r="BW40" s="24"/>
      <c r="BX40" s="24"/>
      <c r="BY40" s="24"/>
      <c r="BZ40" s="24"/>
      <c r="CA40" s="24"/>
    </row>
    <row r="41" spans="1:79" ht="15.75" customHeight="1">
      <c r="A41" s="239"/>
      <c r="B41" s="239"/>
      <c r="C41" s="45"/>
      <c r="D41" s="99"/>
      <c r="E41" s="48"/>
      <c r="F41" s="239"/>
      <c r="G41" s="47"/>
      <c r="H41" s="239"/>
      <c r="I41" s="240"/>
      <c r="J41" s="241" t="s">
        <v>131</v>
      </c>
      <c r="K41" s="242"/>
      <c r="L41" s="242"/>
      <c r="M41" s="243">
        <f>57101+2465-4500-33941-21047+2603+21429-5000-18930</f>
        <v>180</v>
      </c>
      <c r="N41" s="244">
        <f ca="1">M41/M42</f>
        <v>1.660126206956686E-3</v>
      </c>
      <c r="O41" s="245"/>
      <c r="P41" s="246"/>
      <c r="Q41" s="87"/>
      <c r="R41" s="87"/>
      <c r="S41" s="87"/>
      <c r="T41" s="87"/>
      <c r="U41" s="87"/>
      <c r="V41" s="87"/>
      <c r="W41" s="117"/>
      <c r="X41" s="117"/>
      <c r="Y41" s="117"/>
      <c r="Z41" s="117"/>
      <c r="AA41" s="117"/>
      <c r="AB41" s="3"/>
      <c r="AC41" s="3"/>
      <c r="AD41" s="3"/>
      <c r="AE41" s="3"/>
      <c r="AF41" s="3"/>
      <c r="AG41" s="3"/>
      <c r="AH41" s="3"/>
      <c r="AI41" s="3"/>
      <c r="AJ41" s="3"/>
      <c r="AK41" s="3"/>
      <c r="AL41" s="3"/>
      <c r="AM41" s="3"/>
      <c r="AN41" s="117"/>
      <c r="AO41" s="117"/>
      <c r="AP41" s="117"/>
      <c r="AQ41" s="117"/>
      <c r="AR41" s="117"/>
      <c r="AS41" s="117"/>
      <c r="AT41" s="117"/>
      <c r="AU41" s="24"/>
      <c r="AV41" s="117"/>
      <c r="AW41" s="24"/>
      <c r="AX41" s="117"/>
      <c r="AY41" s="5"/>
      <c r="AZ41" s="5"/>
      <c r="BA41" s="5"/>
      <c r="BB41" s="5"/>
      <c r="BC41" s="5"/>
      <c r="BD41" s="5"/>
      <c r="BE41" s="5"/>
      <c r="BF41" s="87"/>
      <c r="BG41" s="87"/>
      <c r="BH41" s="87"/>
      <c r="BI41" s="87"/>
      <c r="BJ41" s="87"/>
      <c r="BK41" s="87"/>
      <c r="BL41" s="87"/>
      <c r="BM41" s="87"/>
      <c r="BN41" s="87"/>
      <c r="BO41" s="87"/>
      <c r="BP41" s="87"/>
      <c r="BQ41" s="87"/>
      <c r="BR41" s="87"/>
      <c r="BS41" s="87"/>
      <c r="BT41" s="87"/>
      <c r="BU41" s="87"/>
      <c r="BV41" s="87"/>
      <c r="BW41" s="87"/>
      <c r="BX41" s="87"/>
      <c r="BY41" s="87"/>
      <c r="BZ41" s="87"/>
      <c r="CA41" s="87"/>
    </row>
    <row r="42" spans="1:79" ht="15.75" customHeight="1">
      <c r="A42" s="239"/>
      <c r="B42" s="239"/>
      <c r="C42" s="247"/>
      <c r="D42" s="239"/>
      <c r="E42" s="239"/>
      <c r="F42" s="239"/>
      <c r="G42" s="48"/>
      <c r="H42" s="239"/>
      <c r="I42" s="240"/>
      <c r="J42" s="232" t="s">
        <v>132</v>
      </c>
      <c r="K42" s="233"/>
      <c r="L42" s="233"/>
      <c r="M42" s="248">
        <f ca="1">M41+M40</f>
        <v>108425.4915353531</v>
      </c>
      <c r="N42" s="236"/>
      <c r="O42" s="87"/>
      <c r="P42" s="87"/>
      <c r="Q42" s="87"/>
      <c r="R42" s="87"/>
      <c r="S42" s="87"/>
      <c r="T42" s="87"/>
      <c r="U42" s="87"/>
      <c r="V42" s="87"/>
      <c r="W42" s="117"/>
      <c r="X42" s="117"/>
      <c r="Y42" s="117"/>
      <c r="Z42" s="117"/>
      <c r="AA42" s="117"/>
      <c r="AB42" s="3"/>
      <c r="AC42" s="3"/>
      <c r="AD42" s="3"/>
      <c r="AE42" s="3"/>
      <c r="AF42" s="3"/>
      <c r="AG42" s="3"/>
      <c r="AH42" s="3"/>
      <c r="AI42" s="3"/>
      <c r="AJ42" s="3"/>
      <c r="AK42" s="3"/>
      <c r="AL42" s="3"/>
      <c r="AM42" s="3"/>
      <c r="AN42" s="117"/>
      <c r="AO42" s="117"/>
      <c r="AP42" s="117"/>
      <c r="AQ42" s="117"/>
      <c r="AR42" s="117"/>
      <c r="AS42" s="117"/>
      <c r="AT42" s="117"/>
      <c r="AU42" s="24"/>
      <c r="AV42" s="117"/>
      <c r="AW42" s="24"/>
      <c r="AX42" s="117"/>
      <c r="AY42" s="5"/>
      <c r="AZ42" s="5"/>
      <c r="BA42" s="5"/>
      <c r="BB42" s="5"/>
      <c r="BC42" s="5"/>
      <c r="BD42" s="5"/>
      <c r="BE42" s="5"/>
      <c r="BF42" s="87"/>
      <c r="BG42" s="87"/>
      <c r="BH42" s="87"/>
      <c r="BI42" s="87"/>
      <c r="BJ42" s="87"/>
      <c r="BK42" s="87"/>
      <c r="BL42" s="87"/>
      <c r="BM42" s="87"/>
      <c r="BN42" s="87"/>
      <c r="BO42" s="87"/>
      <c r="BP42" s="87"/>
      <c r="BQ42" s="87"/>
      <c r="BR42" s="87"/>
      <c r="BS42" s="87"/>
      <c r="BT42" s="87"/>
      <c r="BU42" s="87"/>
      <c r="BV42" s="87"/>
      <c r="BW42" s="87"/>
      <c r="BX42" s="87"/>
      <c r="BY42" s="87"/>
      <c r="BZ42" s="87"/>
      <c r="CA42" s="87"/>
    </row>
    <row r="43" spans="1:79" ht="15.75" customHeight="1">
      <c r="A43" s="239"/>
      <c r="B43" s="239"/>
      <c r="C43" s="247"/>
      <c r="D43" s="239"/>
      <c r="E43" s="239"/>
      <c r="F43" s="48"/>
      <c r="G43" s="239"/>
      <c r="H43" s="239"/>
      <c r="I43" s="240"/>
      <c r="J43" s="249" t="s">
        <v>133</v>
      </c>
      <c r="K43" s="250"/>
      <c r="L43" s="250"/>
      <c r="M43" s="251">
        <v>107701</v>
      </c>
      <c r="N43" s="236"/>
      <c r="O43" s="87"/>
      <c r="P43" s="87"/>
      <c r="Q43" s="87"/>
      <c r="R43" s="87"/>
      <c r="S43" s="87"/>
      <c r="T43" s="87"/>
      <c r="U43" s="87"/>
      <c r="V43" s="87"/>
      <c r="W43" s="117"/>
      <c r="X43" s="117"/>
      <c r="Y43" s="117"/>
      <c r="Z43" s="117"/>
      <c r="AA43" s="117"/>
      <c r="AB43" s="3"/>
      <c r="AC43" s="252"/>
      <c r="AD43" s="252"/>
      <c r="AE43" s="252"/>
      <c r="AF43" s="252"/>
      <c r="AG43" s="3"/>
      <c r="AH43" s="3"/>
      <c r="AI43" s="3"/>
      <c r="AJ43" s="3"/>
      <c r="AK43" s="3"/>
      <c r="AL43" s="3"/>
      <c r="AM43" s="3"/>
      <c r="AN43" s="117"/>
      <c r="AO43" s="117"/>
      <c r="AP43" s="117"/>
      <c r="AQ43" s="117"/>
      <c r="AR43" s="117"/>
      <c r="AS43" s="117"/>
      <c r="AT43" s="117"/>
      <c r="AU43" s="24"/>
      <c r="AV43" s="117"/>
      <c r="AW43" s="24"/>
      <c r="AX43" s="117"/>
      <c r="AY43" s="5"/>
      <c r="AZ43" s="5"/>
      <c r="BA43" s="5"/>
      <c r="BB43" s="5"/>
      <c r="BC43" s="5"/>
      <c r="BD43" s="5"/>
      <c r="BE43" s="5"/>
      <c r="BF43" s="87"/>
      <c r="BG43" s="87"/>
      <c r="BH43" s="87"/>
      <c r="BI43" s="87"/>
      <c r="BJ43" s="87"/>
      <c r="BK43" s="87"/>
      <c r="BL43" s="87"/>
      <c r="BM43" s="87"/>
      <c r="BN43" s="87"/>
      <c r="BO43" s="87"/>
      <c r="BP43" s="87"/>
      <c r="BQ43" s="87"/>
      <c r="BR43" s="87"/>
      <c r="BS43" s="87"/>
      <c r="BT43" s="87"/>
      <c r="BU43" s="87"/>
      <c r="BV43" s="87"/>
      <c r="BW43" s="87"/>
      <c r="BX43" s="87"/>
      <c r="BY43" s="87"/>
      <c r="BZ43" s="87"/>
      <c r="CA43" s="87"/>
    </row>
    <row r="44" spans="1:79" ht="15.75" customHeight="1">
      <c r="A44" s="239"/>
      <c r="B44" s="239"/>
      <c r="C44" s="247"/>
      <c r="D44" s="239"/>
      <c r="E44" s="239"/>
      <c r="F44" s="239"/>
      <c r="G44" s="239"/>
      <c r="H44" s="239"/>
      <c r="I44" s="239"/>
      <c r="J44" s="253"/>
      <c r="K44" s="230"/>
      <c r="L44" s="237"/>
      <c r="M44" s="237"/>
      <c r="N44" s="87"/>
      <c r="O44" s="87"/>
      <c r="P44" s="87"/>
      <c r="Q44" s="87"/>
      <c r="R44" s="87"/>
      <c r="S44" s="87"/>
      <c r="T44" s="87"/>
      <c r="U44" s="87"/>
      <c r="V44" s="87"/>
      <c r="W44" s="117"/>
      <c r="X44" s="117"/>
      <c r="Y44" s="117"/>
      <c r="Z44" s="117"/>
      <c r="AA44" s="117"/>
      <c r="AB44" s="25"/>
      <c r="AC44" s="460" t="s">
        <v>134</v>
      </c>
      <c r="AD44" s="461"/>
      <c r="AE44" s="461"/>
      <c r="AF44" s="462"/>
      <c r="AG44" s="13"/>
      <c r="AH44" s="3"/>
      <c r="AI44" s="3"/>
      <c r="AJ44" s="3"/>
      <c r="AK44" s="3"/>
      <c r="AL44" s="3"/>
      <c r="AM44" s="3"/>
      <c r="AN44" s="117"/>
      <c r="AO44" s="117"/>
      <c r="AP44" s="117"/>
      <c r="AQ44" s="117"/>
      <c r="AR44" s="117"/>
      <c r="AS44" s="117"/>
      <c r="AT44" s="117"/>
      <c r="AU44" s="24"/>
      <c r="AV44" s="117"/>
      <c r="AW44" s="24"/>
      <c r="AX44" s="117"/>
      <c r="AY44" s="5"/>
      <c r="AZ44" s="5"/>
      <c r="BA44" s="5"/>
      <c r="BB44" s="5"/>
      <c r="BC44" s="5"/>
      <c r="BD44" s="5"/>
      <c r="BE44" s="5"/>
      <c r="BF44" s="87"/>
      <c r="BG44" s="87"/>
      <c r="BH44" s="87"/>
      <c r="BI44" s="87"/>
      <c r="BJ44" s="87"/>
      <c r="BK44" s="87"/>
      <c r="BL44" s="87"/>
      <c r="BM44" s="87"/>
      <c r="BN44" s="87"/>
      <c r="BO44" s="87"/>
      <c r="BP44" s="87"/>
      <c r="BQ44" s="87"/>
      <c r="BR44" s="87"/>
      <c r="BS44" s="87"/>
      <c r="BT44" s="87"/>
      <c r="BU44" s="87"/>
      <c r="BV44" s="87"/>
      <c r="BW44" s="87"/>
      <c r="BX44" s="87"/>
      <c r="BY44" s="87"/>
      <c r="BZ44" s="87"/>
      <c r="CA44" s="87"/>
    </row>
    <row r="45" spans="1:79" ht="36">
      <c r="A45" s="254"/>
      <c r="B45" s="254"/>
      <c r="C45" s="247"/>
      <c r="D45" s="255" t="s">
        <v>4</v>
      </c>
      <c r="E45" s="255" t="s">
        <v>45</v>
      </c>
      <c r="F45" s="256">
        <v>44950</v>
      </c>
      <c r="G45" s="255" t="s">
        <v>47</v>
      </c>
      <c r="H45" s="255" t="s">
        <v>48</v>
      </c>
      <c r="I45" s="255" t="s">
        <v>135</v>
      </c>
      <c r="J45" s="255" t="s">
        <v>49</v>
      </c>
      <c r="K45" s="255">
        <v>2023</v>
      </c>
      <c r="L45" s="255">
        <v>2022</v>
      </c>
      <c r="M45" s="255">
        <v>2021</v>
      </c>
      <c r="N45" s="255">
        <v>2020</v>
      </c>
      <c r="O45" s="255" t="s">
        <v>136</v>
      </c>
      <c r="P45" s="255" t="s">
        <v>137</v>
      </c>
      <c r="Q45" s="257">
        <v>43830</v>
      </c>
      <c r="R45" s="3"/>
      <c r="S45" s="3"/>
      <c r="T45" s="3"/>
      <c r="U45" s="3"/>
      <c r="V45" s="3"/>
      <c r="W45" s="3"/>
      <c r="X45" s="3"/>
      <c r="Y45" s="3"/>
      <c r="Z45" s="3"/>
      <c r="AA45" s="3"/>
      <c r="AB45" s="11"/>
      <c r="AC45" s="258" t="s">
        <v>58</v>
      </c>
      <c r="AD45" s="259" t="s">
        <v>59</v>
      </c>
      <c r="AE45" s="259" t="s">
        <v>138</v>
      </c>
      <c r="AF45" s="260" t="s">
        <v>139</v>
      </c>
      <c r="AG45" s="12"/>
      <c r="AH45" s="3"/>
      <c r="AI45" s="3"/>
      <c r="AJ45" s="3"/>
      <c r="AK45" s="3"/>
      <c r="AL45" s="3"/>
      <c r="AM45" s="3"/>
      <c r="AN45" s="117"/>
      <c r="AO45" s="117"/>
      <c r="AP45" s="117"/>
      <c r="AQ45" s="117"/>
      <c r="AR45" s="117"/>
      <c r="AS45" s="117"/>
      <c r="AT45" s="117"/>
      <c r="AU45" s="24"/>
      <c r="AV45" s="117"/>
      <c r="AW45" s="24"/>
      <c r="AX45" s="117"/>
      <c r="AY45" s="5"/>
      <c r="AZ45" s="5"/>
      <c r="BA45" s="5"/>
      <c r="BB45" s="5"/>
      <c r="BC45" s="5"/>
      <c r="BD45" s="5"/>
      <c r="BE45" s="5"/>
      <c r="BF45" s="87"/>
      <c r="BG45" s="87"/>
      <c r="BH45" s="87"/>
      <c r="BI45" s="87"/>
      <c r="BJ45" s="87"/>
      <c r="BK45" s="87"/>
      <c r="BL45" s="87"/>
      <c r="BM45" s="87"/>
      <c r="BN45" s="87"/>
      <c r="BO45" s="87"/>
      <c r="BP45" s="87"/>
      <c r="BQ45" s="87"/>
      <c r="BR45" s="87"/>
      <c r="BS45" s="87"/>
      <c r="BT45" s="87"/>
      <c r="BU45" s="87"/>
      <c r="BV45" s="87"/>
      <c r="BW45" s="87"/>
      <c r="BX45" s="87"/>
      <c r="BY45" s="87"/>
      <c r="BZ45" s="87"/>
      <c r="CA45" s="87"/>
    </row>
    <row r="46" spans="1:79" ht="15.75" customHeight="1">
      <c r="A46" s="254"/>
      <c r="B46" s="254"/>
      <c r="C46" s="254" t="s">
        <v>140</v>
      </c>
      <c r="D46" s="63">
        <f ca="1">I3*V3+I3*V3+I7*V7+I9*V9+I11*V11+I13*V13+I15*V15+I17*V17+I19*V19+I21*V21+I23*V23+I25*V25+I27*V27+I29*V29+I31*V31+I33*V33+I35*V35+I37*V37</f>
        <v>1.0954933024211744E-2</v>
      </c>
      <c r="E46" s="63">
        <f ca="1">M42/M43-1+0.12%</f>
        <v>7.926878444518691E-3</v>
      </c>
      <c r="F46" s="63">
        <f ca="1">0.8%+E46</f>
        <v>1.5926878444518691E-2</v>
      </c>
      <c r="G46" s="63">
        <f ca="1">(1+F46)*(1+AZ85)*(1+AZ84)-1</f>
        <v>9.0510743854771425E-2</v>
      </c>
      <c r="H46" s="63">
        <f ca="1">(1+G46)*(1+AZ82)*(1+AZ81)*(1+AZ83)-1</f>
        <v>8.8443916290115165E-2</v>
      </c>
      <c r="I46" s="63">
        <f ca="1">(1+H46)*(1+AZ80)*(1+AZ77)*(1+AZ75)*(1+AZ76)*(1+AZ78)*(1+AZ79)-1</f>
        <v>0.13203810276114636</v>
      </c>
      <c r="J46" s="63">
        <f ca="1">F46</f>
        <v>1.5926878444518691E-2</v>
      </c>
      <c r="K46" s="63">
        <v>0.13100000000000001</v>
      </c>
      <c r="L46" s="63">
        <v>-0.126</v>
      </c>
      <c r="M46" s="63">
        <v>0.104</v>
      </c>
      <c r="N46" s="63">
        <v>0.77100000000000002</v>
      </c>
      <c r="O46" s="63">
        <f ca="1">(1+N46)*(1+M46)*(1+L46)*(1+K46)*(1+J46)-1</f>
        <v>0.96346933421489722</v>
      </c>
      <c r="P46" s="261">
        <f ca="1">(1+O46)^(365/(TODAY()-Q45))-1</f>
        <v>0.18077883299873077</v>
      </c>
      <c r="Q46" s="13"/>
      <c r="R46" s="3"/>
      <c r="S46" s="3"/>
      <c r="T46" s="3"/>
      <c r="U46" s="3"/>
      <c r="V46" s="3"/>
      <c r="W46" s="3"/>
      <c r="X46" s="3"/>
      <c r="Y46" s="3"/>
      <c r="Z46" s="3"/>
      <c r="AA46" s="3"/>
      <c r="AB46" s="28" t="s">
        <v>7</v>
      </c>
      <c r="AC46" s="262">
        <f ca="1">I33*AD46+I37*0.155+0.565*I35</f>
        <v>0.22866289715565699</v>
      </c>
      <c r="AD46" s="263">
        <v>0.2366</v>
      </c>
      <c r="AE46" s="262">
        <f ca="1">AC46-AD46</f>
        <v>-7.9371028443430136E-3</v>
      </c>
      <c r="AF46" s="264">
        <v>4.1250520183104378E-2</v>
      </c>
      <c r="AG46" s="12"/>
      <c r="AH46" s="3"/>
      <c r="AI46" s="3"/>
      <c r="AJ46" s="3"/>
      <c r="AK46" s="3"/>
      <c r="AL46" s="3"/>
      <c r="AM46" s="87" t="s">
        <v>141</v>
      </c>
      <c r="AN46" s="117"/>
      <c r="AO46" s="87" t="s">
        <v>142</v>
      </c>
      <c r="AP46" s="117"/>
      <c r="AQ46" s="87" t="s">
        <v>143</v>
      </c>
      <c r="AR46" s="88"/>
      <c r="AS46" s="87" t="s">
        <v>144</v>
      </c>
      <c r="AT46" s="88"/>
      <c r="AU46" s="87" t="s">
        <v>145</v>
      </c>
      <c r="AV46" s="88"/>
      <c r="AW46" s="24" t="s">
        <v>49</v>
      </c>
      <c r="AX46" s="117"/>
      <c r="AY46" s="5"/>
      <c r="AZ46" s="5"/>
      <c r="BA46" s="5"/>
      <c r="BB46" s="5"/>
      <c r="BC46" s="5"/>
      <c r="BD46" s="5"/>
      <c r="BE46" s="5"/>
      <c r="BF46" s="87"/>
      <c r="BG46" s="87"/>
      <c r="BH46" s="87"/>
      <c r="BI46" s="87"/>
      <c r="BJ46" s="87"/>
      <c r="BK46" s="87"/>
      <c r="BL46" s="87"/>
      <c r="BM46" s="87"/>
      <c r="BN46" s="87"/>
      <c r="BO46" s="87"/>
      <c r="BP46" s="87"/>
      <c r="BQ46" s="87"/>
      <c r="BR46" s="87"/>
      <c r="BS46" s="87"/>
      <c r="BT46" s="87"/>
      <c r="BU46" s="87"/>
      <c r="BV46" s="87"/>
      <c r="BW46" s="87"/>
      <c r="BX46" s="87"/>
      <c r="BY46" s="87"/>
      <c r="BZ46" s="87"/>
      <c r="CA46" s="87"/>
    </row>
    <row r="47" spans="1:79" ht="15.75" customHeight="1">
      <c r="A47" s="254"/>
      <c r="B47" s="254"/>
      <c r="C47" s="254" t="s">
        <v>146</v>
      </c>
      <c r="D47" s="8">
        <v>1.2500000000000001E-2</v>
      </c>
      <c r="E47" s="63">
        <v>1.2062599647562289E-2</v>
      </c>
      <c r="F47" s="63">
        <v>1.497969746060468E-2</v>
      </c>
      <c r="G47" s="265">
        <v>0.14738619607096992</v>
      </c>
      <c r="H47" s="265">
        <v>6.2153236459709493E-2</v>
      </c>
      <c r="I47" s="265">
        <v>0.1919209388511427</v>
      </c>
      <c r="J47" s="265">
        <v>1.497969746060468E-2</v>
      </c>
      <c r="K47" s="265">
        <v>0.24299999999999999</v>
      </c>
      <c r="L47" s="265">
        <v>-0.19500000000000001</v>
      </c>
      <c r="M47" s="265">
        <v>0.27</v>
      </c>
      <c r="N47" s="265">
        <v>0.16200000000000001</v>
      </c>
      <c r="O47" s="63">
        <v>0.49876731410583153</v>
      </c>
      <c r="P47" s="261">
        <v>0.10479415599726827</v>
      </c>
      <c r="Q47" s="13"/>
      <c r="R47" s="3"/>
      <c r="S47" s="3"/>
      <c r="T47" s="3"/>
      <c r="U47" s="3"/>
      <c r="V47" s="3"/>
      <c r="W47" s="3"/>
      <c r="X47" s="3"/>
      <c r="Y47" s="3"/>
      <c r="Z47" s="3"/>
      <c r="AA47" s="3"/>
      <c r="AB47" s="28" t="s">
        <v>12</v>
      </c>
      <c r="AC47" s="8">
        <v>0.18980881882310241</v>
      </c>
      <c r="AD47" s="2">
        <v>7.4399999999999994E-2</v>
      </c>
      <c r="AE47" s="8">
        <v>0.11540881882310242</v>
      </c>
      <c r="AF47" s="10">
        <v>1.3819265682156745E-2</v>
      </c>
      <c r="AG47" s="12"/>
      <c r="AH47" s="5"/>
      <c r="AI47" s="5"/>
      <c r="AJ47" s="3"/>
      <c r="AK47" s="139" t="s">
        <v>5</v>
      </c>
      <c r="AL47" s="266" t="s">
        <v>4</v>
      </c>
      <c r="AM47" s="2" t="s">
        <v>147</v>
      </c>
      <c r="AN47" s="25" t="s">
        <v>148</v>
      </c>
      <c r="AO47" s="2" t="s">
        <v>147</v>
      </c>
      <c r="AP47" s="25" t="s">
        <v>148</v>
      </c>
      <c r="AQ47" s="2" t="s">
        <v>147</v>
      </c>
      <c r="AR47" s="25" t="s">
        <v>148</v>
      </c>
      <c r="AS47" s="2" t="s">
        <v>147</v>
      </c>
      <c r="AT47" s="25" t="s">
        <v>148</v>
      </c>
      <c r="AU47" s="2" t="s">
        <v>147</v>
      </c>
      <c r="AV47" s="25" t="s">
        <v>148</v>
      </c>
      <c r="AW47" s="2" t="s">
        <v>147</v>
      </c>
      <c r="AX47" s="25" t="s">
        <v>148</v>
      </c>
      <c r="AY47" s="5"/>
      <c r="AZ47" s="5"/>
      <c r="BA47" s="5"/>
      <c r="BB47" s="5"/>
      <c r="BC47" s="5"/>
      <c r="BD47" s="5"/>
      <c r="BE47" s="5"/>
      <c r="BF47" s="87"/>
      <c r="BG47" s="87"/>
      <c r="BH47" s="87"/>
      <c r="BI47" s="87"/>
      <c r="BJ47" s="87"/>
      <c r="BK47" s="87"/>
      <c r="BL47" s="87"/>
      <c r="BM47" s="87"/>
      <c r="BN47" s="87"/>
      <c r="BO47" s="87"/>
      <c r="BP47" s="87"/>
      <c r="BQ47" s="87"/>
      <c r="BR47" s="87"/>
      <c r="BS47" s="87"/>
      <c r="BT47" s="87"/>
      <c r="BU47" s="87"/>
      <c r="BV47" s="87"/>
      <c r="BW47" s="87"/>
      <c r="BX47" s="87"/>
      <c r="BY47" s="87"/>
      <c r="BZ47" s="87"/>
      <c r="CA47" s="87"/>
    </row>
    <row r="48" spans="1:79" ht="15.75" customHeight="1">
      <c r="A48" s="254"/>
      <c r="B48" s="254"/>
      <c r="C48" s="267" t="s">
        <v>138</v>
      </c>
      <c r="D48" s="268">
        <f t="shared" ref="D48:P48" ca="1" si="6">D46-D47</f>
        <v>-1.5450669757882569E-3</v>
      </c>
      <c r="E48" s="268">
        <f t="shared" ca="1" si="6"/>
        <v>-4.1357212030435977E-3</v>
      </c>
      <c r="F48" s="268">
        <f t="shared" ca="1" si="6"/>
        <v>9.4718098391401162E-4</v>
      </c>
      <c r="G48" s="268">
        <f t="shared" ca="1" si="6"/>
        <v>-5.6875452216198497E-2</v>
      </c>
      <c r="H48" s="268">
        <f t="shared" ca="1" si="6"/>
        <v>2.6290679830405672E-2</v>
      </c>
      <c r="I48" s="268">
        <f t="shared" ca="1" si="6"/>
        <v>-5.9882836089996339E-2</v>
      </c>
      <c r="J48" s="268">
        <f t="shared" ca="1" si="6"/>
        <v>9.4718098391401162E-4</v>
      </c>
      <c r="K48" s="268">
        <f t="shared" si="6"/>
        <v>-0.11199999999999999</v>
      </c>
      <c r="L48" s="268">
        <f t="shared" si="6"/>
        <v>6.9000000000000006E-2</v>
      </c>
      <c r="M48" s="268">
        <f t="shared" si="6"/>
        <v>-0.16600000000000004</v>
      </c>
      <c r="N48" s="268">
        <f t="shared" si="6"/>
        <v>0.60899999999999999</v>
      </c>
      <c r="O48" s="268">
        <f t="shared" ca="1" si="6"/>
        <v>0.46470202010906569</v>
      </c>
      <c r="P48" s="268">
        <f t="shared" ca="1" si="6"/>
        <v>7.5984677001462497E-2</v>
      </c>
      <c r="Q48" s="13"/>
      <c r="R48" s="3"/>
      <c r="S48" s="3"/>
      <c r="T48" s="3"/>
      <c r="U48" s="3"/>
      <c r="V48" s="3"/>
      <c r="W48" s="3"/>
      <c r="X48" s="3"/>
      <c r="Y48" s="3"/>
      <c r="Z48" s="3"/>
      <c r="AA48" s="3"/>
      <c r="AB48" s="28" t="s">
        <v>149</v>
      </c>
      <c r="AC48" s="8">
        <f ca="1">+I33*AD48+I37*0.06</f>
        <v>4.9121540742689662E-3</v>
      </c>
      <c r="AD48" s="2">
        <v>2.76E-2</v>
      </c>
      <c r="AE48" s="8">
        <f t="shared" ref="AE48:AE57" ca="1" si="7">AC48-AD48</f>
        <v>-2.2687845925731032E-2</v>
      </c>
      <c r="AF48" s="10">
        <v>-2.1244309559939167E-2</v>
      </c>
      <c r="AG48" s="12"/>
      <c r="AH48" s="3"/>
      <c r="AI48" s="3"/>
      <c r="AJ48" s="3"/>
      <c r="AK48" s="3"/>
      <c r="AL48" s="41">
        <f ca="1">IFERROR(__xludf.DUMMYFUNCTION("GOOGLEFINANCE(AK47)"),482.43)</f>
        <v>482.43</v>
      </c>
      <c r="AM48" s="45"/>
      <c r="AN48" s="25"/>
      <c r="AO48" s="45"/>
      <c r="AP48" s="25"/>
      <c r="AQ48" s="45"/>
      <c r="AR48" s="25"/>
      <c r="AS48" s="45"/>
      <c r="AT48" s="25"/>
      <c r="AU48" s="45"/>
      <c r="AV48" s="25"/>
      <c r="AW48" s="45"/>
      <c r="AX48" s="25"/>
      <c r="AY48" s="5"/>
      <c r="AZ48" s="5"/>
      <c r="BA48" s="5"/>
      <c r="BB48" s="5"/>
      <c r="BC48" s="5"/>
      <c r="BD48" s="5"/>
      <c r="BE48" s="5"/>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79" ht="15.75" customHeight="1">
      <c r="A49" s="254"/>
      <c r="B49" s="254"/>
      <c r="I49" s="239"/>
      <c r="J49" s="5"/>
      <c r="K49" s="87"/>
      <c r="L49" s="87"/>
      <c r="M49" s="87"/>
      <c r="N49" s="87"/>
      <c r="O49" s="117"/>
      <c r="P49" s="87"/>
      <c r="Q49" s="87"/>
      <c r="R49" s="87"/>
      <c r="S49" s="87"/>
      <c r="T49" s="87"/>
      <c r="U49" s="87"/>
      <c r="V49" s="87"/>
      <c r="W49" s="3"/>
      <c r="X49" s="3"/>
      <c r="Y49" s="3"/>
      <c r="Z49" s="3"/>
      <c r="AA49" s="3"/>
      <c r="AB49" s="28" t="s">
        <v>13</v>
      </c>
      <c r="AC49" s="8">
        <f ca="1">I33*AD49+I9+I37*0.14</f>
        <v>3.723360496533859E-2</v>
      </c>
      <c r="AD49" s="2">
        <v>0.1386</v>
      </c>
      <c r="AE49" s="8">
        <f t="shared" ca="1" si="7"/>
        <v>-0.10136639503466141</v>
      </c>
      <c r="AF49" s="10">
        <v>8.7765957446808152E-3</v>
      </c>
      <c r="AG49" s="12"/>
      <c r="AH49" s="3"/>
      <c r="AI49" s="3"/>
      <c r="AJ49" s="3"/>
      <c r="AK49" s="3"/>
      <c r="AL49" s="3"/>
      <c r="AM49" s="3"/>
      <c r="AN49" s="117"/>
      <c r="AO49" s="117"/>
      <c r="AP49" s="117"/>
      <c r="AQ49" s="117"/>
      <c r="AR49" s="117"/>
      <c r="AS49" s="117"/>
      <c r="AT49" s="117"/>
      <c r="AU49" s="24"/>
      <c r="AV49" s="117"/>
      <c r="AW49" s="24"/>
      <c r="AX49" s="117"/>
      <c r="AY49" s="5"/>
      <c r="AZ49" s="5"/>
      <c r="BA49" s="5"/>
      <c r="BB49" s="5"/>
      <c r="BC49" s="5"/>
      <c r="BD49" s="5"/>
      <c r="BE49" s="5"/>
      <c r="BF49" s="87"/>
      <c r="BG49" s="87"/>
      <c r="BH49" s="87"/>
      <c r="BI49" s="87"/>
      <c r="BJ49" s="87"/>
      <c r="BK49" s="87"/>
      <c r="BL49" s="87"/>
      <c r="BM49" s="87"/>
      <c r="BN49" s="87"/>
      <c r="BO49" s="87"/>
      <c r="BP49" s="87"/>
      <c r="BQ49" s="87"/>
      <c r="BR49" s="87"/>
      <c r="BS49" s="87"/>
      <c r="BT49" s="87"/>
      <c r="BU49" s="87"/>
      <c r="BV49" s="87"/>
      <c r="BW49" s="87"/>
      <c r="BX49" s="87"/>
      <c r="BY49" s="87"/>
      <c r="BZ49" s="87"/>
      <c r="CA49" s="87"/>
    </row>
    <row r="50" spans="1:79" ht="15.75" customHeight="1">
      <c r="A50" s="5"/>
      <c r="B50" s="254"/>
      <c r="C50" s="254"/>
      <c r="D50" s="254"/>
      <c r="E50" s="254"/>
      <c r="F50" s="254"/>
      <c r="G50" s="254"/>
      <c r="H50" s="254"/>
      <c r="I50" s="239"/>
      <c r="J50" s="5"/>
      <c r="K50" s="5"/>
      <c r="L50" s="5"/>
      <c r="M50" s="5"/>
      <c r="N50" s="87"/>
      <c r="O50" s="117"/>
      <c r="W50" s="3"/>
      <c r="X50" s="3"/>
      <c r="Y50" s="3"/>
      <c r="Z50" s="3"/>
      <c r="AA50" s="3"/>
      <c r="AB50" s="28" t="s">
        <v>150</v>
      </c>
      <c r="AC50" s="8">
        <f ca="1">I33*AD50+I37*0.11+0.25*I35+I17</f>
        <v>0.14430764682759234</v>
      </c>
      <c r="AD50" s="2">
        <v>0.1023</v>
      </c>
      <c r="AE50" s="8">
        <f t="shared" ca="1" si="7"/>
        <v>4.2007646827592338E-2</v>
      </c>
      <c r="AF50" s="10">
        <v>5.3460565647274194E-3</v>
      </c>
      <c r="AG50" s="12"/>
      <c r="AH50" s="3"/>
      <c r="AI50" s="3"/>
      <c r="AJ50" s="3"/>
      <c r="AK50" s="3"/>
      <c r="AL50" s="3"/>
      <c r="AM50" s="3"/>
      <c r="AN50" s="117"/>
      <c r="AO50" s="117"/>
      <c r="AP50" s="117"/>
      <c r="AQ50" s="117"/>
      <c r="AR50" s="117"/>
      <c r="AS50" s="117"/>
      <c r="AT50" s="117"/>
      <c r="AU50" s="24"/>
      <c r="AV50" s="117"/>
      <c r="AW50" s="24"/>
      <c r="AX50" s="117"/>
      <c r="AY50" s="24"/>
      <c r="AZ50" s="5" t="s">
        <v>58</v>
      </c>
      <c r="BA50" s="27" t="s">
        <v>59</v>
      </c>
      <c r="BC50" s="5" t="s">
        <v>60</v>
      </c>
      <c r="BE50" s="5"/>
      <c r="BF50" s="5"/>
      <c r="BG50" s="5"/>
      <c r="BH50" s="5"/>
      <c r="BI50" s="5"/>
      <c r="BJ50" s="5"/>
      <c r="BK50" s="5"/>
      <c r="BL50" s="5"/>
      <c r="BM50" s="5"/>
      <c r="BN50" s="5"/>
      <c r="BO50" s="5"/>
      <c r="BP50" s="5"/>
      <c r="BQ50" s="5"/>
      <c r="BR50" s="5"/>
      <c r="BS50" s="5"/>
      <c r="BT50" s="5"/>
      <c r="BU50" s="5"/>
      <c r="BV50" s="5"/>
      <c r="BW50" s="5"/>
      <c r="BX50" s="5"/>
      <c r="BY50" s="5"/>
      <c r="BZ50" s="5"/>
      <c r="CA50" s="5"/>
    </row>
    <row r="51" spans="1:79" ht="15.75" customHeight="1">
      <c r="A51" s="4"/>
      <c r="B51" s="254"/>
      <c r="C51" s="254"/>
      <c r="D51" s="254"/>
      <c r="E51" s="254"/>
      <c r="F51" s="254"/>
      <c r="G51" s="254"/>
      <c r="H51" s="254"/>
      <c r="I51" s="239"/>
      <c r="J51" s="5"/>
      <c r="K51" s="5"/>
      <c r="L51" s="5"/>
      <c r="M51" s="5"/>
      <c r="N51" s="87"/>
      <c r="O51" s="117"/>
      <c r="P51" s="117"/>
      <c r="Q51" s="117"/>
      <c r="R51" s="117"/>
      <c r="S51" s="117"/>
      <c r="T51" s="117"/>
      <c r="U51" s="117"/>
      <c r="V51" s="117"/>
      <c r="W51" s="3"/>
      <c r="X51" s="3"/>
      <c r="Y51" s="3"/>
      <c r="Z51" s="3"/>
      <c r="AA51" s="3"/>
      <c r="AB51" s="28" t="s">
        <v>10</v>
      </c>
      <c r="AC51" s="8">
        <f ca="1">+I33*AD51+I37*0.14</f>
        <v>1.5911107762306E-2</v>
      </c>
      <c r="AD51" s="2">
        <v>8.9399999999999993E-2</v>
      </c>
      <c r="AE51" s="8">
        <f t="shared" ca="1" si="7"/>
        <v>-7.348889223769399E-2</v>
      </c>
      <c r="AF51" s="10">
        <v>3.0327357060031535E-3</v>
      </c>
      <c r="AG51" s="12"/>
      <c r="AH51" s="3"/>
      <c r="AI51" s="3"/>
      <c r="AJ51" s="3"/>
      <c r="AK51" s="3"/>
      <c r="AL51" s="3"/>
      <c r="AM51" s="3"/>
      <c r="AN51" s="117"/>
      <c r="AO51" s="117"/>
      <c r="AP51" s="117"/>
      <c r="AQ51" s="117"/>
      <c r="AR51" s="117"/>
      <c r="AS51" s="117"/>
      <c r="AT51" s="117"/>
      <c r="AU51" s="24"/>
      <c r="AV51" s="117"/>
      <c r="AW51" s="24"/>
      <c r="AX51" s="117"/>
      <c r="AY51" s="269">
        <v>44248</v>
      </c>
      <c r="AZ51" s="63">
        <v>4.43359035718216E-3</v>
      </c>
      <c r="BA51" s="63">
        <v>2.0638342622778305E-2</v>
      </c>
      <c r="BE51" s="5"/>
      <c r="BF51" s="5"/>
      <c r="BG51" s="5"/>
      <c r="BH51" s="5"/>
      <c r="BI51" s="5"/>
      <c r="BJ51" s="5"/>
      <c r="BK51" s="5"/>
      <c r="BL51" s="5"/>
      <c r="BM51" s="5"/>
      <c r="BN51" s="5"/>
      <c r="BO51" s="5"/>
      <c r="BP51" s="5"/>
      <c r="BQ51" s="5"/>
      <c r="BR51" s="5"/>
      <c r="BS51" s="5"/>
      <c r="BT51" s="5"/>
      <c r="BU51" s="5"/>
      <c r="BV51" s="5"/>
      <c r="BW51" s="5"/>
      <c r="BX51" s="5"/>
      <c r="BY51" s="5"/>
      <c r="BZ51" s="5"/>
      <c r="CA51" s="5"/>
    </row>
    <row r="52" spans="1:79" ht="15.75" customHeight="1">
      <c r="A52" s="4"/>
      <c r="B52" s="254"/>
      <c r="C52" s="254"/>
      <c r="D52" s="254"/>
      <c r="E52" s="254"/>
      <c r="F52" s="254"/>
      <c r="G52" s="254"/>
      <c r="H52" s="254"/>
      <c r="I52" s="239"/>
      <c r="J52" s="5"/>
      <c r="K52" s="5"/>
      <c r="L52" s="5"/>
      <c r="M52" s="5"/>
      <c r="N52" s="87"/>
      <c r="O52" s="87"/>
      <c r="P52" s="87"/>
      <c r="Q52" s="87"/>
      <c r="R52" s="87"/>
      <c r="S52" s="87"/>
      <c r="T52" s="87"/>
      <c r="U52" s="87"/>
      <c r="V52" s="87"/>
      <c r="W52" s="117"/>
      <c r="X52" s="117"/>
      <c r="Y52" s="117"/>
      <c r="Z52" s="117"/>
      <c r="AA52" s="3"/>
      <c r="AB52" s="28" t="s">
        <v>11</v>
      </c>
      <c r="AC52" s="8">
        <f ca="1">I33*AD52+I31+I37*0.04</f>
        <v>1.7200754671164206E-2</v>
      </c>
      <c r="AD52" s="2">
        <v>2.4899999999999999E-2</v>
      </c>
      <c r="AE52" s="8">
        <f t="shared" ca="1" si="7"/>
        <v>-7.6992453288357923E-3</v>
      </c>
      <c r="AF52" s="10">
        <v>-1.4619532654283951E-2</v>
      </c>
      <c r="AG52" s="12"/>
      <c r="AH52" s="3"/>
      <c r="AI52" s="3"/>
      <c r="AJ52" s="3"/>
      <c r="AK52" s="3"/>
      <c r="AL52" s="3"/>
      <c r="AM52" s="3"/>
      <c r="AN52" s="117"/>
      <c r="AO52" s="117"/>
      <c r="AP52" s="117"/>
      <c r="AQ52" s="117"/>
      <c r="AR52" s="117"/>
      <c r="AS52" s="117"/>
      <c r="AT52" s="117"/>
      <c r="AU52" s="24"/>
      <c r="AV52" s="117"/>
      <c r="AW52" s="24"/>
      <c r="AX52" s="117"/>
      <c r="AY52" s="269">
        <v>44276</v>
      </c>
      <c r="AZ52" s="63">
        <v>-4.150675257945121E-2</v>
      </c>
      <c r="BA52" s="63">
        <v>4.1986539068251005E-2</v>
      </c>
      <c r="BE52" s="5"/>
      <c r="BF52" s="5"/>
      <c r="BG52" s="5"/>
      <c r="BH52" s="5"/>
      <c r="BI52" s="5"/>
      <c r="BJ52" s="5"/>
      <c r="BK52" s="5"/>
      <c r="BL52" s="5"/>
      <c r="BM52" s="5"/>
      <c r="BN52" s="5"/>
      <c r="BO52" s="5"/>
      <c r="BP52" s="5"/>
      <c r="BQ52" s="5"/>
      <c r="BR52" s="5"/>
      <c r="BS52" s="5"/>
      <c r="BT52" s="5"/>
      <c r="BU52" s="5"/>
      <c r="BV52" s="5"/>
      <c r="BW52" s="5"/>
      <c r="BX52" s="5"/>
      <c r="BY52" s="5"/>
      <c r="BZ52" s="5"/>
      <c r="CA52" s="5"/>
    </row>
    <row r="53" spans="1:79" ht="15.75" customHeight="1">
      <c r="A53" s="4"/>
      <c r="B53" s="254"/>
      <c r="C53" s="254"/>
      <c r="D53" s="270" t="s">
        <v>151</v>
      </c>
      <c r="E53" s="254"/>
      <c r="F53" s="254"/>
      <c r="G53" s="254"/>
      <c r="H53" s="254"/>
      <c r="I53" s="239"/>
      <c r="J53" s="3"/>
      <c r="K53" s="3"/>
      <c r="L53" s="3"/>
      <c r="M53" s="3"/>
      <c r="N53" s="3"/>
      <c r="O53" s="3"/>
      <c r="P53" s="3"/>
      <c r="Q53" s="3"/>
      <c r="R53" s="3"/>
      <c r="S53" s="3"/>
      <c r="T53" s="3"/>
      <c r="U53" s="3"/>
      <c r="V53" s="3"/>
      <c r="W53" s="3"/>
      <c r="X53" s="271" t="s">
        <v>64</v>
      </c>
      <c r="Y53" s="271">
        <f ca="1">SUM(I3:I8)</f>
        <v>0.12679523622548799</v>
      </c>
      <c r="Z53" s="117"/>
      <c r="AA53" s="3"/>
      <c r="AB53" s="28" t="s">
        <v>14</v>
      </c>
      <c r="AC53" s="8">
        <f ca="1">+I33*AD53+I21+I23+I25+I27+I37*0.05+I29</f>
        <v>0.1731431992351164</v>
      </c>
      <c r="AD53" s="2">
        <v>5.21E-2</v>
      </c>
      <c r="AE53" s="8">
        <f t="shared" ca="1" si="7"/>
        <v>0.12104319923511639</v>
      </c>
      <c r="AF53" s="10">
        <v>-3.0358006773101187E-2</v>
      </c>
      <c r="AG53" s="12"/>
      <c r="AH53" s="3"/>
      <c r="AI53" s="3"/>
      <c r="AJ53" s="5"/>
      <c r="AK53" s="5"/>
      <c r="AL53" s="3"/>
      <c r="AM53" s="3"/>
      <c r="AN53" s="117"/>
      <c r="AO53" s="117"/>
      <c r="AP53" s="117"/>
      <c r="AQ53" s="117"/>
      <c r="AR53" s="117"/>
      <c r="AS53" s="117"/>
      <c r="AT53" s="117"/>
      <c r="AU53" s="24"/>
      <c r="AV53" s="117"/>
      <c r="AW53" s="24"/>
      <c r="AX53" s="117"/>
      <c r="AY53" s="269">
        <v>44307</v>
      </c>
      <c r="AZ53" s="63">
        <v>1.545E-2</v>
      </c>
      <c r="BA53" s="63">
        <v>5.2999999999999999E-2</v>
      </c>
      <c r="BE53" s="5"/>
      <c r="BF53" s="5"/>
      <c r="BG53" s="5"/>
      <c r="BH53" s="5"/>
      <c r="BI53" s="5"/>
      <c r="BJ53" s="5"/>
      <c r="BK53" s="5"/>
      <c r="BL53" s="5"/>
      <c r="BM53" s="5"/>
      <c r="BN53" s="5"/>
      <c r="BO53" s="5"/>
      <c r="BP53" s="5"/>
      <c r="BQ53" s="5"/>
      <c r="BR53" s="5"/>
      <c r="BS53" s="5"/>
      <c r="BT53" s="5"/>
      <c r="BU53" s="5"/>
      <c r="BV53" s="5"/>
      <c r="BW53" s="5"/>
      <c r="BX53" s="5"/>
      <c r="BY53" s="5"/>
      <c r="BZ53" s="5"/>
      <c r="CA53" s="5"/>
    </row>
    <row r="54" spans="1:79" ht="15.75" customHeight="1">
      <c r="A54" s="4"/>
      <c r="B54" s="254"/>
      <c r="C54" s="254"/>
      <c r="D54" s="254"/>
      <c r="E54" s="254"/>
      <c r="F54" s="254"/>
      <c r="G54" s="254"/>
      <c r="H54" s="254"/>
      <c r="I54" s="239"/>
      <c r="J54" s="3"/>
      <c r="K54" s="87"/>
      <c r="L54" s="3"/>
      <c r="M54" s="3"/>
      <c r="N54" s="3"/>
      <c r="O54" s="3"/>
      <c r="P54" s="3"/>
      <c r="Q54" s="3"/>
      <c r="R54" s="3"/>
      <c r="S54" s="3"/>
      <c r="T54" s="3"/>
      <c r="U54" s="3"/>
      <c r="V54" s="3"/>
      <c r="W54" s="3"/>
      <c r="X54" s="271" t="s">
        <v>85</v>
      </c>
      <c r="Y54" s="271">
        <f ca="1">SUM(I9:I20)</f>
        <v>0.18674486113434188</v>
      </c>
      <c r="Z54" s="117"/>
      <c r="AA54" s="3"/>
      <c r="AB54" s="28" t="s">
        <v>15</v>
      </c>
      <c r="AC54" s="8">
        <f ca="1">I33*AD54+I19+I37*0.13+I5</f>
        <v>9.7159020381530042E-2</v>
      </c>
      <c r="AD54" s="2">
        <v>0.1537</v>
      </c>
      <c r="AE54" s="8">
        <f t="shared" ca="1" si="7"/>
        <v>-5.6540979618469961E-2</v>
      </c>
      <c r="AF54" s="10">
        <v>-7.5434101907202455E-3</v>
      </c>
      <c r="AG54" s="12"/>
      <c r="AH54" s="3"/>
      <c r="AI54" s="3"/>
      <c r="AJ54" s="5"/>
      <c r="AK54" s="5"/>
      <c r="AL54" s="3"/>
      <c r="AM54" s="3"/>
      <c r="AN54" s="117"/>
      <c r="AO54" s="117"/>
      <c r="AP54" s="117"/>
      <c r="AQ54" s="117"/>
      <c r="AR54" s="117"/>
      <c r="AS54" s="117"/>
      <c r="AT54" s="117"/>
      <c r="AU54" s="24"/>
      <c r="AV54" s="117"/>
      <c r="AW54" s="24"/>
      <c r="AX54" s="117"/>
      <c r="AY54" s="269">
        <v>44337</v>
      </c>
      <c r="AZ54" s="63">
        <v>-5.7500000000000002E-2</v>
      </c>
      <c r="BA54" s="63">
        <v>7.0000000000000001E-3</v>
      </c>
      <c r="BE54" s="5"/>
      <c r="BF54" s="5"/>
      <c r="BG54" s="5"/>
      <c r="BH54" s="5"/>
      <c r="BI54" s="5"/>
      <c r="BJ54" s="5"/>
      <c r="BK54" s="5"/>
      <c r="BL54" s="5"/>
      <c r="BM54" s="5"/>
      <c r="BN54" s="5"/>
      <c r="BO54" s="5"/>
      <c r="BP54" s="5"/>
      <c r="BQ54" s="5"/>
      <c r="BR54" s="5"/>
      <c r="BS54" s="5"/>
      <c r="BT54" s="5"/>
      <c r="BU54" s="5"/>
      <c r="BV54" s="5"/>
      <c r="BW54" s="5"/>
      <c r="BX54" s="5"/>
      <c r="BY54" s="5"/>
      <c r="BZ54" s="5"/>
      <c r="CA54" s="5"/>
    </row>
    <row r="55" spans="1:79" ht="15.75" customHeight="1">
      <c r="A55" s="4"/>
      <c r="B55" s="254"/>
      <c r="C55" s="254"/>
      <c r="D55" s="254"/>
      <c r="E55" s="254"/>
      <c r="F55" s="254"/>
      <c r="G55" s="254"/>
      <c r="H55" s="254"/>
      <c r="I55" s="239"/>
      <c r="J55" s="3"/>
      <c r="K55" s="87"/>
      <c r="L55" s="3"/>
      <c r="M55" s="3"/>
      <c r="N55" s="3"/>
      <c r="O55" s="3"/>
      <c r="P55" s="3"/>
      <c r="Q55" s="3"/>
      <c r="R55" s="3"/>
      <c r="S55" s="3"/>
      <c r="T55" s="3"/>
      <c r="U55" s="3"/>
      <c r="V55" s="3"/>
      <c r="W55" s="3"/>
      <c r="X55" s="271" t="s">
        <v>152</v>
      </c>
      <c r="Y55" s="271">
        <f ca="1">SUM(I21:I32)</f>
        <v>0.1766397559454578</v>
      </c>
      <c r="Z55" s="117"/>
      <c r="AA55" s="3"/>
      <c r="AB55" s="28" t="s">
        <v>16</v>
      </c>
      <c r="AC55" s="8">
        <f ca="1">I7+I33*AD55+I3+I37*0.08</f>
        <v>9.3682730400883346E-2</v>
      </c>
      <c r="AD55" s="2">
        <v>7.4899999999999994E-2</v>
      </c>
      <c r="AE55" s="8">
        <f t="shared" ca="1" si="7"/>
        <v>1.8782730400883352E-2</v>
      </c>
      <c r="AF55" s="10">
        <v>-1.0302197802197766E-2</v>
      </c>
      <c r="AG55" s="12"/>
      <c r="AH55" s="3"/>
      <c r="AI55" s="3"/>
      <c r="AJ55" s="5"/>
      <c r="AK55" s="5"/>
      <c r="AL55" s="3"/>
      <c r="AM55" s="3"/>
      <c r="AN55" s="117"/>
      <c r="AO55" s="117"/>
      <c r="AP55" s="117"/>
      <c r="AQ55" s="117"/>
      <c r="AR55" s="117"/>
      <c r="AS55" s="117"/>
      <c r="AT55" s="117"/>
      <c r="AU55" s="24"/>
      <c r="AV55" s="117"/>
      <c r="AW55" s="24"/>
      <c r="AX55" s="117"/>
      <c r="AY55" s="269">
        <v>44368</v>
      </c>
      <c r="AZ55" s="63">
        <v>3.4499999999999999E-3</v>
      </c>
      <c r="BA55" s="63">
        <v>2.7E-2</v>
      </c>
      <c r="BE55" s="5"/>
      <c r="BF55" s="5"/>
      <c r="BG55" s="5"/>
      <c r="BH55" s="5"/>
      <c r="BI55" s="5"/>
      <c r="BJ55" s="5"/>
      <c r="BK55" s="5"/>
      <c r="BL55" s="5"/>
      <c r="BM55" s="5"/>
      <c r="BN55" s="5"/>
      <c r="BO55" s="5"/>
      <c r="BP55" s="5"/>
      <c r="BQ55" s="5"/>
      <c r="BR55" s="5"/>
      <c r="BS55" s="5"/>
      <c r="BT55" s="5"/>
      <c r="BU55" s="5"/>
      <c r="BV55" s="5"/>
      <c r="BW55" s="5"/>
      <c r="BX55" s="5"/>
      <c r="BY55" s="5"/>
      <c r="BZ55" s="5"/>
      <c r="CA55" s="5"/>
    </row>
    <row r="56" spans="1:79" ht="15.75" customHeight="1">
      <c r="A56" s="4"/>
      <c r="B56" s="254"/>
      <c r="C56" s="254"/>
      <c r="D56" s="254"/>
      <c r="E56" s="254"/>
      <c r="F56" s="254"/>
      <c r="G56" s="254"/>
      <c r="H56" s="254"/>
      <c r="I56" s="239"/>
      <c r="J56" s="3"/>
      <c r="K56" s="87"/>
      <c r="L56" s="3"/>
      <c r="M56" s="3"/>
      <c r="N56" s="3"/>
      <c r="O56" s="3"/>
      <c r="P56" s="3"/>
      <c r="Q56" s="3"/>
      <c r="R56" s="3"/>
      <c r="S56" s="3"/>
      <c r="T56" s="3"/>
      <c r="U56" s="3"/>
      <c r="V56" s="3"/>
      <c r="W56" s="3"/>
      <c r="X56" s="272" t="s">
        <v>153</v>
      </c>
      <c r="Y56" s="271">
        <f ca="1">+I33+I35</f>
        <v>0.50816002048775566</v>
      </c>
      <c r="Z56" s="117"/>
      <c r="AA56" s="3"/>
      <c r="AB56" s="28" t="s">
        <v>17</v>
      </c>
      <c r="AC56" s="8">
        <f ca="1">I33*AD56+I37*0.06</f>
        <v>4.5384032207919792E-3</v>
      </c>
      <c r="AD56" s="2">
        <v>2.5499999999999998E-2</v>
      </c>
      <c r="AE56" s="8">
        <f t="shared" ca="1" si="7"/>
        <v>-2.096159677920802E-2</v>
      </c>
      <c r="AF56" s="10">
        <v>-3.6955148452305853E-2</v>
      </c>
      <c r="AG56" s="12"/>
      <c r="AH56" s="3"/>
      <c r="AI56" s="3"/>
      <c r="AJ56" s="5"/>
      <c r="AK56" s="5"/>
      <c r="AL56" s="3"/>
      <c r="AM56" s="3"/>
      <c r="AN56" s="117"/>
      <c r="AO56" s="117"/>
      <c r="AP56" s="117"/>
      <c r="AQ56" s="117"/>
      <c r="AR56" s="117"/>
      <c r="AS56" s="117"/>
      <c r="AT56" s="117"/>
      <c r="AU56" s="24"/>
      <c r="AV56" s="117"/>
      <c r="AW56" s="24"/>
      <c r="AX56" s="117"/>
      <c r="AY56" s="269">
        <v>44398</v>
      </c>
      <c r="AZ56" s="63">
        <v>-7.4000000000000003E-3</v>
      </c>
      <c r="BA56" s="63">
        <v>2.4E-2</v>
      </c>
      <c r="BE56" s="5"/>
      <c r="BF56" s="5"/>
      <c r="BG56" s="5"/>
      <c r="BH56" s="5"/>
      <c r="BI56" s="5"/>
      <c r="BJ56" s="5"/>
      <c r="BK56" s="5"/>
      <c r="BL56" s="5"/>
      <c r="BM56" s="5"/>
      <c r="BN56" s="5"/>
      <c r="BO56" s="5"/>
      <c r="BP56" s="5"/>
      <c r="BQ56" s="5"/>
      <c r="BR56" s="5"/>
      <c r="BS56" s="5"/>
      <c r="BT56" s="5"/>
      <c r="BU56" s="5"/>
      <c r="BV56" s="5"/>
      <c r="BW56" s="5"/>
      <c r="BX56" s="5"/>
      <c r="BY56" s="5"/>
      <c r="BZ56" s="5"/>
      <c r="CA56" s="5"/>
    </row>
    <row r="57" spans="1:79" ht="15.75" customHeight="1">
      <c r="A57" s="4"/>
      <c r="B57" s="254"/>
      <c r="C57" s="254"/>
      <c r="D57" s="254"/>
      <c r="E57" s="254"/>
      <c r="F57" s="254"/>
      <c r="G57" s="254"/>
      <c r="H57" s="254"/>
      <c r="I57" s="239"/>
      <c r="J57" s="3"/>
      <c r="K57" s="87"/>
      <c r="L57" s="3"/>
      <c r="M57" s="3"/>
      <c r="N57" s="3"/>
      <c r="O57" s="3"/>
      <c r="P57" s="3"/>
      <c r="Q57" s="3"/>
      <c r="R57" s="3"/>
      <c r="S57" s="3"/>
      <c r="T57" s="3"/>
      <c r="U57" s="3"/>
      <c r="V57" s="3"/>
      <c r="W57" s="3"/>
      <c r="X57" s="271" t="s">
        <v>131</v>
      </c>
      <c r="Y57" s="271">
        <f ca="1">N41</f>
        <v>1.660126206956686E-3</v>
      </c>
      <c r="Z57" s="3"/>
      <c r="AA57" s="3"/>
      <c r="AB57" s="273" t="s">
        <v>131</v>
      </c>
      <c r="AC57" s="15">
        <f ca="1">N41</f>
        <v>1.660126206956686E-3</v>
      </c>
      <c r="AD57" s="16"/>
      <c r="AE57" s="17">
        <f t="shared" ca="1" si="7"/>
        <v>1.660126206956686E-3</v>
      </c>
      <c r="AF57" s="274"/>
      <c r="AG57" s="12"/>
      <c r="AH57" s="3"/>
      <c r="AI57" s="3"/>
      <c r="AJ57" s="5"/>
      <c r="AK57" s="5"/>
      <c r="AL57" s="3"/>
      <c r="AM57" s="3"/>
      <c r="AN57" s="117"/>
      <c r="AO57" s="117"/>
      <c r="AP57" s="117"/>
      <c r="AQ57" s="117"/>
      <c r="AR57" s="117"/>
      <c r="AS57" s="117"/>
      <c r="AT57" s="117"/>
      <c r="AU57" s="24"/>
      <c r="AV57" s="117"/>
      <c r="AW57" s="24"/>
      <c r="AX57" s="117"/>
      <c r="AY57" s="269">
        <v>44429</v>
      </c>
      <c r="AZ57" s="63">
        <v>2.64E-2</v>
      </c>
      <c r="BA57" s="63">
        <v>2.9759868646097143E-2</v>
      </c>
      <c r="BE57" s="5"/>
      <c r="BF57" s="5"/>
      <c r="BG57" s="5"/>
      <c r="BH57" s="5"/>
      <c r="BI57" s="5"/>
      <c r="BJ57" s="5"/>
      <c r="BK57" s="5"/>
      <c r="BL57" s="5"/>
      <c r="BM57" s="5"/>
      <c r="BN57" s="5"/>
      <c r="BO57" s="5"/>
      <c r="BP57" s="5"/>
      <c r="BQ57" s="5"/>
      <c r="BR57" s="5"/>
      <c r="BS57" s="5"/>
      <c r="BT57" s="5"/>
      <c r="BU57" s="5"/>
      <c r="BV57" s="5"/>
      <c r="BW57" s="5"/>
      <c r="BX57" s="5"/>
      <c r="BY57" s="5"/>
      <c r="BZ57" s="5"/>
      <c r="CA57" s="5"/>
    </row>
    <row r="58" spans="1:79" ht="15.75" customHeight="1">
      <c r="A58" s="4"/>
      <c r="B58" s="254"/>
      <c r="C58" s="254"/>
      <c r="D58" s="254"/>
      <c r="E58" s="254"/>
      <c r="F58" s="254"/>
      <c r="G58" s="254"/>
      <c r="H58" s="254"/>
      <c r="I58" s="239"/>
      <c r="J58" s="3"/>
      <c r="K58" s="87"/>
      <c r="L58" s="3"/>
      <c r="M58" s="3"/>
      <c r="N58" s="3"/>
      <c r="O58" s="3"/>
      <c r="P58" s="3"/>
      <c r="Q58" s="3"/>
      <c r="R58" s="3"/>
      <c r="S58" s="3"/>
      <c r="T58" s="3"/>
      <c r="U58" s="3"/>
      <c r="V58" s="3"/>
      <c r="W58" s="3"/>
      <c r="X58" s="271"/>
      <c r="Y58" s="271">
        <f ca="1">SUM(Y53:Y57)</f>
        <v>1</v>
      </c>
      <c r="Z58" s="3"/>
      <c r="AA58" s="3"/>
      <c r="AB58" s="25"/>
      <c r="AC58" s="262">
        <f t="shared" ref="AC58:AD58" ca="1" si="8">SUM(AC46:AC57)</f>
        <v>1.0082204637247081</v>
      </c>
      <c r="AD58" s="275">
        <f t="shared" si="8"/>
        <v>1.0000000000000002</v>
      </c>
      <c r="AE58" s="12"/>
      <c r="AF58" s="3"/>
      <c r="AG58" s="12"/>
      <c r="AH58" s="3"/>
      <c r="AI58" s="3"/>
      <c r="AJ58" s="5"/>
      <c r="AK58" s="5"/>
      <c r="AL58" s="3"/>
      <c r="AM58" s="3"/>
      <c r="AN58" s="117"/>
      <c r="AO58" s="117"/>
      <c r="AP58" s="117"/>
      <c r="AQ58" s="117"/>
      <c r="AR58" s="117"/>
      <c r="AS58" s="117"/>
      <c r="AT58" s="117"/>
      <c r="AU58" s="24"/>
      <c r="AV58" s="117"/>
      <c r="AW58" s="24"/>
      <c r="AX58" s="117"/>
      <c r="AY58" s="269">
        <v>44460</v>
      </c>
      <c r="AZ58" s="63">
        <v>-1.0999999999999999E-2</v>
      </c>
      <c r="BA58" s="63">
        <v>-4.1000000000000002E-2</v>
      </c>
      <c r="BE58" s="5"/>
      <c r="BF58" s="5"/>
      <c r="BG58" s="5"/>
      <c r="BH58" s="5"/>
      <c r="BI58" s="5"/>
      <c r="BJ58" s="5"/>
      <c r="BK58" s="5"/>
      <c r="BL58" s="5"/>
      <c r="BM58" s="5"/>
      <c r="BN58" s="5"/>
      <c r="BO58" s="5"/>
      <c r="BP58" s="5"/>
      <c r="BQ58" s="5"/>
      <c r="BR58" s="5"/>
      <c r="BS58" s="5"/>
      <c r="BT58" s="5"/>
      <c r="BU58" s="5"/>
      <c r="BV58" s="5"/>
      <c r="BW58" s="5"/>
      <c r="BX58" s="5"/>
      <c r="BY58" s="5"/>
      <c r="BZ58" s="5"/>
      <c r="CA58" s="5"/>
    </row>
    <row r="59" spans="1:79" ht="15.75" customHeight="1">
      <c r="A59" s="4"/>
      <c r="B59" s="254"/>
      <c r="C59" s="254"/>
      <c r="D59" s="254"/>
      <c r="E59" s="254"/>
      <c r="F59" s="254"/>
      <c r="G59" s="254"/>
      <c r="H59" s="254"/>
      <c r="I59" s="239"/>
      <c r="J59" s="3"/>
      <c r="K59" s="87"/>
      <c r="L59" s="3"/>
      <c r="M59" s="3"/>
      <c r="N59" s="3"/>
      <c r="O59" s="3"/>
      <c r="P59" s="3"/>
      <c r="Q59" s="3"/>
      <c r="R59" s="3"/>
      <c r="S59" s="3"/>
      <c r="T59" s="3"/>
      <c r="U59" s="3"/>
      <c r="V59" s="3"/>
      <c r="W59" s="3"/>
      <c r="X59" s="3"/>
      <c r="Y59" s="3"/>
      <c r="Z59" s="3"/>
      <c r="AA59" s="3"/>
      <c r="AB59" s="3"/>
      <c r="AC59" s="3"/>
      <c r="AD59" s="3"/>
      <c r="AE59" s="3"/>
      <c r="AF59" s="3"/>
      <c r="AG59" s="3"/>
      <c r="AH59" s="3"/>
      <c r="AI59" s="3"/>
      <c r="AJ59" s="5"/>
      <c r="AK59" s="5"/>
      <c r="AL59" s="3"/>
      <c r="AM59" s="3"/>
      <c r="AN59" s="117"/>
      <c r="AO59" s="117"/>
      <c r="AP59" s="117"/>
      <c r="AQ59" s="117"/>
      <c r="AR59" s="117"/>
      <c r="AS59" s="117"/>
      <c r="AT59" s="117"/>
      <c r="AU59" s="24"/>
      <c r="AV59" s="117"/>
      <c r="AW59" s="24"/>
      <c r="AX59" s="117"/>
      <c r="AY59" s="269">
        <v>44490</v>
      </c>
      <c r="AZ59" s="63">
        <f>7.8%</f>
        <v>7.8E-2</v>
      </c>
      <c r="BA59" s="63">
        <v>6.9000000000000006E-2</v>
      </c>
      <c r="BE59" s="5"/>
      <c r="BF59" s="5"/>
      <c r="BG59" s="5"/>
      <c r="BH59" s="5"/>
      <c r="BI59" s="5"/>
      <c r="BJ59" s="5"/>
      <c r="BK59" s="5"/>
      <c r="BL59" s="5"/>
      <c r="BM59" s="5"/>
      <c r="BN59" s="5"/>
      <c r="BO59" s="5"/>
      <c r="BP59" s="5"/>
      <c r="BQ59" s="5"/>
      <c r="BR59" s="5"/>
      <c r="BS59" s="5"/>
      <c r="BT59" s="5"/>
      <c r="BU59" s="5"/>
      <c r="BV59" s="5"/>
      <c r="BW59" s="5"/>
      <c r="BX59" s="5"/>
      <c r="BY59" s="5"/>
      <c r="BZ59" s="5"/>
      <c r="CA59" s="5"/>
    </row>
    <row r="60" spans="1:79" ht="15.75" customHeight="1">
      <c r="A60" s="4"/>
      <c r="B60" s="276" t="s">
        <v>154</v>
      </c>
      <c r="C60" s="277"/>
      <c r="D60" s="277"/>
      <c r="E60" s="277"/>
      <c r="F60" s="277"/>
      <c r="G60" s="277"/>
      <c r="H60" s="277"/>
      <c r="I60" s="278"/>
      <c r="J60" s="252"/>
      <c r="K60" s="279"/>
      <c r="L60" s="252"/>
      <c r="M60" s="252"/>
      <c r="N60" s="252"/>
      <c r="O60" s="252"/>
      <c r="P60" s="252"/>
      <c r="Q60" s="252"/>
      <c r="R60" s="252"/>
      <c r="S60" s="252"/>
      <c r="T60" s="252"/>
      <c r="U60" s="252"/>
      <c r="V60" s="252"/>
      <c r="W60" s="252"/>
      <c r="X60" s="252"/>
      <c r="Y60" s="3"/>
      <c r="Z60" s="3"/>
      <c r="AA60" s="3"/>
      <c r="AB60" s="3"/>
      <c r="AC60" s="3"/>
      <c r="AD60" s="3"/>
      <c r="AE60" s="3"/>
      <c r="AF60" s="3"/>
      <c r="AG60" s="3"/>
      <c r="AH60" s="3"/>
      <c r="AI60" s="3"/>
      <c r="AJ60" s="5"/>
      <c r="AK60" s="5"/>
      <c r="AL60" s="3"/>
      <c r="AM60" s="3"/>
      <c r="AN60" s="117"/>
      <c r="AO60" s="117"/>
      <c r="AP60" s="117"/>
      <c r="AQ60" s="117"/>
      <c r="AR60" s="117"/>
      <c r="AS60" s="117"/>
      <c r="AT60" s="117"/>
      <c r="AU60" s="24"/>
      <c r="AV60" s="117"/>
      <c r="AW60" s="24"/>
      <c r="AX60" s="117"/>
      <c r="AY60" s="269">
        <v>44521</v>
      </c>
      <c r="AZ60" s="63">
        <v>-2E-3</v>
      </c>
      <c r="BA60" s="63">
        <v>-8.0000000000000002E-3</v>
      </c>
      <c r="BE60" s="5"/>
      <c r="BF60" s="5"/>
      <c r="BG60" s="5"/>
      <c r="BH60" s="5"/>
      <c r="BI60" s="5"/>
      <c r="BJ60" s="5"/>
      <c r="BK60" s="5"/>
      <c r="BL60" s="5"/>
      <c r="BM60" s="5"/>
      <c r="BN60" s="5"/>
      <c r="BO60" s="5"/>
      <c r="BP60" s="5"/>
      <c r="BQ60" s="5"/>
      <c r="BR60" s="5"/>
      <c r="BS60" s="5"/>
      <c r="BT60" s="5"/>
      <c r="BU60" s="5"/>
      <c r="BV60" s="5"/>
      <c r="BW60" s="5"/>
      <c r="BX60" s="5"/>
      <c r="BY60" s="5"/>
      <c r="BZ60" s="5"/>
      <c r="CA60" s="5"/>
    </row>
    <row r="61" spans="1:79" ht="15.75" customHeight="1">
      <c r="A61" s="60"/>
      <c r="B61" s="60"/>
      <c r="C61" s="460" t="s">
        <v>24</v>
      </c>
      <c r="D61" s="461"/>
      <c r="E61" s="461"/>
      <c r="F61" s="461"/>
      <c r="G61" s="461"/>
      <c r="H61" s="461"/>
      <c r="I61" s="462"/>
      <c r="J61" s="467" t="s">
        <v>155</v>
      </c>
      <c r="K61" s="468"/>
      <c r="L61" s="468"/>
      <c r="M61" s="468"/>
      <c r="N61" s="468"/>
      <c r="O61" s="468"/>
      <c r="P61" s="468"/>
      <c r="Q61" s="468"/>
      <c r="R61" s="468"/>
      <c r="S61" s="468"/>
      <c r="T61" s="468"/>
      <c r="U61" s="468"/>
      <c r="V61" s="468"/>
      <c r="W61" s="468"/>
      <c r="X61" s="469"/>
      <c r="Y61" s="3"/>
      <c r="Z61" s="3"/>
      <c r="AA61" s="3"/>
      <c r="AB61" s="3"/>
      <c r="AC61" s="3"/>
      <c r="AD61" s="3"/>
      <c r="AE61" s="3"/>
      <c r="AF61" s="3"/>
      <c r="AG61" s="3"/>
      <c r="AH61" s="5"/>
      <c r="AI61" s="5"/>
      <c r="AJ61" s="5"/>
      <c r="AK61" s="5"/>
      <c r="AL61" s="3"/>
      <c r="AM61" s="3"/>
      <c r="AN61" s="117"/>
      <c r="AO61" s="117"/>
      <c r="AP61" s="117"/>
      <c r="AQ61" s="117"/>
      <c r="AR61" s="117"/>
      <c r="AS61" s="117"/>
      <c r="AT61" s="117"/>
      <c r="AU61" s="24"/>
      <c r="AV61" s="117"/>
      <c r="AW61" s="24"/>
      <c r="AX61" s="117"/>
      <c r="AY61" s="269">
        <v>44551</v>
      </c>
      <c r="AZ61" s="63">
        <v>4.9000000000000002E-2</v>
      </c>
      <c r="BA61" s="63">
        <v>4.2999999999999997E-2</v>
      </c>
      <c r="BE61" s="5"/>
      <c r="BF61" s="5"/>
      <c r="BG61" s="5"/>
      <c r="BH61" s="5"/>
      <c r="BI61" s="5"/>
      <c r="BJ61" s="5"/>
      <c r="BK61" s="5"/>
      <c r="BL61" s="5"/>
      <c r="BM61" s="5"/>
      <c r="BN61" s="5"/>
      <c r="BO61" s="5"/>
      <c r="BP61" s="5"/>
      <c r="BQ61" s="5"/>
      <c r="BR61" s="5"/>
      <c r="BS61" s="5"/>
      <c r="BT61" s="5"/>
      <c r="BU61" s="5"/>
      <c r="BV61" s="5"/>
      <c r="BW61" s="5"/>
      <c r="BX61" s="5"/>
      <c r="BY61" s="5"/>
      <c r="BZ61" s="5"/>
      <c r="CA61" s="5"/>
    </row>
    <row r="62" spans="1:79" ht="48">
      <c r="A62" s="32"/>
      <c r="B62" s="33" t="s">
        <v>0</v>
      </c>
      <c r="C62" s="34" t="s">
        <v>1</v>
      </c>
      <c r="D62" s="33" t="s">
        <v>29</v>
      </c>
      <c r="E62" s="33" t="s">
        <v>2</v>
      </c>
      <c r="F62" s="33" t="s">
        <v>30</v>
      </c>
      <c r="G62" s="33" t="s">
        <v>31</v>
      </c>
      <c r="H62" s="280" t="s">
        <v>156</v>
      </c>
      <c r="I62" s="33" t="s">
        <v>33</v>
      </c>
      <c r="J62" s="281" t="s">
        <v>157</v>
      </c>
      <c r="K62" s="35" t="s">
        <v>34</v>
      </c>
      <c r="L62" s="281" t="s">
        <v>35</v>
      </c>
      <c r="M62" s="35" t="s">
        <v>36</v>
      </c>
      <c r="N62" s="282" t="s">
        <v>158</v>
      </c>
      <c r="O62" s="35" t="s">
        <v>38</v>
      </c>
      <c r="P62" s="35" t="s">
        <v>39</v>
      </c>
      <c r="Q62" s="35" t="s">
        <v>40</v>
      </c>
      <c r="R62" s="470" t="s">
        <v>159</v>
      </c>
      <c r="S62" s="471"/>
      <c r="T62" s="471"/>
      <c r="U62" s="471"/>
      <c r="V62" s="471"/>
      <c r="W62" s="471"/>
      <c r="X62" s="472"/>
      <c r="Y62" s="3"/>
      <c r="Z62" s="3"/>
      <c r="AA62" s="3"/>
      <c r="AB62" s="3"/>
      <c r="AC62" s="3"/>
      <c r="AD62" s="3"/>
      <c r="AE62" s="3"/>
      <c r="AF62" s="3"/>
      <c r="AG62" s="3"/>
      <c r="AH62" s="40"/>
      <c r="AI62" s="40"/>
      <c r="AJ62" s="40"/>
      <c r="AK62" s="40"/>
      <c r="AL62" s="40"/>
      <c r="AM62" s="40"/>
      <c r="AN62" s="40"/>
      <c r="AO62" s="40"/>
      <c r="AP62" s="40"/>
      <c r="AQ62" s="40"/>
      <c r="AR62" s="40"/>
      <c r="AS62" s="40"/>
      <c r="AT62" s="40"/>
      <c r="AU62" s="40"/>
      <c r="AV62" s="40"/>
      <c r="AW62" s="40"/>
      <c r="AX62" s="40"/>
      <c r="AY62" s="269">
        <v>44583</v>
      </c>
      <c r="AZ62" s="63">
        <v>-2.0706362890920212E-2</v>
      </c>
      <c r="BA62" s="63">
        <v>-5.2741283476503198E-2</v>
      </c>
      <c r="BD62" s="32"/>
      <c r="BE62" s="32"/>
      <c r="BF62" s="32"/>
      <c r="BG62" s="32"/>
      <c r="BH62" s="32"/>
      <c r="BI62" s="32"/>
      <c r="BJ62" s="32"/>
      <c r="BK62" s="32"/>
      <c r="BL62" s="32"/>
      <c r="BM62" s="32"/>
      <c r="BN62" s="32"/>
      <c r="BO62" s="32"/>
      <c r="BP62" s="32"/>
      <c r="BQ62" s="32"/>
      <c r="BR62" s="32"/>
    </row>
    <row r="63" spans="1:79" ht="15.75" customHeight="1">
      <c r="A63" s="3"/>
      <c r="B63" s="191" t="s">
        <v>88</v>
      </c>
      <c r="C63" s="192" t="str">
        <f ca="1">IFERROR(__xludf.DUMMYFUNCTION("GoogleFinance(B63,""name"")"),"T-Mobile Us Inc")</f>
        <v>T-Mobile Us Inc</v>
      </c>
      <c r="D63" s="193">
        <f ca="1">IFERROR(__xludf.DUMMYFUNCTION("GoogleFinance(B63,""marketcap"")/1000000"),191003.415235)</f>
        <v>191003.41523499999</v>
      </c>
      <c r="E63" s="194" t="s">
        <v>12</v>
      </c>
      <c r="F63" s="194" t="s">
        <v>89</v>
      </c>
      <c r="G63" s="195">
        <v>45191</v>
      </c>
      <c r="H63" s="45">
        <v>45294</v>
      </c>
      <c r="I63" s="197">
        <f t="shared" ref="I63:I65" ca="1" si="9">N63/$M$42</f>
        <v>2.2729894650248626E-2</v>
      </c>
      <c r="J63" s="198">
        <v>164.3</v>
      </c>
      <c r="K63" s="199">
        <v>139.5</v>
      </c>
      <c r="L63" s="200">
        <v>15</v>
      </c>
      <c r="M63" s="201">
        <f t="shared" ref="M63:M65" si="10">L63*K63</f>
        <v>2092.5</v>
      </c>
      <c r="N63" s="202">
        <f t="shared" ref="N63:N65" si="11">J63*L63</f>
        <v>2464.5</v>
      </c>
      <c r="O63" s="202">
        <f t="shared" ref="O63:O65" si="12">N63-M63</f>
        <v>372</v>
      </c>
      <c r="P63" s="196">
        <f t="shared" ref="P63:P65" si="13">J63/K63-1</f>
        <v>0.17777777777777781</v>
      </c>
      <c r="Q63" s="203">
        <f t="shared" ref="Q63:Q65" si="14">H63-G63</f>
        <v>103</v>
      </c>
      <c r="R63" s="5" t="s">
        <v>160</v>
      </c>
      <c r="S63" s="3"/>
      <c r="T63" s="3"/>
      <c r="U63" s="3"/>
      <c r="V63" s="3"/>
      <c r="W63" s="3"/>
      <c r="X63" s="3"/>
      <c r="Y63" s="3"/>
      <c r="Z63" s="3"/>
      <c r="AA63" s="3"/>
      <c r="AB63" s="3"/>
      <c r="AC63" s="3"/>
      <c r="AD63" s="3"/>
      <c r="AE63" s="3"/>
      <c r="AF63" s="3"/>
      <c r="AG63" s="3"/>
      <c r="AH63" s="5"/>
      <c r="AI63" s="5"/>
      <c r="AJ63" s="5"/>
      <c r="AK63" s="5"/>
      <c r="AL63" s="3"/>
      <c r="AM63" s="3"/>
      <c r="AN63" s="117"/>
      <c r="AO63" s="117"/>
      <c r="AP63" s="117"/>
      <c r="AQ63" s="117"/>
      <c r="AR63" s="117"/>
      <c r="AS63" s="117"/>
      <c r="AT63" s="117"/>
      <c r="AU63" s="24"/>
      <c r="AV63" s="117"/>
      <c r="AW63" s="24"/>
      <c r="AX63" s="117"/>
      <c r="AY63" s="269">
        <v>44614</v>
      </c>
      <c r="AZ63" s="63">
        <v>-2.3E-2</v>
      </c>
      <c r="BA63" s="63">
        <v>-3.1E-2</v>
      </c>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3"/>
      <c r="B64" s="191" t="s">
        <v>103</v>
      </c>
      <c r="C64" s="192" t="str">
        <f ca="1">IFERROR(__xludf.DUMMYFUNCTION("GoogleFinance(B64,""name"")"),"AbbVie Inc")</f>
        <v>AbbVie Inc</v>
      </c>
      <c r="D64" s="193">
        <f ca="1">IFERROR(__xludf.DUMMYFUNCTION("GoogleFinance(B64,""marketcap"")/1000000"),290907.539033)</f>
        <v>290907.53903300001</v>
      </c>
      <c r="E64" s="194" t="s">
        <v>15</v>
      </c>
      <c r="F64" s="194" t="s">
        <v>104</v>
      </c>
      <c r="G64" s="195">
        <v>45184</v>
      </c>
      <c r="H64" s="45">
        <v>45300</v>
      </c>
      <c r="I64" s="197">
        <f t="shared" ca="1" si="9"/>
        <v>2.4009114121942472E-2</v>
      </c>
      <c r="J64" s="198">
        <v>162.69999999999999</v>
      </c>
      <c r="K64" s="199">
        <v>153</v>
      </c>
      <c r="L64" s="200">
        <v>16</v>
      </c>
      <c r="M64" s="201">
        <f t="shared" si="10"/>
        <v>2448</v>
      </c>
      <c r="N64" s="202">
        <f t="shared" si="11"/>
        <v>2603.1999999999998</v>
      </c>
      <c r="O64" s="202">
        <f t="shared" si="12"/>
        <v>155.19999999999982</v>
      </c>
      <c r="P64" s="196">
        <f t="shared" si="13"/>
        <v>6.3398692810457513E-2</v>
      </c>
      <c r="Q64" s="203">
        <f t="shared" si="14"/>
        <v>116</v>
      </c>
      <c r="R64" s="5" t="s">
        <v>160</v>
      </c>
      <c r="S64" s="3"/>
      <c r="T64" s="3"/>
      <c r="U64" s="3"/>
      <c r="V64" s="3"/>
      <c r="W64" s="3"/>
      <c r="X64" s="3"/>
      <c r="Y64" s="3"/>
      <c r="Z64" s="3"/>
      <c r="AA64" s="3"/>
      <c r="AB64" s="3"/>
      <c r="AC64" s="3"/>
      <c r="AD64" s="3"/>
      <c r="AE64" s="3"/>
      <c r="AF64" s="3"/>
      <c r="AG64" s="3"/>
      <c r="AJ64" s="5"/>
      <c r="AK64" s="5"/>
      <c r="AL64" s="3"/>
      <c r="AM64" s="3"/>
      <c r="AN64" s="117"/>
      <c r="AO64" s="117"/>
      <c r="AP64" s="117"/>
      <c r="AQ64" s="117"/>
      <c r="AR64" s="117"/>
      <c r="AS64" s="117"/>
      <c r="AT64" s="117"/>
      <c r="AU64" s="24"/>
      <c r="AV64" s="117"/>
      <c r="AW64" s="24"/>
      <c r="AX64" s="117"/>
      <c r="AY64" s="284">
        <v>45007</v>
      </c>
      <c r="AZ64" s="63">
        <v>0.03</v>
      </c>
      <c r="BA64" s="63">
        <v>-3.1E-2</v>
      </c>
      <c r="BD64" s="5"/>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3"/>
      <c r="B65" s="191" t="s">
        <v>5</v>
      </c>
      <c r="C65" s="192" t="str">
        <f ca="1">IFERROR(__xludf.DUMMYFUNCTION("GoogleFinance(B65,""name"")"),"SPDR S&amp;P 500 ETF Trust")</f>
        <v>SPDR S&amp;P 500 ETF Trust</v>
      </c>
      <c r="D65" s="193">
        <f ca="1">IFERROR(__xludf.DUMMYFUNCTION("GoogleFinance(B65,""marketcap"")/1000000"),435441.745576)</f>
        <v>435441.74557600002</v>
      </c>
      <c r="E65" s="194" t="s">
        <v>59</v>
      </c>
      <c r="F65" s="194"/>
      <c r="G65" s="195">
        <v>45295</v>
      </c>
      <c r="H65" s="45">
        <v>45302</v>
      </c>
      <c r="I65" s="197">
        <f t="shared" ca="1" si="9"/>
        <v>0.19763802493819346</v>
      </c>
      <c r="J65" s="198">
        <v>476.2</v>
      </c>
      <c r="K65" s="199">
        <v>467.7</v>
      </c>
      <c r="L65" s="200">
        <v>45</v>
      </c>
      <c r="M65" s="201">
        <f t="shared" si="10"/>
        <v>21046.5</v>
      </c>
      <c r="N65" s="202">
        <f t="shared" si="11"/>
        <v>21429</v>
      </c>
      <c r="O65" s="202">
        <f t="shared" si="12"/>
        <v>382.5</v>
      </c>
      <c r="P65" s="196">
        <f t="shared" si="13"/>
        <v>1.8174043190079203E-2</v>
      </c>
      <c r="Q65" s="203">
        <f t="shared" si="14"/>
        <v>7</v>
      </c>
      <c r="R65" s="5" t="s">
        <v>161</v>
      </c>
      <c r="S65" s="3"/>
      <c r="T65" s="3"/>
      <c r="U65" s="3"/>
      <c r="V65" s="3"/>
      <c r="W65" s="3"/>
      <c r="X65" s="3"/>
      <c r="Y65" s="3"/>
      <c r="Z65" s="3"/>
      <c r="AA65" s="3"/>
      <c r="AB65" s="3"/>
      <c r="AC65" s="3"/>
      <c r="AD65" s="3"/>
      <c r="AE65" s="3"/>
      <c r="AF65" s="3"/>
      <c r="AG65" s="3"/>
      <c r="AJ65" s="5"/>
      <c r="AK65" s="5"/>
      <c r="AL65" s="3"/>
      <c r="AM65" s="3"/>
      <c r="AN65" s="117"/>
      <c r="AO65" s="117"/>
      <c r="AP65" s="117"/>
      <c r="AQ65" s="117"/>
      <c r="AR65" s="117"/>
      <c r="AS65" s="117"/>
      <c r="AT65" s="117"/>
      <c r="AU65" s="24"/>
      <c r="AV65" s="117"/>
      <c r="AW65" s="24"/>
      <c r="AX65" s="117"/>
      <c r="AY65" s="285" t="s">
        <v>162</v>
      </c>
      <c r="AZ65" s="63">
        <v>-9.0999999999999998E-2</v>
      </c>
      <c r="BA65" s="63">
        <v>-3.1E-2</v>
      </c>
      <c r="BD65" s="5"/>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J66" s="5"/>
      <c r="AK66" s="5"/>
      <c r="AL66" s="3"/>
      <c r="AM66" s="3"/>
      <c r="AN66" s="117"/>
      <c r="AO66" s="117"/>
      <c r="AP66" s="117"/>
      <c r="AQ66" s="117"/>
      <c r="AR66" s="117"/>
      <c r="AS66" s="117"/>
      <c r="AT66" s="117"/>
      <c r="AU66" s="24"/>
      <c r="AV66" s="117"/>
      <c r="AW66" s="24"/>
      <c r="AX66" s="117"/>
      <c r="AY66" s="286">
        <v>45068</v>
      </c>
      <c r="AZ66" s="63">
        <v>1.52E-2</v>
      </c>
      <c r="BA66" s="63">
        <v>-3.1E-2</v>
      </c>
      <c r="BD66" s="5"/>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J67" s="5"/>
      <c r="AK67" s="5"/>
      <c r="AL67" s="3"/>
      <c r="AM67" s="3"/>
      <c r="AN67" s="117"/>
      <c r="AO67" s="117"/>
      <c r="AP67" s="117"/>
      <c r="AQ67" s="117"/>
      <c r="AR67" s="117"/>
      <c r="AS67" s="117"/>
      <c r="AT67" s="117"/>
      <c r="AU67" s="24"/>
      <c r="AV67" s="117"/>
      <c r="AW67" s="24"/>
      <c r="AX67" s="117"/>
      <c r="AY67" s="269">
        <v>44734</v>
      </c>
      <c r="AZ67" s="63">
        <v>-9.6000000000000002E-2</v>
      </c>
      <c r="BA67" s="63">
        <v>-8.4000000000000005E-2</v>
      </c>
      <c r="BD67" s="5"/>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J68" s="5"/>
      <c r="AK68" s="5"/>
      <c r="AL68" s="3"/>
      <c r="AM68" s="3"/>
      <c r="AN68" s="117"/>
      <c r="AO68" s="117"/>
      <c r="AP68" s="117"/>
      <c r="AQ68" s="117"/>
      <c r="AR68" s="117"/>
      <c r="AS68" s="117"/>
      <c r="AT68" s="117"/>
      <c r="AU68" s="24"/>
      <c r="AV68" s="117"/>
      <c r="AW68" s="24"/>
      <c r="AX68" s="117"/>
      <c r="AY68" s="269">
        <v>44764</v>
      </c>
      <c r="AZ68" s="63">
        <v>5.2999999999999999E-2</v>
      </c>
      <c r="BA68" s="63">
        <v>9.1999999999999998E-2</v>
      </c>
      <c r="BD68" s="5"/>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287"/>
      <c r="AI69" s="287"/>
      <c r="AJ69" s="287"/>
      <c r="AK69" s="287"/>
      <c r="AL69" s="3"/>
      <c r="AM69" s="3"/>
      <c r="AN69" s="117"/>
      <c r="AO69" s="117"/>
      <c r="AP69" s="117"/>
      <c r="AQ69" s="117"/>
      <c r="AR69" s="117"/>
      <c r="AS69" s="117"/>
      <c r="AT69" s="117"/>
      <c r="AU69" s="24"/>
      <c r="AV69" s="117"/>
      <c r="AW69" s="24"/>
      <c r="AX69" s="117"/>
      <c r="AY69" s="269">
        <v>44795</v>
      </c>
      <c r="AZ69" s="63">
        <v>-2.1000000000000001E-2</v>
      </c>
      <c r="BA69" s="63">
        <v>-4.1000000000000002E-2</v>
      </c>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row>
    <row r="70" spans="1:79"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L70" s="3"/>
      <c r="AM70" s="3"/>
      <c r="AN70" s="117"/>
      <c r="AO70" s="117"/>
      <c r="AP70" s="117"/>
      <c r="AQ70" s="117"/>
      <c r="AR70" s="117"/>
      <c r="AS70" s="117"/>
      <c r="AT70" s="117"/>
      <c r="AU70" s="24"/>
      <c r="AV70" s="117"/>
      <c r="AW70" s="24"/>
      <c r="AX70" s="117"/>
      <c r="AY70" s="269">
        <v>44826</v>
      </c>
      <c r="AZ70" s="63">
        <v>-2.5000000000000001E-2</v>
      </c>
      <c r="BA70" s="63">
        <v>-9.6000000000000002E-2</v>
      </c>
      <c r="BD70" s="5"/>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L71" s="3"/>
      <c r="AM71" s="3"/>
      <c r="AN71" s="117"/>
      <c r="AO71" s="117"/>
      <c r="AP71" s="117"/>
      <c r="AQ71" s="117"/>
      <c r="AR71" s="117"/>
      <c r="AS71" s="117"/>
      <c r="AT71" s="117"/>
      <c r="AU71" s="24"/>
      <c r="AV71" s="117"/>
      <c r="AW71" s="24"/>
      <c r="AX71" s="117"/>
      <c r="AY71" s="269">
        <v>44856</v>
      </c>
      <c r="AZ71" s="63">
        <v>4.8399999999999999E-2</v>
      </c>
      <c r="BA71" s="63">
        <v>8.1000000000000003E-2</v>
      </c>
      <c r="BD71" s="5"/>
      <c r="BE71" s="5"/>
      <c r="BF71" s="5"/>
      <c r="BG71" s="5"/>
      <c r="BH71" s="5"/>
      <c r="BI71" s="5"/>
      <c r="BJ71" s="5"/>
      <c r="BK71" s="5"/>
      <c r="BL71" s="5"/>
      <c r="BM71" s="5"/>
      <c r="BN71" s="5"/>
      <c r="BO71" s="5"/>
      <c r="BP71" s="5"/>
      <c r="BQ71" s="5"/>
      <c r="BR71" s="5"/>
      <c r="BS71" s="5"/>
      <c r="BT71" s="5"/>
      <c r="BU71" s="5"/>
      <c r="BV71" s="5"/>
      <c r="BW71" s="5"/>
      <c r="BX71" s="5"/>
      <c r="BY71" s="5"/>
      <c r="BZ71" s="5"/>
      <c r="CA71" s="5"/>
    </row>
    <row r="72" spans="1:79"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5"/>
      <c r="AI72" s="25"/>
      <c r="AJ72" s="25"/>
      <c r="AK72" s="25"/>
      <c r="AL72" s="3"/>
      <c r="AM72" s="3"/>
      <c r="AN72" s="117"/>
      <c r="AO72" s="117"/>
      <c r="AP72" s="117"/>
      <c r="AQ72" s="117"/>
      <c r="AR72" s="117"/>
      <c r="AS72" s="117"/>
      <c r="AT72" s="117"/>
      <c r="AU72" s="24"/>
      <c r="AV72" s="117"/>
      <c r="AW72" s="24"/>
      <c r="AX72" s="117"/>
      <c r="AY72" s="269">
        <v>44887</v>
      </c>
      <c r="AZ72" s="63">
        <v>2.1999999999999999E-2</v>
      </c>
      <c r="BA72" s="63">
        <v>5.5591517568162496E-2</v>
      </c>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25"/>
      <c r="AI73" s="25"/>
      <c r="AJ73" s="25"/>
      <c r="AK73" s="25"/>
      <c r="AL73" s="3"/>
      <c r="AM73" s="3"/>
      <c r="AN73" s="117"/>
      <c r="AO73" s="117"/>
      <c r="AP73" s="117"/>
      <c r="AQ73" s="117"/>
      <c r="AR73" s="117"/>
      <c r="AS73" s="117"/>
      <c r="AT73" s="117"/>
      <c r="AU73" s="24"/>
      <c r="AV73" s="117"/>
      <c r="AW73" s="24"/>
      <c r="AX73" s="117"/>
      <c r="AY73" s="269">
        <v>44917</v>
      </c>
      <c r="AZ73" s="63">
        <v>-0.01</v>
      </c>
      <c r="BA73" s="63">
        <v>-6.2E-2</v>
      </c>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25"/>
      <c r="AI74" s="25"/>
      <c r="AJ74" s="25"/>
      <c r="AK74" s="25"/>
      <c r="AL74" s="3"/>
      <c r="AM74" s="3"/>
      <c r="AN74" s="117"/>
      <c r="AO74" s="117"/>
      <c r="AP74" s="117"/>
      <c r="AQ74" s="117"/>
      <c r="AR74" s="117"/>
      <c r="AS74" s="117"/>
      <c r="AT74" s="117"/>
      <c r="AU74" s="24"/>
      <c r="AV74" s="117"/>
      <c r="AW74" s="24"/>
      <c r="AX74" s="117"/>
      <c r="AY74" s="269">
        <v>44584</v>
      </c>
      <c r="AZ74" s="63">
        <v>1.44E-2</v>
      </c>
      <c r="BA74" s="63">
        <v>6.4000000000000001E-2</v>
      </c>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25"/>
      <c r="AI75" s="25"/>
      <c r="AJ75" s="25"/>
      <c r="AK75" s="25"/>
      <c r="AL75" s="3"/>
      <c r="AM75" s="3"/>
      <c r="AN75" s="117"/>
      <c r="AO75" s="117"/>
      <c r="AP75" s="117"/>
      <c r="AQ75" s="117"/>
      <c r="AR75" s="117"/>
      <c r="AS75" s="117"/>
      <c r="AT75" s="117"/>
      <c r="AU75" s="24"/>
      <c r="AV75" s="117"/>
      <c r="AW75" s="24"/>
      <c r="AX75" s="117"/>
      <c r="AY75" s="269">
        <v>44615</v>
      </c>
      <c r="AZ75" s="63">
        <v>-5.0000000000000001E-3</v>
      </c>
      <c r="BA75" s="63">
        <v>-2.5000000000000001E-2</v>
      </c>
      <c r="BC75" s="288">
        <v>100000</v>
      </c>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5"/>
      <c r="AI76" s="25"/>
      <c r="AJ76" s="25"/>
      <c r="AK76" s="25"/>
      <c r="AL76" s="3"/>
      <c r="AM76" s="3"/>
      <c r="AN76" s="117"/>
      <c r="AO76" s="117"/>
      <c r="AP76" s="117"/>
      <c r="AQ76" s="117"/>
      <c r="AR76" s="117"/>
      <c r="AS76" s="117"/>
      <c r="AT76" s="117"/>
      <c r="AU76" s="24"/>
      <c r="AV76" s="117"/>
      <c r="AW76" s="24"/>
      <c r="AX76" s="117"/>
      <c r="AY76" s="269">
        <v>44643</v>
      </c>
      <c r="AZ76" s="63">
        <v>3.2300000000000002E-2</v>
      </c>
      <c r="BA76" s="63">
        <v>3.3134810477968957E-2</v>
      </c>
      <c r="BB76" s="87"/>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pans="1:79"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109"/>
      <c r="AI77" s="109"/>
      <c r="AJ77" s="109"/>
      <c r="AK77" s="109"/>
      <c r="AL77" s="137"/>
      <c r="AM77" s="137"/>
      <c r="AN77" s="289"/>
      <c r="AO77" s="289"/>
      <c r="AP77" s="289"/>
      <c r="AQ77" s="289"/>
      <c r="AR77" s="289"/>
      <c r="AS77" s="289"/>
      <c r="AT77" s="289"/>
      <c r="AU77" s="139"/>
      <c r="AV77" s="289"/>
      <c r="AW77" s="139"/>
      <c r="AX77" s="289"/>
      <c r="AY77" s="269">
        <v>44674</v>
      </c>
      <c r="AZ77" s="63">
        <v>-1.6999999999999999E-3</v>
      </c>
      <c r="BA77" s="63">
        <v>1.6E-2</v>
      </c>
      <c r="BB77" s="158"/>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row>
    <row r="78" spans="1:79"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25"/>
      <c r="AI78" s="25"/>
      <c r="AJ78" s="25"/>
      <c r="AK78" s="25"/>
      <c r="AL78" s="3"/>
      <c r="AM78" s="3"/>
      <c r="AN78" s="117"/>
      <c r="AO78" s="117"/>
      <c r="AP78" s="117"/>
      <c r="AQ78" s="117"/>
      <c r="AR78" s="117"/>
      <c r="AS78" s="117"/>
      <c r="AT78" s="117"/>
      <c r="AU78" s="24"/>
      <c r="AV78" s="117"/>
      <c r="AW78" s="24"/>
      <c r="AX78" s="117"/>
      <c r="AY78" s="269">
        <v>44704</v>
      </c>
      <c r="AZ78" s="63">
        <v>-2.2599999999999999E-2</v>
      </c>
      <c r="BA78" s="63">
        <v>3.0000000000000001E-3</v>
      </c>
      <c r="BB78" s="87"/>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25"/>
      <c r="AI79" s="25"/>
      <c r="AJ79" s="25"/>
      <c r="AK79" s="25"/>
      <c r="AL79" s="25"/>
      <c r="AM79" s="25"/>
      <c r="AN79" s="25"/>
      <c r="AO79" s="25"/>
      <c r="AP79" s="25"/>
      <c r="AQ79" s="25"/>
      <c r="AR79" s="25"/>
      <c r="AS79" s="25"/>
      <c r="AT79" s="25"/>
      <c r="AU79" s="25"/>
      <c r="AV79" s="25"/>
      <c r="AW79" s="25"/>
      <c r="AX79" s="25"/>
      <c r="AY79" s="269">
        <v>44735</v>
      </c>
      <c r="AZ79" s="63">
        <v>1.9E-2</v>
      </c>
      <c r="BA79" s="63">
        <v>6.0999999999999999E-2</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25"/>
      <c r="AI80" s="25"/>
      <c r="AJ80" s="25"/>
      <c r="AK80" s="25"/>
      <c r="AL80" s="25"/>
      <c r="AM80" s="25"/>
      <c r="AN80" s="25"/>
      <c r="AO80" s="25"/>
      <c r="AP80" s="25"/>
      <c r="AQ80" s="25"/>
      <c r="AR80" s="25"/>
      <c r="AS80" s="25"/>
      <c r="AT80" s="25"/>
      <c r="AU80" s="25"/>
      <c r="AV80" s="25"/>
      <c r="AW80" s="25"/>
      <c r="AX80" s="25"/>
      <c r="AY80" s="269">
        <v>44765</v>
      </c>
      <c r="AZ80" s="63">
        <v>1.84E-2</v>
      </c>
      <c r="BA80" s="63">
        <v>3.7999999999999999E-2</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5"/>
      <c r="AI81" s="25"/>
      <c r="AJ81" s="25"/>
      <c r="AK81" s="25"/>
      <c r="AL81" s="25"/>
      <c r="AM81" s="25"/>
      <c r="AN81" s="25"/>
      <c r="AO81" s="25"/>
      <c r="AP81" s="25"/>
      <c r="AQ81" s="25"/>
      <c r="AR81" s="25"/>
      <c r="AS81" s="25"/>
      <c r="AT81" s="25"/>
      <c r="AU81" s="25"/>
      <c r="AV81" s="25"/>
      <c r="AW81" s="25"/>
      <c r="AX81" s="25"/>
      <c r="AY81" s="269">
        <v>44796</v>
      </c>
      <c r="AZ81" s="63">
        <v>2.3999999999999998E-3</v>
      </c>
      <c r="BA81" s="63">
        <v>-1.6E-2</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5"/>
      <c r="AI82" s="25"/>
      <c r="AJ82" s="25"/>
      <c r="AK82" s="25"/>
      <c r="AL82" s="25"/>
      <c r="AM82" s="25"/>
      <c r="AN82" s="25"/>
      <c r="AO82" s="25"/>
      <c r="AP82" s="25"/>
      <c r="AQ82" s="25"/>
      <c r="AR82" s="25"/>
      <c r="AS82" s="25"/>
      <c r="AT82" s="25"/>
      <c r="AU82" s="25"/>
      <c r="AV82" s="25"/>
      <c r="AW82" s="25"/>
      <c r="AX82" s="25"/>
      <c r="AY82" s="269">
        <v>44827</v>
      </c>
      <c r="AZ82" s="63">
        <v>-1.9E-2</v>
      </c>
      <c r="BA82" s="63">
        <v>-5.0999999999999997E-2</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25"/>
      <c r="AI83" s="25"/>
      <c r="AJ83" s="25"/>
      <c r="AK83" s="25"/>
      <c r="AL83" s="25"/>
      <c r="AM83" s="25"/>
      <c r="AN83" s="25"/>
      <c r="AO83" s="25"/>
      <c r="AP83" s="25"/>
      <c r="AQ83" s="25"/>
      <c r="AR83" s="25"/>
      <c r="AS83" s="25"/>
      <c r="AT83" s="25"/>
      <c r="AU83" s="25"/>
      <c r="AV83" s="25"/>
      <c r="AW83" s="25"/>
      <c r="AX83" s="25"/>
      <c r="AY83" s="269">
        <v>44857</v>
      </c>
      <c r="AZ83" s="63">
        <v>1.4999999999999999E-2</v>
      </c>
      <c r="BA83" s="63">
        <v>-2.1999999999999999E-2</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25"/>
      <c r="AI84" s="25"/>
      <c r="AJ84" s="25"/>
      <c r="AK84" s="25"/>
      <c r="AL84" s="25"/>
      <c r="AM84" s="25"/>
      <c r="AN84" s="25"/>
      <c r="AO84" s="25"/>
      <c r="AP84" s="25"/>
      <c r="AQ84" s="25"/>
      <c r="AR84" s="25"/>
      <c r="AS84" s="25"/>
      <c r="AT84" s="25"/>
      <c r="AU84" s="25"/>
      <c r="AV84" s="25"/>
      <c r="AW84" s="25"/>
      <c r="AX84" s="25"/>
      <c r="AY84" s="269">
        <v>44888</v>
      </c>
      <c r="AZ84" s="63">
        <v>5.3400000000000003E-2</v>
      </c>
      <c r="BA84" s="63">
        <v>9.8000000000000004E-2</v>
      </c>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pans="1:79"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69">
        <v>44918</v>
      </c>
      <c r="AZ85" s="290">
        <v>1.9E-2</v>
      </c>
      <c r="BA85" s="290">
        <v>4.1000000000000002E-2</v>
      </c>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1:7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pans="1:7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pans="1:7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row>
    <row r="109" spans="1:7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row>
    <row r="110" spans="1:7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row>
    <row r="111" spans="1:79" ht="15.75" customHeight="1">
      <c r="A111" s="25"/>
      <c r="B111" s="25"/>
      <c r="C111" s="291"/>
      <c r="D111" s="25"/>
      <c r="E111" s="25"/>
      <c r="F111" s="25"/>
      <c r="G111" s="26"/>
      <c r="H111" s="26"/>
      <c r="I111" s="25"/>
      <c r="J111" s="26"/>
      <c r="K111" s="25"/>
      <c r="L111" s="25"/>
      <c r="M111" s="25"/>
      <c r="N111" s="26"/>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row>
    <row r="112" spans="1:79" ht="15.75" customHeight="1">
      <c r="A112" s="25"/>
      <c r="B112" s="25"/>
      <c r="C112" s="291"/>
      <c r="D112" s="25"/>
      <c r="E112" s="25"/>
      <c r="F112" s="25"/>
      <c r="G112" s="26"/>
      <c r="H112" s="26"/>
      <c r="I112" s="25"/>
      <c r="J112" s="26"/>
      <c r="K112" s="25"/>
      <c r="L112" s="25"/>
      <c r="M112" s="25"/>
      <c r="N112" s="26"/>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row>
    <row r="113" spans="1:79" ht="15.75" customHeight="1">
      <c r="A113" s="25"/>
      <c r="B113" s="25"/>
      <c r="C113" s="291"/>
      <c r="D113" s="25"/>
      <c r="E113" s="25"/>
      <c r="F113" s="25"/>
      <c r="G113" s="26"/>
      <c r="H113" s="26"/>
      <c r="I113" s="25"/>
      <c r="J113" s="26"/>
      <c r="K113" s="25"/>
      <c r="L113" s="25"/>
      <c r="M113" s="25"/>
      <c r="N113" s="26"/>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row>
    <row r="114" spans="1:79" ht="15.75" customHeight="1">
      <c r="A114" s="25"/>
      <c r="B114" s="25"/>
      <c r="C114" s="291"/>
      <c r="D114" s="25"/>
      <c r="E114" s="25"/>
      <c r="F114" s="25"/>
      <c r="G114" s="26"/>
      <c r="H114" s="26"/>
      <c r="I114" s="25"/>
      <c r="J114" s="26"/>
      <c r="K114" s="25"/>
      <c r="L114" s="25"/>
      <c r="M114" s="25"/>
      <c r="N114" s="26"/>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row>
    <row r="115" spans="1:79" ht="15.75" customHeight="1">
      <c r="A115" s="25"/>
      <c r="B115" s="25"/>
      <c r="C115" s="291"/>
      <c r="D115" s="25"/>
      <c r="E115" s="25"/>
      <c r="F115" s="25"/>
      <c r="G115" s="26"/>
      <c r="H115" s="26"/>
      <c r="I115" s="25"/>
      <c r="J115" s="26"/>
      <c r="K115" s="25"/>
      <c r="L115" s="25"/>
      <c r="M115" s="25"/>
      <c r="N115" s="26"/>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row>
    <row r="116" spans="1:79" ht="15.75" customHeight="1">
      <c r="A116" s="25"/>
      <c r="B116" s="25"/>
      <c r="C116" s="291"/>
      <c r="D116" s="25"/>
      <c r="E116" s="25"/>
      <c r="F116" s="25"/>
      <c r="G116" s="26"/>
      <c r="H116" s="26"/>
      <c r="I116" s="25"/>
      <c r="J116" s="26"/>
      <c r="K116" s="25"/>
      <c r="L116" s="25"/>
      <c r="M116" s="25"/>
      <c r="N116" s="26"/>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row>
    <row r="117" spans="1:79" ht="15.75" customHeight="1">
      <c r="A117" s="25"/>
      <c r="B117" s="25"/>
      <c r="C117" s="291"/>
      <c r="D117" s="25"/>
      <c r="E117" s="25"/>
      <c r="F117" s="25"/>
      <c r="G117" s="26"/>
      <c r="H117" s="26"/>
      <c r="I117" s="25"/>
      <c r="J117" s="26"/>
      <c r="K117" s="25"/>
      <c r="L117" s="25"/>
      <c r="M117" s="25"/>
      <c r="N117" s="26"/>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row>
    <row r="118" spans="1:79" ht="15.75" customHeight="1">
      <c r="A118" s="25"/>
      <c r="B118" s="25"/>
      <c r="C118" s="291"/>
      <c r="D118" s="25"/>
      <c r="E118" s="25"/>
      <c r="F118" s="25"/>
      <c r="G118" s="26"/>
      <c r="H118" s="26"/>
      <c r="I118" s="25"/>
      <c r="J118" s="26"/>
      <c r="K118" s="25"/>
      <c r="L118" s="25"/>
      <c r="M118" s="25"/>
      <c r="N118" s="26"/>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row>
    <row r="119" spans="1:79" ht="15.75" customHeight="1">
      <c r="A119" s="25"/>
      <c r="B119" s="25"/>
      <c r="C119" s="291"/>
      <c r="D119" s="25"/>
      <c r="E119" s="25"/>
      <c r="F119" s="25"/>
      <c r="G119" s="26"/>
      <c r="H119" s="26"/>
      <c r="I119" s="25"/>
      <c r="J119" s="26"/>
      <c r="K119" s="25"/>
      <c r="L119" s="25"/>
      <c r="M119" s="25"/>
      <c r="N119" s="26"/>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row>
    <row r="120" spans="1:79" ht="15.75" customHeight="1">
      <c r="A120" s="25"/>
      <c r="B120" s="25"/>
      <c r="C120" s="291"/>
      <c r="D120" s="25"/>
      <c r="E120" s="25"/>
      <c r="F120" s="25"/>
      <c r="G120" s="26"/>
      <c r="H120" s="26"/>
      <c r="I120" s="25"/>
      <c r="J120" s="26"/>
      <c r="K120" s="25"/>
      <c r="L120" s="25"/>
      <c r="M120" s="25"/>
      <c r="N120" s="26"/>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row>
    <row r="121" spans="1:79" ht="15.75" customHeight="1">
      <c r="A121" s="25"/>
      <c r="B121" s="25"/>
      <c r="C121" s="291"/>
      <c r="D121" s="25"/>
      <c r="E121" s="25"/>
      <c r="F121" s="25"/>
      <c r="G121" s="26"/>
      <c r="H121" s="26"/>
      <c r="I121" s="25"/>
      <c r="J121" s="26"/>
      <c r="K121" s="25"/>
      <c r="L121" s="25"/>
      <c r="M121" s="25"/>
      <c r="N121" s="26"/>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row>
    <row r="122" spans="1:79" ht="15.75" customHeight="1">
      <c r="A122" s="25"/>
      <c r="B122" s="25"/>
      <c r="C122" s="291"/>
      <c r="D122" s="25"/>
      <c r="E122" s="25"/>
      <c r="F122" s="25"/>
      <c r="G122" s="26"/>
      <c r="H122" s="26"/>
      <c r="I122" s="25"/>
      <c r="J122" s="26"/>
      <c r="K122" s="25"/>
      <c r="L122" s="25"/>
      <c r="M122" s="25"/>
      <c r="N122" s="26"/>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row>
    <row r="123" spans="1:79" ht="15.75" customHeight="1">
      <c r="A123" s="25"/>
      <c r="B123" s="25"/>
      <c r="C123" s="291"/>
      <c r="D123" s="25"/>
      <c r="E123" s="25"/>
      <c r="F123" s="25"/>
      <c r="G123" s="26"/>
      <c r="H123" s="26"/>
      <c r="I123" s="25"/>
      <c r="J123" s="26"/>
      <c r="K123" s="25"/>
      <c r="L123" s="25"/>
      <c r="M123" s="25"/>
      <c r="N123" s="26"/>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row>
    <row r="124" spans="1:79" ht="15.75" customHeight="1">
      <c r="A124" s="25"/>
      <c r="B124" s="25"/>
      <c r="C124" s="291"/>
      <c r="D124" s="25"/>
      <c r="E124" s="25"/>
      <c r="F124" s="25"/>
      <c r="G124" s="26"/>
      <c r="H124" s="26"/>
      <c r="I124" s="25"/>
      <c r="J124" s="26"/>
      <c r="K124" s="25"/>
      <c r="L124" s="25"/>
      <c r="M124" s="25"/>
      <c r="N124" s="26"/>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row>
    <row r="125" spans="1:79" ht="15.75" customHeight="1">
      <c r="A125" s="25"/>
      <c r="B125" s="25"/>
      <c r="C125" s="291"/>
      <c r="D125" s="25"/>
      <c r="E125" s="25"/>
      <c r="F125" s="25"/>
      <c r="G125" s="26"/>
      <c r="H125" s="26"/>
      <c r="I125" s="25"/>
      <c r="J125" s="26"/>
      <c r="K125" s="25"/>
      <c r="L125" s="25"/>
      <c r="M125" s="25"/>
      <c r="N125" s="26"/>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row>
    <row r="126" spans="1:79" ht="15.75" customHeight="1">
      <c r="A126" s="25"/>
      <c r="B126" s="25"/>
      <c r="C126" s="291"/>
      <c r="D126" s="25"/>
      <c r="E126" s="25"/>
      <c r="F126" s="25"/>
      <c r="G126" s="26"/>
      <c r="H126" s="26"/>
      <c r="I126" s="25"/>
      <c r="J126" s="26"/>
      <c r="K126" s="25"/>
      <c r="L126" s="25"/>
      <c r="M126" s="25"/>
      <c r="N126" s="26"/>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row>
    <row r="127" spans="1:79" ht="15.75" customHeight="1">
      <c r="A127" s="25"/>
      <c r="B127" s="25"/>
      <c r="C127" s="291"/>
      <c r="D127" s="25"/>
      <c r="E127" s="25"/>
      <c r="F127" s="25"/>
      <c r="G127" s="26"/>
      <c r="H127" s="26"/>
      <c r="I127" s="25"/>
      <c r="J127" s="26"/>
      <c r="K127" s="25"/>
      <c r="L127" s="25"/>
      <c r="M127" s="25"/>
      <c r="N127" s="26"/>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row>
    <row r="128" spans="1:79" ht="15.75" customHeight="1">
      <c r="A128" s="25"/>
      <c r="B128" s="25"/>
      <c r="C128" s="291"/>
      <c r="D128" s="25"/>
      <c r="E128" s="25"/>
      <c r="F128" s="25"/>
      <c r="G128" s="26"/>
      <c r="H128" s="26"/>
      <c r="I128" s="25"/>
      <c r="J128" s="26"/>
      <c r="K128" s="25"/>
      <c r="L128" s="25"/>
      <c r="M128" s="25"/>
      <c r="N128" s="26"/>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row>
    <row r="129" spans="1:79" ht="15.75" customHeight="1">
      <c r="A129" s="25"/>
      <c r="B129" s="25"/>
      <c r="C129" s="291"/>
      <c r="D129" s="25"/>
      <c r="E129" s="25"/>
      <c r="F129" s="25"/>
      <c r="G129" s="26"/>
      <c r="H129" s="26"/>
      <c r="I129" s="25"/>
      <c r="J129" s="26"/>
      <c r="K129" s="25"/>
      <c r="L129" s="25"/>
      <c r="M129" s="25"/>
      <c r="N129" s="26"/>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row>
    <row r="130" spans="1:79" ht="15.75" customHeight="1">
      <c r="A130" s="25"/>
      <c r="B130" s="25"/>
      <c r="C130" s="291"/>
      <c r="D130" s="25"/>
      <c r="E130" s="25"/>
      <c r="F130" s="25"/>
      <c r="G130" s="26"/>
      <c r="H130" s="26"/>
      <c r="I130" s="25"/>
      <c r="J130" s="26"/>
      <c r="K130" s="25"/>
      <c r="L130" s="25"/>
      <c r="M130" s="25"/>
      <c r="N130" s="26"/>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row>
    <row r="131" spans="1:79" ht="15.75" customHeight="1">
      <c r="A131" s="25"/>
      <c r="B131" s="25"/>
      <c r="C131" s="291"/>
      <c r="D131" s="25"/>
      <c r="E131" s="25"/>
      <c r="F131" s="25"/>
      <c r="G131" s="26"/>
      <c r="H131" s="26"/>
      <c r="I131" s="25"/>
      <c r="J131" s="26"/>
      <c r="K131" s="25"/>
      <c r="L131" s="25"/>
      <c r="M131" s="25"/>
      <c r="N131" s="26"/>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row>
    <row r="132" spans="1:79" ht="15.75" customHeight="1">
      <c r="A132" s="25"/>
      <c r="B132" s="25"/>
      <c r="C132" s="291"/>
      <c r="D132" s="25"/>
      <c r="E132" s="25"/>
      <c r="F132" s="25"/>
      <c r="G132" s="26"/>
      <c r="H132" s="26"/>
      <c r="I132" s="25"/>
      <c r="J132" s="26"/>
      <c r="K132" s="25"/>
      <c r="L132" s="25"/>
      <c r="M132" s="25"/>
      <c r="N132" s="26"/>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row>
    <row r="133" spans="1:79" ht="15.75" customHeight="1">
      <c r="A133" s="25"/>
      <c r="B133" s="25"/>
      <c r="C133" s="291"/>
      <c r="D133" s="25"/>
      <c r="E133" s="25"/>
      <c r="F133" s="25"/>
      <c r="G133" s="26"/>
      <c r="H133" s="26"/>
      <c r="I133" s="25"/>
      <c r="J133" s="26"/>
      <c r="K133" s="25"/>
      <c r="L133" s="25"/>
      <c r="M133" s="25"/>
      <c r="N133" s="26"/>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row>
    <row r="134" spans="1:79" ht="15.75" customHeight="1">
      <c r="A134" s="25"/>
      <c r="B134" s="25"/>
      <c r="C134" s="291"/>
      <c r="D134" s="25"/>
      <c r="E134" s="25"/>
      <c r="F134" s="25"/>
      <c r="G134" s="26"/>
      <c r="H134" s="26"/>
      <c r="I134" s="25"/>
      <c r="J134" s="26"/>
      <c r="K134" s="25"/>
      <c r="L134" s="25"/>
      <c r="M134" s="25"/>
      <c r="N134" s="26"/>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row>
    <row r="135" spans="1:79" ht="15.75" customHeight="1">
      <c r="A135" s="25"/>
      <c r="B135" s="25"/>
      <c r="C135" s="291"/>
      <c r="D135" s="25"/>
      <c r="E135" s="25"/>
      <c r="F135" s="25"/>
      <c r="G135" s="26"/>
      <c r="H135" s="26"/>
      <c r="I135" s="25"/>
      <c r="J135" s="26"/>
      <c r="K135" s="25"/>
      <c r="L135" s="25"/>
      <c r="M135" s="25"/>
      <c r="N135" s="26"/>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row>
    <row r="136" spans="1:79" ht="15.75" customHeight="1">
      <c r="A136" s="25"/>
      <c r="B136" s="25"/>
      <c r="C136" s="291"/>
      <c r="D136" s="25"/>
      <c r="E136" s="25"/>
      <c r="F136" s="25"/>
      <c r="G136" s="26"/>
      <c r="H136" s="26"/>
      <c r="I136" s="25"/>
      <c r="J136" s="26"/>
      <c r="K136" s="25"/>
      <c r="L136" s="25"/>
      <c r="M136" s="25"/>
      <c r="N136" s="26"/>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row>
    <row r="137" spans="1:79" ht="15.75" customHeight="1">
      <c r="A137" s="25"/>
      <c r="B137" s="25"/>
      <c r="C137" s="291"/>
      <c r="D137" s="25"/>
      <c r="E137" s="25"/>
      <c r="F137" s="25"/>
      <c r="G137" s="26"/>
      <c r="H137" s="26"/>
      <c r="I137" s="25"/>
      <c r="J137" s="26"/>
      <c r="K137" s="25"/>
      <c r="L137" s="25"/>
      <c r="M137" s="25"/>
      <c r="N137" s="26"/>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row>
    <row r="138" spans="1:79" ht="15.75" customHeight="1">
      <c r="A138" s="25"/>
      <c r="B138" s="25"/>
      <c r="C138" s="291"/>
      <c r="D138" s="25"/>
      <c r="E138" s="25"/>
      <c r="F138" s="25"/>
      <c r="G138" s="26"/>
      <c r="H138" s="26"/>
      <c r="I138" s="25"/>
      <c r="J138" s="26"/>
      <c r="K138" s="25"/>
      <c r="L138" s="25"/>
      <c r="M138" s="25"/>
      <c r="N138" s="26"/>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row>
    <row r="139" spans="1:79" ht="15.75" customHeight="1">
      <c r="A139" s="25"/>
      <c r="B139" s="25"/>
      <c r="C139" s="291"/>
      <c r="D139" s="25"/>
      <c r="E139" s="25"/>
      <c r="F139" s="25"/>
      <c r="G139" s="26"/>
      <c r="H139" s="26"/>
      <c r="I139" s="25"/>
      <c r="J139" s="26"/>
      <c r="K139" s="25"/>
      <c r="L139" s="25"/>
      <c r="M139" s="25"/>
      <c r="N139" s="26"/>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row>
    <row r="140" spans="1:79" ht="15.75" customHeight="1">
      <c r="A140" s="25"/>
      <c r="B140" s="25"/>
      <c r="C140" s="291"/>
      <c r="D140" s="25"/>
      <c r="E140" s="25"/>
      <c r="F140" s="25"/>
      <c r="G140" s="26"/>
      <c r="H140" s="26"/>
      <c r="I140" s="25"/>
      <c r="J140" s="26"/>
      <c r="K140" s="25"/>
      <c r="L140" s="25"/>
      <c r="M140" s="25"/>
      <c r="N140" s="26"/>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row>
    <row r="141" spans="1:79" ht="15.75" customHeight="1">
      <c r="A141" s="25"/>
      <c r="B141" s="25"/>
      <c r="C141" s="291"/>
      <c r="D141" s="25"/>
      <c r="E141" s="25"/>
      <c r="F141" s="25"/>
      <c r="G141" s="26"/>
      <c r="H141" s="26"/>
      <c r="I141" s="25"/>
      <c r="J141" s="26"/>
      <c r="K141" s="25"/>
      <c r="L141" s="25"/>
      <c r="M141" s="25"/>
      <c r="N141" s="26"/>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row>
    <row r="142" spans="1:79" ht="15.75" customHeight="1">
      <c r="A142" s="25"/>
      <c r="B142" s="25"/>
      <c r="C142" s="291"/>
      <c r="D142" s="25"/>
      <c r="E142" s="25"/>
      <c r="F142" s="25"/>
      <c r="G142" s="26"/>
      <c r="H142" s="26"/>
      <c r="I142" s="25"/>
      <c r="J142" s="26"/>
      <c r="K142" s="25"/>
      <c r="L142" s="25"/>
      <c r="M142" s="25"/>
      <c r="N142" s="26"/>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pans="1:79" ht="15.75" customHeight="1">
      <c r="A143" s="25"/>
      <c r="B143" s="25"/>
      <c r="C143" s="291"/>
      <c r="D143" s="25"/>
      <c r="E143" s="25"/>
      <c r="F143" s="25"/>
      <c r="G143" s="26"/>
      <c r="H143" s="26"/>
      <c r="I143" s="25"/>
      <c r="J143" s="26"/>
      <c r="K143" s="25"/>
      <c r="L143" s="25"/>
      <c r="M143" s="25"/>
      <c r="N143" s="26"/>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pans="1:79" ht="15.75" customHeight="1">
      <c r="A144" s="25"/>
      <c r="B144" s="25"/>
      <c r="C144" s="291"/>
      <c r="D144" s="25"/>
      <c r="E144" s="25"/>
      <c r="F144" s="25"/>
      <c r="G144" s="26"/>
      <c r="H144" s="26"/>
      <c r="I144" s="25"/>
      <c r="J144" s="26"/>
      <c r="K144" s="25"/>
      <c r="L144" s="25"/>
      <c r="M144" s="25"/>
      <c r="N144" s="26"/>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pans="1:79" ht="15.75" customHeight="1">
      <c r="A145" s="25"/>
      <c r="B145" s="25"/>
      <c r="C145" s="291"/>
      <c r="D145" s="25"/>
      <c r="E145" s="25"/>
      <c r="F145" s="25"/>
      <c r="G145" s="26"/>
      <c r="H145" s="26"/>
      <c r="I145" s="25"/>
      <c r="J145" s="26"/>
      <c r="K145" s="25"/>
      <c r="L145" s="25"/>
      <c r="M145" s="25"/>
      <c r="N145" s="26"/>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pans="1:79" ht="15.75" customHeight="1">
      <c r="A146" s="25"/>
      <c r="B146" s="25"/>
      <c r="C146" s="291"/>
      <c r="D146" s="25"/>
      <c r="E146" s="25"/>
      <c r="F146" s="25"/>
      <c r="G146" s="26"/>
      <c r="H146" s="26"/>
      <c r="I146" s="25"/>
      <c r="J146" s="26"/>
      <c r="K146" s="25"/>
      <c r="L146" s="25"/>
      <c r="M146" s="25"/>
      <c r="N146" s="26"/>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pans="1:79" ht="15.75" customHeight="1">
      <c r="A147" s="25"/>
      <c r="B147" s="25"/>
      <c r="C147" s="291"/>
      <c r="D147" s="25"/>
      <c r="E147" s="25"/>
      <c r="F147" s="25"/>
      <c r="G147" s="26"/>
      <c r="H147" s="26"/>
      <c r="I147" s="25"/>
      <c r="J147" s="26"/>
      <c r="K147" s="25"/>
      <c r="L147" s="25"/>
      <c r="M147" s="25"/>
      <c r="N147" s="26"/>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pans="1:79" ht="15.75" customHeight="1">
      <c r="A148" s="25"/>
      <c r="B148" s="25"/>
      <c r="C148" s="291"/>
      <c r="D148" s="25"/>
      <c r="E148" s="25"/>
      <c r="F148" s="25"/>
      <c r="G148" s="26"/>
      <c r="H148" s="26"/>
      <c r="I148" s="25"/>
      <c r="J148" s="26"/>
      <c r="K148" s="25"/>
      <c r="L148" s="25"/>
      <c r="M148" s="25"/>
      <c r="N148" s="26"/>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pans="1:79" ht="15.75" customHeight="1">
      <c r="A149" s="25"/>
      <c r="B149" s="25"/>
      <c r="C149" s="291"/>
      <c r="D149" s="25"/>
      <c r="E149" s="25"/>
      <c r="F149" s="25"/>
      <c r="G149" s="26"/>
      <c r="H149" s="26"/>
      <c r="I149" s="25"/>
      <c r="J149" s="26"/>
      <c r="K149" s="25"/>
      <c r="L149" s="25"/>
      <c r="M149" s="25"/>
      <c r="N149" s="26"/>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row>
    <row r="150" spans="1:79" ht="15.75" customHeight="1">
      <c r="A150" s="25"/>
      <c r="B150" s="25"/>
      <c r="C150" s="291"/>
      <c r="D150" s="25"/>
      <c r="E150" s="25"/>
      <c r="F150" s="25"/>
      <c r="G150" s="26"/>
      <c r="H150" s="26"/>
      <c r="I150" s="25"/>
      <c r="J150" s="26"/>
      <c r="K150" s="25"/>
      <c r="L150" s="25"/>
      <c r="M150" s="25"/>
      <c r="N150" s="26"/>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pans="1:79" ht="15.75" customHeight="1">
      <c r="A151" s="25"/>
      <c r="B151" s="25"/>
      <c r="C151" s="291"/>
      <c r="D151" s="25"/>
      <c r="E151" s="25"/>
      <c r="F151" s="25"/>
      <c r="G151" s="26"/>
      <c r="H151" s="26"/>
      <c r="I151" s="25"/>
      <c r="J151" s="26"/>
      <c r="K151" s="25"/>
      <c r="L151" s="25"/>
      <c r="M151" s="25"/>
      <c r="N151" s="26"/>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row>
    <row r="152" spans="1:79" ht="15.75" customHeight="1">
      <c r="A152" s="25"/>
      <c r="B152" s="25"/>
      <c r="C152" s="291"/>
      <c r="D152" s="25"/>
      <c r="E152" s="25"/>
      <c r="F152" s="25"/>
      <c r="G152" s="26"/>
      <c r="H152" s="26"/>
      <c r="I152" s="25"/>
      <c r="J152" s="26"/>
      <c r="K152" s="25"/>
      <c r="L152" s="25"/>
      <c r="M152" s="25"/>
      <c r="N152" s="26"/>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1:79" ht="15.75" customHeight="1">
      <c r="A153" s="25"/>
      <c r="B153" s="25"/>
      <c r="C153" s="291"/>
      <c r="D153" s="25"/>
      <c r="E153" s="25"/>
      <c r="F153" s="25"/>
      <c r="G153" s="26"/>
      <c r="H153" s="26"/>
      <c r="I153" s="25"/>
      <c r="J153" s="26"/>
      <c r="K153" s="25"/>
      <c r="L153" s="25"/>
      <c r="M153" s="25"/>
      <c r="N153" s="26"/>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row>
    <row r="154" spans="1:79" ht="15.75" customHeight="1">
      <c r="A154" s="25"/>
      <c r="B154" s="25"/>
      <c r="C154" s="291"/>
      <c r="D154" s="25"/>
      <c r="E154" s="25"/>
      <c r="F154" s="25"/>
      <c r="G154" s="26"/>
      <c r="H154" s="26"/>
      <c r="I154" s="25"/>
      <c r="J154" s="26"/>
      <c r="K154" s="25"/>
      <c r="L154" s="25"/>
      <c r="M154" s="25"/>
      <c r="N154" s="26"/>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pans="1:79" ht="15.75" customHeight="1">
      <c r="A155" s="25"/>
      <c r="B155" s="25"/>
      <c r="C155" s="291"/>
      <c r="D155" s="25"/>
      <c r="E155" s="25"/>
      <c r="F155" s="25"/>
      <c r="G155" s="26"/>
      <c r="H155" s="26"/>
      <c r="I155" s="25"/>
      <c r="J155" s="26"/>
      <c r="K155" s="25"/>
      <c r="L155" s="25"/>
      <c r="M155" s="25"/>
      <c r="N155" s="26"/>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pans="1:79" ht="15.75" customHeight="1">
      <c r="A156" s="25"/>
      <c r="B156" s="25"/>
      <c r="C156" s="291"/>
      <c r="D156" s="25"/>
      <c r="E156" s="25"/>
      <c r="F156" s="25"/>
      <c r="G156" s="26"/>
      <c r="H156" s="26"/>
      <c r="I156" s="25"/>
      <c r="J156" s="26"/>
      <c r="K156" s="25"/>
      <c r="L156" s="25"/>
      <c r="M156" s="25"/>
      <c r="N156" s="26"/>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row>
    <row r="157" spans="1:79" ht="15.75" customHeight="1">
      <c r="C157" s="292"/>
    </row>
    <row r="158" spans="1:79" ht="15.75" customHeight="1">
      <c r="C158" s="292"/>
    </row>
    <row r="159" spans="1:79" ht="15.75" customHeight="1">
      <c r="C159" s="292"/>
    </row>
    <row r="160" spans="1:79" ht="15.75" customHeight="1">
      <c r="C160" s="292"/>
    </row>
    <row r="161" spans="3:3" ht="15.75" customHeight="1">
      <c r="C161" s="292"/>
    </row>
    <row r="162" spans="3:3" ht="15.75" customHeight="1">
      <c r="C162" s="292"/>
    </row>
    <row r="163" spans="3:3" ht="15.75" customHeight="1">
      <c r="C163" s="292"/>
    </row>
    <row r="164" spans="3:3" ht="15.75" customHeight="1">
      <c r="C164" s="292"/>
    </row>
    <row r="165" spans="3:3" ht="15.75" customHeight="1">
      <c r="C165" s="292"/>
    </row>
    <row r="166" spans="3:3" ht="15.75" customHeight="1">
      <c r="C166" s="292"/>
    </row>
    <row r="167" spans="3:3" ht="15.75" customHeight="1">
      <c r="C167" s="292"/>
    </row>
    <row r="168" spans="3:3" ht="15.75" customHeight="1">
      <c r="C168" s="292"/>
    </row>
    <row r="169" spans="3:3" ht="15.75" customHeight="1">
      <c r="C169" s="292"/>
    </row>
    <row r="170" spans="3:3" ht="15.75" customHeight="1">
      <c r="C170" s="292"/>
    </row>
    <row r="171" spans="3:3" ht="15.75" customHeight="1">
      <c r="C171" s="292"/>
    </row>
    <row r="172" spans="3:3" ht="15.75" customHeight="1">
      <c r="C172" s="292"/>
    </row>
    <row r="173" spans="3:3" ht="15.75" customHeight="1">
      <c r="C173" s="292"/>
    </row>
    <row r="174" spans="3:3" ht="15.75" customHeight="1">
      <c r="C174" s="292"/>
    </row>
    <row r="175" spans="3:3" ht="15.75" customHeight="1">
      <c r="C175" s="292"/>
    </row>
    <row r="176" spans="3:3" ht="15.75" customHeight="1">
      <c r="C176" s="292"/>
    </row>
    <row r="177" spans="3:3" ht="15.75" customHeight="1">
      <c r="C177" s="292"/>
    </row>
    <row r="178" spans="3:3" ht="15.75" customHeight="1">
      <c r="C178" s="292"/>
    </row>
    <row r="179" spans="3:3" ht="15.75" customHeight="1">
      <c r="C179" s="292"/>
    </row>
    <row r="180" spans="3:3" ht="15.75" customHeight="1">
      <c r="C180" s="292"/>
    </row>
    <row r="181" spans="3:3" ht="15.75" customHeight="1">
      <c r="C181" s="292"/>
    </row>
    <row r="182" spans="3:3" ht="15.75" customHeight="1">
      <c r="C182" s="292"/>
    </row>
    <row r="183" spans="3:3" ht="15.75" customHeight="1">
      <c r="C183" s="292"/>
    </row>
    <row r="184" spans="3:3" ht="15.75" customHeight="1">
      <c r="C184" s="292"/>
    </row>
    <row r="185" spans="3:3" ht="15.75" customHeight="1">
      <c r="C185" s="292"/>
    </row>
    <row r="186" spans="3:3" ht="15.75" customHeight="1">
      <c r="C186" s="292"/>
    </row>
    <row r="187" spans="3:3" ht="15.75" customHeight="1">
      <c r="C187" s="292"/>
    </row>
    <row r="188" spans="3:3" ht="15.75" customHeight="1">
      <c r="C188" s="292"/>
    </row>
    <row r="189" spans="3:3" ht="15.75" customHeight="1">
      <c r="C189" s="292"/>
    </row>
    <row r="190" spans="3:3" ht="15.75" customHeight="1">
      <c r="C190" s="292"/>
    </row>
    <row r="191" spans="3:3" ht="15.75" customHeight="1">
      <c r="C191" s="292"/>
    </row>
    <row r="192" spans="3:3" ht="15.75" customHeight="1">
      <c r="C192" s="292"/>
    </row>
    <row r="193" spans="3:3" ht="15.75" customHeight="1">
      <c r="C193" s="292"/>
    </row>
    <row r="194" spans="3:3" ht="15.75" customHeight="1">
      <c r="C194" s="292"/>
    </row>
    <row r="195" spans="3:3" ht="15.75" customHeight="1">
      <c r="C195" s="292"/>
    </row>
    <row r="196" spans="3:3" ht="15.75" customHeight="1">
      <c r="C196" s="292"/>
    </row>
    <row r="197" spans="3:3" ht="15.75" customHeight="1">
      <c r="C197" s="292"/>
    </row>
    <row r="198" spans="3:3" ht="15.75" customHeight="1">
      <c r="C198" s="292"/>
    </row>
    <row r="199" spans="3:3" ht="15.75" customHeight="1">
      <c r="C199" s="292"/>
    </row>
    <row r="200" spans="3:3" ht="15.75" customHeight="1">
      <c r="C200" s="292"/>
    </row>
    <row r="201" spans="3:3" ht="15.75" customHeight="1">
      <c r="C201" s="292"/>
    </row>
    <row r="202" spans="3:3" ht="15.75" customHeight="1">
      <c r="C202" s="292"/>
    </row>
    <row r="203" spans="3:3" ht="15.75" customHeight="1">
      <c r="C203" s="292"/>
    </row>
    <row r="204" spans="3:3" ht="15.75" customHeight="1">
      <c r="C204" s="292"/>
    </row>
    <row r="205" spans="3:3" ht="15.75" customHeight="1">
      <c r="C205" s="292"/>
    </row>
    <row r="206" spans="3:3" ht="15.75" customHeight="1">
      <c r="C206" s="292"/>
    </row>
    <row r="207" spans="3:3" ht="15.75" customHeight="1">
      <c r="C207" s="292"/>
    </row>
    <row r="208" spans="3:3" ht="15.75" customHeight="1">
      <c r="C208" s="292"/>
    </row>
    <row r="209" spans="3:3" ht="15.75" customHeight="1">
      <c r="C209" s="292"/>
    </row>
    <row r="210" spans="3:3" ht="15.75" customHeight="1">
      <c r="C210" s="292"/>
    </row>
    <row r="211" spans="3:3" ht="15.75" customHeight="1">
      <c r="C211" s="292"/>
    </row>
    <row r="212" spans="3:3" ht="15.75" customHeight="1">
      <c r="C212" s="292"/>
    </row>
    <row r="213" spans="3:3" ht="15.75" customHeight="1">
      <c r="C213" s="292"/>
    </row>
    <row r="214" spans="3:3" ht="15.75" customHeight="1">
      <c r="C214" s="292"/>
    </row>
    <row r="215" spans="3:3" ht="15.75" customHeight="1">
      <c r="C215" s="292"/>
    </row>
    <row r="216" spans="3:3" ht="15.75" customHeight="1">
      <c r="C216" s="292"/>
    </row>
    <row r="217" spans="3:3" ht="15.75" customHeight="1">
      <c r="C217" s="292"/>
    </row>
    <row r="218" spans="3:3" ht="15.75" customHeight="1">
      <c r="C218" s="292"/>
    </row>
    <row r="219" spans="3:3" ht="15.75" customHeight="1">
      <c r="C219" s="292"/>
    </row>
    <row r="220" spans="3:3" ht="15.75" customHeight="1">
      <c r="C220" s="292"/>
    </row>
    <row r="221" spans="3:3" ht="15.75" customHeight="1">
      <c r="C221" s="292"/>
    </row>
    <row r="222" spans="3:3" ht="15.75" customHeight="1">
      <c r="C222" s="292"/>
    </row>
    <row r="223" spans="3:3" ht="15.75" customHeight="1">
      <c r="C223" s="292"/>
    </row>
    <row r="224" spans="3:3" ht="15.75" customHeight="1">
      <c r="C224" s="292"/>
    </row>
    <row r="225" spans="3:3" ht="15.75" customHeight="1">
      <c r="C225" s="292"/>
    </row>
    <row r="226" spans="3:3" ht="15.75" customHeight="1">
      <c r="C226" s="292"/>
    </row>
    <row r="227" spans="3:3" ht="15.75" customHeight="1">
      <c r="C227" s="292"/>
    </row>
    <row r="228" spans="3:3" ht="15.75" customHeight="1">
      <c r="C228" s="292"/>
    </row>
    <row r="229" spans="3:3" ht="15.75" customHeight="1">
      <c r="C229" s="292"/>
    </row>
    <row r="230" spans="3:3" ht="15.75" customHeight="1">
      <c r="C230" s="292"/>
    </row>
    <row r="231" spans="3:3" ht="15.75" customHeight="1">
      <c r="C231" s="292"/>
    </row>
    <row r="232" spans="3:3" ht="15.75" customHeight="1">
      <c r="C232" s="292"/>
    </row>
    <row r="233" spans="3:3" ht="15.75" customHeight="1">
      <c r="C233" s="292"/>
    </row>
    <row r="234" spans="3:3" ht="15.75" customHeight="1">
      <c r="C234" s="292"/>
    </row>
    <row r="235" spans="3:3" ht="15.75" customHeight="1">
      <c r="C235" s="292"/>
    </row>
    <row r="236" spans="3:3" ht="15.75" customHeight="1">
      <c r="C236" s="292"/>
    </row>
    <row r="237" spans="3:3" ht="15.75" customHeight="1">
      <c r="C237" s="292"/>
    </row>
    <row r="238" spans="3:3" ht="15.75" customHeight="1">
      <c r="C238" s="292"/>
    </row>
    <row r="239" spans="3:3" ht="15.75" customHeight="1">
      <c r="C239" s="292"/>
    </row>
    <row r="240" spans="3:3" ht="15.75" customHeight="1">
      <c r="C240" s="292"/>
    </row>
    <row r="241" spans="3:3" ht="15.75" customHeight="1">
      <c r="C241" s="292"/>
    </row>
    <row r="242" spans="3:3" ht="15.75" customHeight="1">
      <c r="C242" s="292"/>
    </row>
    <row r="243" spans="3:3" ht="15.75" customHeight="1">
      <c r="C243" s="292"/>
    </row>
    <row r="244" spans="3:3" ht="15.75" customHeight="1">
      <c r="C244" s="292"/>
    </row>
    <row r="245" spans="3:3" ht="15.75" customHeight="1">
      <c r="C245" s="292"/>
    </row>
    <row r="246" spans="3:3" ht="15.75" customHeight="1">
      <c r="C246" s="292"/>
    </row>
    <row r="247" spans="3:3" ht="15.75" customHeight="1">
      <c r="C247" s="292"/>
    </row>
    <row r="248" spans="3:3" ht="15.75" customHeight="1">
      <c r="C248" s="292"/>
    </row>
    <row r="249" spans="3:3" ht="15.75" customHeight="1">
      <c r="C249" s="292"/>
    </row>
    <row r="250" spans="3:3" ht="15.75" customHeight="1">
      <c r="C250" s="292"/>
    </row>
    <row r="251" spans="3:3" ht="15.75" customHeight="1">
      <c r="C251" s="292"/>
    </row>
    <row r="252" spans="3:3" ht="15.75" customHeight="1">
      <c r="C252" s="292"/>
    </row>
    <row r="253" spans="3:3" ht="15.75" customHeight="1">
      <c r="C253" s="292"/>
    </row>
    <row r="254" spans="3:3" ht="15.75" customHeight="1">
      <c r="C254" s="292"/>
    </row>
    <row r="255" spans="3:3" ht="15.75" customHeight="1">
      <c r="C255" s="292"/>
    </row>
    <row r="256" spans="3:3" ht="15.75" customHeight="1">
      <c r="C256" s="292"/>
    </row>
    <row r="257" spans="3:3" ht="15.75" customHeight="1">
      <c r="C257" s="292"/>
    </row>
    <row r="258" spans="3:3" ht="15.75" customHeight="1">
      <c r="C258" s="292"/>
    </row>
    <row r="259" spans="3:3" ht="15.75" customHeight="1">
      <c r="C259" s="292"/>
    </row>
    <row r="260" spans="3:3" ht="15.75" customHeight="1">
      <c r="C260" s="292"/>
    </row>
    <row r="261" spans="3:3" ht="15.75" customHeight="1">
      <c r="C261" s="292"/>
    </row>
    <row r="262" spans="3:3" ht="15.75" customHeight="1">
      <c r="C262" s="292"/>
    </row>
    <row r="263" spans="3:3" ht="15.75" customHeight="1">
      <c r="C263" s="292"/>
    </row>
    <row r="264" spans="3:3" ht="15.75" customHeight="1">
      <c r="C264" s="292"/>
    </row>
    <row r="265" spans="3:3" ht="15.75" customHeight="1">
      <c r="C265" s="292"/>
    </row>
    <row r="266" spans="3:3" ht="15.75" customHeight="1">
      <c r="C266" s="292"/>
    </row>
    <row r="267" spans="3:3" ht="15.75" customHeight="1">
      <c r="C267" s="292"/>
    </row>
    <row r="268" spans="3:3" ht="15.75" customHeight="1">
      <c r="C268" s="292"/>
    </row>
    <row r="269" spans="3:3" ht="15.75" customHeight="1">
      <c r="C269" s="292"/>
    </row>
    <row r="270" spans="3:3" ht="15.75" customHeight="1">
      <c r="C270" s="292"/>
    </row>
    <row r="271" spans="3:3" ht="15.75" customHeight="1">
      <c r="C271" s="292"/>
    </row>
    <row r="272" spans="3:3" ht="15.75" customHeight="1">
      <c r="C272" s="292"/>
    </row>
    <row r="273" spans="3:3" ht="15.75" customHeight="1">
      <c r="C273" s="292"/>
    </row>
    <row r="274" spans="3:3" ht="15.75" customHeight="1">
      <c r="C274" s="292"/>
    </row>
    <row r="275" spans="3:3" ht="15.75" customHeight="1">
      <c r="C275" s="292"/>
    </row>
    <row r="276" spans="3:3" ht="15.75" customHeight="1">
      <c r="C276" s="292"/>
    </row>
    <row r="277" spans="3:3" ht="15.75" customHeight="1">
      <c r="C277" s="292"/>
    </row>
    <row r="278" spans="3:3" ht="15.75" customHeight="1">
      <c r="C278" s="292"/>
    </row>
    <row r="279" spans="3:3" ht="15.75" customHeight="1">
      <c r="C279" s="292"/>
    </row>
    <row r="280" spans="3:3" ht="15.75" customHeight="1">
      <c r="C280" s="292"/>
    </row>
    <row r="281" spans="3:3" ht="15.75" customHeight="1">
      <c r="C281" s="292"/>
    </row>
    <row r="282" spans="3:3" ht="15.75" customHeight="1">
      <c r="C282" s="292"/>
    </row>
    <row r="283" spans="3:3" ht="15.75" customHeight="1">
      <c r="C283" s="292"/>
    </row>
    <row r="284" spans="3:3" ht="15.75" customHeight="1">
      <c r="C284" s="292"/>
    </row>
    <row r="285" spans="3:3" ht="15.75" customHeight="1">
      <c r="C285" s="292"/>
    </row>
    <row r="286" spans="3:3" ht="15.75" customHeight="1">
      <c r="C286" s="292"/>
    </row>
    <row r="287" spans="3:3" ht="15.75" customHeight="1">
      <c r="C287" s="292"/>
    </row>
    <row r="288" spans="3:3" ht="15.75" customHeight="1">
      <c r="C288" s="292"/>
    </row>
    <row r="289" spans="3:3" ht="15.75" customHeight="1">
      <c r="C289" s="292"/>
    </row>
    <row r="290" spans="3:3" ht="15.75" customHeight="1">
      <c r="C290" s="292"/>
    </row>
    <row r="291" spans="3:3" ht="15.75" customHeight="1">
      <c r="C291" s="292"/>
    </row>
    <row r="292" spans="3:3" ht="15.75" customHeight="1">
      <c r="C292" s="292"/>
    </row>
    <row r="293" spans="3:3" ht="15.75" customHeight="1">
      <c r="C293" s="292"/>
    </row>
    <row r="294" spans="3:3" ht="15.75" customHeight="1">
      <c r="C294" s="292"/>
    </row>
    <row r="295" spans="3:3" ht="15.75" customHeight="1">
      <c r="C295" s="292"/>
    </row>
    <row r="296" spans="3:3" ht="15.75" customHeight="1">
      <c r="C296" s="292"/>
    </row>
    <row r="297" spans="3:3" ht="15.75" customHeight="1">
      <c r="C297" s="292"/>
    </row>
    <row r="298" spans="3:3" ht="15.75" customHeight="1">
      <c r="C298" s="292"/>
    </row>
    <row r="299" spans="3:3" ht="15.75" customHeight="1">
      <c r="C299" s="292"/>
    </row>
    <row r="300" spans="3:3" ht="15.75" customHeight="1">
      <c r="C300" s="292"/>
    </row>
    <row r="301" spans="3:3" ht="15.75" customHeight="1">
      <c r="C301" s="292"/>
    </row>
    <row r="302" spans="3:3" ht="15.75" customHeight="1">
      <c r="C302" s="292"/>
    </row>
    <row r="303" spans="3:3" ht="15.75" customHeight="1">
      <c r="C303" s="292"/>
    </row>
    <row r="304" spans="3:3" ht="15.75" customHeight="1">
      <c r="C304" s="292"/>
    </row>
    <row r="305" spans="3:3" ht="15.75" customHeight="1">
      <c r="C305" s="292"/>
    </row>
    <row r="306" spans="3:3" ht="15.75" customHeight="1">
      <c r="C306" s="292"/>
    </row>
    <row r="307" spans="3:3" ht="15.75" customHeight="1">
      <c r="C307" s="292"/>
    </row>
    <row r="308" spans="3:3" ht="15.75" customHeight="1">
      <c r="C308" s="292"/>
    </row>
    <row r="309" spans="3:3" ht="15.75" customHeight="1">
      <c r="C309" s="292"/>
    </row>
    <row r="310" spans="3:3" ht="15.75" customHeight="1">
      <c r="C310" s="292"/>
    </row>
    <row r="311" spans="3:3" ht="15.75" customHeight="1">
      <c r="C311" s="292"/>
    </row>
    <row r="312" spans="3:3" ht="15.75" customHeight="1">
      <c r="C312" s="292"/>
    </row>
    <row r="313" spans="3:3" ht="15.75" customHeight="1">
      <c r="C313" s="292"/>
    </row>
    <row r="314" spans="3:3" ht="15.75" customHeight="1">
      <c r="C314" s="292"/>
    </row>
    <row r="315" spans="3:3" ht="15.75" customHeight="1">
      <c r="C315" s="292"/>
    </row>
    <row r="316" spans="3:3" ht="15.75" customHeight="1">
      <c r="C316" s="292"/>
    </row>
    <row r="317" spans="3:3" ht="15.75" customHeight="1">
      <c r="C317" s="292"/>
    </row>
    <row r="318" spans="3:3" ht="15.75" customHeight="1">
      <c r="C318" s="292"/>
    </row>
    <row r="319" spans="3:3" ht="15.75" customHeight="1">
      <c r="C319" s="292"/>
    </row>
    <row r="320" spans="3:3" ht="15.75" customHeight="1">
      <c r="C320" s="292"/>
    </row>
    <row r="321" spans="3:3" ht="15.75" customHeight="1">
      <c r="C321" s="292"/>
    </row>
    <row r="322" spans="3:3" ht="15.75" customHeight="1">
      <c r="C322" s="292"/>
    </row>
    <row r="323" spans="3:3" ht="15.75" customHeight="1">
      <c r="C323" s="292"/>
    </row>
    <row r="324" spans="3:3" ht="15.75" customHeight="1">
      <c r="C324" s="292"/>
    </row>
    <row r="325" spans="3:3" ht="15.75" customHeight="1">
      <c r="C325" s="292"/>
    </row>
    <row r="326" spans="3:3" ht="15.75" customHeight="1">
      <c r="C326" s="292"/>
    </row>
    <row r="327" spans="3:3" ht="15.75" customHeight="1">
      <c r="C327" s="292"/>
    </row>
    <row r="328" spans="3:3" ht="15.75" customHeight="1">
      <c r="C328" s="292"/>
    </row>
    <row r="329" spans="3:3" ht="15.75" customHeight="1">
      <c r="C329" s="292"/>
    </row>
    <row r="330" spans="3:3" ht="15.75" customHeight="1">
      <c r="C330" s="292"/>
    </row>
    <row r="331" spans="3:3" ht="15.75" customHeight="1">
      <c r="C331" s="292"/>
    </row>
    <row r="332" spans="3:3" ht="15.75" customHeight="1">
      <c r="C332" s="292"/>
    </row>
    <row r="333" spans="3:3" ht="15.75" customHeight="1">
      <c r="C333" s="292"/>
    </row>
    <row r="334" spans="3:3" ht="15.75" customHeight="1">
      <c r="C334" s="292"/>
    </row>
    <row r="335" spans="3:3" ht="15.75" customHeight="1">
      <c r="C335" s="292"/>
    </row>
    <row r="336" spans="3:3" ht="15.75" customHeight="1">
      <c r="C336" s="292"/>
    </row>
    <row r="337" spans="3:3" ht="15.75" customHeight="1">
      <c r="C337" s="292"/>
    </row>
    <row r="338" spans="3:3" ht="15.75" customHeight="1">
      <c r="C338" s="292"/>
    </row>
    <row r="339" spans="3:3" ht="15.75" customHeight="1">
      <c r="C339" s="292"/>
    </row>
    <row r="340" spans="3:3" ht="15.75" customHeight="1">
      <c r="C340" s="292"/>
    </row>
    <row r="341" spans="3:3" ht="15.75" customHeight="1">
      <c r="C341" s="292"/>
    </row>
    <row r="342" spans="3:3" ht="15.75" customHeight="1">
      <c r="C342" s="292"/>
    </row>
    <row r="343" spans="3:3" ht="15.75" customHeight="1">
      <c r="C343" s="292"/>
    </row>
    <row r="344" spans="3:3" ht="15.75" customHeight="1">
      <c r="C344" s="292"/>
    </row>
    <row r="345" spans="3:3" ht="15.75" customHeight="1">
      <c r="C345" s="292"/>
    </row>
    <row r="346" spans="3:3" ht="15.75" customHeight="1">
      <c r="C346" s="292"/>
    </row>
    <row r="347" spans="3:3" ht="15.75" customHeight="1">
      <c r="C347" s="292"/>
    </row>
    <row r="348" spans="3:3" ht="15.75" customHeight="1">
      <c r="C348" s="292"/>
    </row>
    <row r="349" spans="3:3" ht="15.75" customHeight="1">
      <c r="C349" s="292"/>
    </row>
    <row r="350" spans="3:3" ht="15.75" customHeight="1">
      <c r="C350" s="292"/>
    </row>
    <row r="351" spans="3:3" ht="15.75" customHeight="1">
      <c r="C351" s="292"/>
    </row>
    <row r="352" spans="3:3" ht="15.75" customHeight="1">
      <c r="C352" s="292"/>
    </row>
    <row r="353" spans="3:3" ht="15.75" customHeight="1">
      <c r="C353" s="292"/>
    </row>
    <row r="354" spans="3:3" ht="15.75" customHeight="1">
      <c r="C354" s="292"/>
    </row>
    <row r="355" spans="3:3" ht="15.75" customHeight="1">
      <c r="C355" s="292"/>
    </row>
    <row r="356" spans="3:3" ht="15.75" customHeight="1">
      <c r="C356" s="292"/>
    </row>
    <row r="357" spans="3:3" ht="15.75" customHeight="1">
      <c r="C357" s="292"/>
    </row>
    <row r="358" spans="3:3" ht="15.75" customHeight="1">
      <c r="C358" s="292"/>
    </row>
    <row r="359" spans="3:3" ht="15.75" customHeight="1">
      <c r="C359" s="292"/>
    </row>
    <row r="360" spans="3:3" ht="15.75" customHeight="1">
      <c r="C360" s="292"/>
    </row>
    <row r="361" spans="3:3" ht="15.75" customHeight="1">
      <c r="C361" s="292"/>
    </row>
    <row r="362" spans="3:3" ht="15.75" customHeight="1">
      <c r="C362" s="292"/>
    </row>
    <row r="363" spans="3:3" ht="15.75" customHeight="1">
      <c r="C363" s="292"/>
    </row>
    <row r="364" spans="3:3" ht="15.75" customHeight="1">
      <c r="C364" s="292"/>
    </row>
    <row r="365" spans="3:3" ht="15.75" customHeight="1">
      <c r="C365" s="292"/>
    </row>
    <row r="366" spans="3:3" ht="15.75" customHeight="1">
      <c r="C366" s="292"/>
    </row>
    <row r="367" spans="3:3" ht="15.75" customHeight="1">
      <c r="C367" s="292"/>
    </row>
    <row r="368" spans="3:3" ht="15.75" customHeight="1">
      <c r="C368" s="292"/>
    </row>
    <row r="369" spans="3:3" ht="15.75" customHeight="1">
      <c r="C369" s="292"/>
    </row>
    <row r="370" spans="3:3" ht="15.75" customHeight="1">
      <c r="C370" s="292"/>
    </row>
    <row r="371" spans="3:3" ht="15.75" customHeight="1">
      <c r="C371" s="292"/>
    </row>
    <row r="372" spans="3:3" ht="15.75" customHeight="1">
      <c r="C372" s="292"/>
    </row>
    <row r="373" spans="3:3" ht="15.75" customHeight="1">
      <c r="C373" s="292"/>
    </row>
    <row r="374" spans="3:3" ht="15.75" customHeight="1">
      <c r="C374" s="292"/>
    </row>
    <row r="375" spans="3:3" ht="15.75" customHeight="1">
      <c r="C375" s="292"/>
    </row>
    <row r="376" spans="3:3" ht="15.75" customHeight="1">
      <c r="C376" s="292"/>
    </row>
    <row r="377" spans="3:3" ht="15.75" customHeight="1">
      <c r="C377" s="292"/>
    </row>
    <row r="378" spans="3:3" ht="15.75" customHeight="1">
      <c r="C378" s="292"/>
    </row>
    <row r="379" spans="3:3" ht="15.75" customHeight="1">
      <c r="C379" s="292"/>
    </row>
    <row r="380" spans="3:3" ht="15.75" customHeight="1">
      <c r="C380" s="292"/>
    </row>
    <row r="381" spans="3:3" ht="15.75" customHeight="1">
      <c r="C381" s="292"/>
    </row>
    <row r="382" spans="3:3" ht="15.75" customHeight="1">
      <c r="C382" s="292"/>
    </row>
    <row r="383" spans="3:3" ht="15.75" customHeight="1">
      <c r="C383" s="292"/>
    </row>
    <row r="384" spans="3:3" ht="15.75" customHeight="1">
      <c r="C384" s="292"/>
    </row>
    <row r="385" spans="3:3" ht="15.75" customHeight="1">
      <c r="C385" s="292"/>
    </row>
    <row r="386" spans="3:3" ht="15.75" customHeight="1">
      <c r="C386" s="292"/>
    </row>
    <row r="387" spans="3:3" ht="15.75" customHeight="1">
      <c r="C387" s="292"/>
    </row>
    <row r="388" spans="3:3" ht="15.75" customHeight="1">
      <c r="C388" s="292"/>
    </row>
    <row r="389" spans="3:3" ht="15.75" customHeight="1">
      <c r="C389" s="292"/>
    </row>
    <row r="390" spans="3:3" ht="15.75" customHeight="1">
      <c r="C390" s="292"/>
    </row>
    <row r="391" spans="3:3" ht="15.75" customHeight="1">
      <c r="C391" s="292"/>
    </row>
    <row r="392" spans="3:3" ht="15.75" customHeight="1">
      <c r="C392" s="292"/>
    </row>
    <row r="393" spans="3:3" ht="15.75" customHeight="1">
      <c r="C393" s="292"/>
    </row>
    <row r="394" spans="3:3" ht="15.75" customHeight="1">
      <c r="C394" s="292"/>
    </row>
    <row r="395" spans="3:3" ht="15.75" customHeight="1">
      <c r="C395" s="292"/>
    </row>
    <row r="396" spans="3:3" ht="15.75" customHeight="1">
      <c r="C396" s="292"/>
    </row>
    <row r="397" spans="3:3" ht="15.75" customHeight="1">
      <c r="C397" s="292"/>
    </row>
    <row r="398" spans="3:3" ht="15.75" customHeight="1">
      <c r="C398" s="292"/>
    </row>
    <row r="399" spans="3:3" ht="15.75" customHeight="1">
      <c r="C399" s="292"/>
    </row>
    <row r="400" spans="3:3" ht="15.75" customHeight="1">
      <c r="C400" s="292"/>
    </row>
    <row r="401" spans="3:3" ht="15.75" customHeight="1">
      <c r="C401" s="292"/>
    </row>
    <row r="402" spans="3:3" ht="15.75" customHeight="1">
      <c r="C402" s="292"/>
    </row>
    <row r="403" spans="3:3" ht="15.75" customHeight="1">
      <c r="C403" s="292"/>
    </row>
    <row r="404" spans="3:3" ht="15.75" customHeight="1">
      <c r="C404" s="292"/>
    </row>
    <row r="405" spans="3:3" ht="15.75" customHeight="1">
      <c r="C405" s="292"/>
    </row>
    <row r="406" spans="3:3" ht="15.75" customHeight="1">
      <c r="C406" s="292"/>
    </row>
    <row r="407" spans="3:3" ht="15.75" customHeight="1">
      <c r="C407" s="292"/>
    </row>
    <row r="408" spans="3:3" ht="15.75" customHeight="1">
      <c r="C408" s="292"/>
    </row>
    <row r="409" spans="3:3" ht="15.75" customHeight="1">
      <c r="C409" s="292"/>
    </row>
    <row r="410" spans="3:3" ht="15.75" customHeight="1">
      <c r="C410" s="292"/>
    </row>
    <row r="411" spans="3:3" ht="15.75" customHeight="1">
      <c r="C411" s="292"/>
    </row>
    <row r="412" spans="3:3" ht="15.75" customHeight="1">
      <c r="C412" s="292"/>
    </row>
    <row r="413" spans="3:3" ht="15.75" customHeight="1">
      <c r="C413" s="292"/>
    </row>
    <row r="414" spans="3:3" ht="15.75" customHeight="1">
      <c r="C414" s="292"/>
    </row>
    <row r="415" spans="3:3" ht="15.75" customHeight="1">
      <c r="C415" s="292"/>
    </row>
    <row r="416" spans="3:3" ht="15.75" customHeight="1">
      <c r="C416" s="292"/>
    </row>
    <row r="417" spans="3:3" ht="15.75" customHeight="1">
      <c r="C417" s="292"/>
    </row>
    <row r="418" spans="3:3" ht="15.75" customHeight="1">
      <c r="C418" s="292"/>
    </row>
    <row r="419" spans="3:3" ht="15.75" customHeight="1">
      <c r="C419" s="292"/>
    </row>
    <row r="420" spans="3:3" ht="15.75" customHeight="1">
      <c r="C420" s="292"/>
    </row>
    <row r="421" spans="3:3" ht="15.75" customHeight="1">
      <c r="C421" s="292"/>
    </row>
    <row r="422" spans="3:3" ht="15.75" customHeight="1">
      <c r="C422" s="292"/>
    </row>
    <row r="423" spans="3:3" ht="15.75" customHeight="1">
      <c r="C423" s="292"/>
    </row>
    <row r="424" spans="3:3" ht="15.75" customHeight="1">
      <c r="C424" s="292"/>
    </row>
    <row r="425" spans="3:3" ht="15.75" customHeight="1">
      <c r="C425" s="292"/>
    </row>
    <row r="426" spans="3:3" ht="15.75" customHeight="1">
      <c r="C426" s="292"/>
    </row>
    <row r="427" spans="3:3" ht="15.75" customHeight="1">
      <c r="C427" s="292"/>
    </row>
    <row r="428" spans="3:3" ht="15.75" customHeight="1">
      <c r="C428" s="292"/>
    </row>
    <row r="429" spans="3:3" ht="15.75" customHeight="1">
      <c r="C429" s="292"/>
    </row>
    <row r="430" spans="3:3" ht="15.75" customHeight="1">
      <c r="C430" s="292"/>
    </row>
    <row r="431" spans="3:3" ht="15.75" customHeight="1">
      <c r="C431" s="292"/>
    </row>
    <row r="432" spans="3:3" ht="15.75" customHeight="1">
      <c r="C432" s="292"/>
    </row>
    <row r="433" spans="3:3" ht="15.75" customHeight="1">
      <c r="C433" s="292"/>
    </row>
    <row r="434" spans="3:3" ht="15.75" customHeight="1">
      <c r="C434" s="292"/>
    </row>
    <row r="435" spans="3:3" ht="15.75" customHeight="1">
      <c r="C435" s="292"/>
    </row>
    <row r="436" spans="3:3" ht="15.75" customHeight="1">
      <c r="C436" s="292"/>
    </row>
    <row r="437" spans="3:3" ht="15.75" customHeight="1">
      <c r="C437" s="292"/>
    </row>
    <row r="438" spans="3:3" ht="15.75" customHeight="1">
      <c r="C438" s="292"/>
    </row>
    <row r="439" spans="3:3" ht="15.75" customHeight="1">
      <c r="C439" s="292"/>
    </row>
    <row r="440" spans="3:3" ht="15.75" customHeight="1">
      <c r="C440" s="292"/>
    </row>
    <row r="441" spans="3:3" ht="15.75" customHeight="1">
      <c r="C441" s="292"/>
    </row>
    <row r="442" spans="3:3" ht="15.75" customHeight="1">
      <c r="C442" s="292"/>
    </row>
    <row r="443" spans="3:3" ht="15.75" customHeight="1">
      <c r="C443" s="292"/>
    </row>
    <row r="444" spans="3:3" ht="15.75" customHeight="1">
      <c r="C444" s="292"/>
    </row>
    <row r="445" spans="3:3" ht="15.75" customHeight="1">
      <c r="C445" s="292"/>
    </row>
    <row r="446" spans="3:3" ht="15.75" customHeight="1">
      <c r="C446" s="292"/>
    </row>
    <row r="447" spans="3:3" ht="15.75" customHeight="1">
      <c r="C447" s="292"/>
    </row>
    <row r="448" spans="3:3" ht="15.75" customHeight="1">
      <c r="C448" s="292"/>
    </row>
    <row r="449" spans="3:3" ht="15.75" customHeight="1">
      <c r="C449" s="292"/>
    </row>
    <row r="450" spans="3:3" ht="15.75" customHeight="1">
      <c r="C450" s="292"/>
    </row>
    <row r="451" spans="3:3" ht="15.75" customHeight="1">
      <c r="C451" s="292"/>
    </row>
    <row r="452" spans="3:3" ht="15.75" customHeight="1">
      <c r="C452" s="292"/>
    </row>
    <row r="453" spans="3:3" ht="15.75" customHeight="1">
      <c r="C453" s="292"/>
    </row>
    <row r="454" spans="3:3" ht="15.75" customHeight="1">
      <c r="C454" s="292"/>
    </row>
    <row r="455" spans="3:3" ht="15.75" customHeight="1">
      <c r="C455" s="292"/>
    </row>
    <row r="456" spans="3:3" ht="15.75" customHeight="1">
      <c r="C456" s="292"/>
    </row>
    <row r="457" spans="3:3" ht="15.75" customHeight="1">
      <c r="C457" s="292"/>
    </row>
    <row r="458" spans="3:3" ht="15.75" customHeight="1">
      <c r="C458" s="292"/>
    </row>
    <row r="459" spans="3:3" ht="15.75" customHeight="1">
      <c r="C459" s="292"/>
    </row>
    <row r="460" spans="3:3" ht="15.75" customHeight="1">
      <c r="C460" s="292"/>
    </row>
    <row r="461" spans="3:3" ht="15.75" customHeight="1">
      <c r="C461" s="292"/>
    </row>
    <row r="462" spans="3:3" ht="15.75" customHeight="1">
      <c r="C462" s="292"/>
    </row>
    <row r="463" spans="3:3" ht="15.75" customHeight="1">
      <c r="C463" s="292"/>
    </row>
    <row r="464" spans="3:3" ht="15.75" customHeight="1">
      <c r="C464" s="292"/>
    </row>
    <row r="465" spans="3:3" ht="15.75" customHeight="1">
      <c r="C465" s="292"/>
    </row>
    <row r="466" spans="3:3" ht="15.75" customHeight="1">
      <c r="C466" s="292"/>
    </row>
    <row r="467" spans="3:3" ht="15.75" customHeight="1">
      <c r="C467" s="292"/>
    </row>
    <row r="468" spans="3:3" ht="15.75" customHeight="1">
      <c r="C468" s="292"/>
    </row>
    <row r="469" spans="3:3" ht="15.75" customHeight="1">
      <c r="C469" s="292"/>
    </row>
    <row r="470" spans="3:3" ht="15.75" customHeight="1">
      <c r="C470" s="292"/>
    </row>
    <row r="471" spans="3:3" ht="15.75" customHeight="1">
      <c r="C471" s="292"/>
    </row>
    <row r="472" spans="3:3" ht="15.75" customHeight="1">
      <c r="C472" s="292"/>
    </row>
    <row r="473" spans="3:3" ht="15.75" customHeight="1">
      <c r="C473" s="292"/>
    </row>
    <row r="474" spans="3:3" ht="15.75" customHeight="1">
      <c r="C474" s="292"/>
    </row>
    <row r="475" spans="3:3" ht="15.75" customHeight="1">
      <c r="C475" s="292"/>
    </row>
    <row r="476" spans="3:3" ht="15.75" customHeight="1">
      <c r="C476" s="292"/>
    </row>
    <row r="477" spans="3:3" ht="15.75" customHeight="1">
      <c r="C477" s="292"/>
    </row>
    <row r="478" spans="3:3" ht="15.75" customHeight="1">
      <c r="C478" s="292"/>
    </row>
    <row r="479" spans="3:3" ht="15.75" customHeight="1">
      <c r="C479" s="292"/>
    </row>
    <row r="480" spans="3:3" ht="15.75" customHeight="1">
      <c r="C480" s="292"/>
    </row>
    <row r="481" spans="3:3" ht="15.75" customHeight="1">
      <c r="C481" s="292"/>
    </row>
    <row r="482" spans="3:3" ht="15.75" customHeight="1">
      <c r="C482" s="292"/>
    </row>
    <row r="483" spans="3:3" ht="15.75" customHeight="1">
      <c r="C483" s="292"/>
    </row>
    <row r="484" spans="3:3" ht="15.75" customHeight="1">
      <c r="C484" s="292"/>
    </row>
    <row r="485" spans="3:3" ht="15.75" customHeight="1">
      <c r="C485" s="292"/>
    </row>
    <row r="486" spans="3:3" ht="15.75" customHeight="1">
      <c r="C486" s="292"/>
    </row>
    <row r="487" spans="3:3" ht="15.75" customHeight="1">
      <c r="C487" s="292"/>
    </row>
    <row r="488" spans="3:3" ht="15.75" customHeight="1">
      <c r="C488" s="292"/>
    </row>
    <row r="489" spans="3:3" ht="15.75" customHeight="1">
      <c r="C489" s="292"/>
    </row>
    <row r="490" spans="3:3" ht="15.75" customHeight="1">
      <c r="C490" s="292"/>
    </row>
    <row r="491" spans="3:3" ht="15.75" customHeight="1">
      <c r="C491" s="292"/>
    </row>
    <row r="492" spans="3:3" ht="15.75" customHeight="1">
      <c r="C492" s="292"/>
    </row>
    <row r="493" spans="3:3" ht="15.75" customHeight="1">
      <c r="C493" s="292"/>
    </row>
    <row r="494" spans="3:3" ht="15.75" customHeight="1">
      <c r="C494" s="292"/>
    </row>
    <row r="495" spans="3:3" ht="15.75" customHeight="1">
      <c r="C495" s="292"/>
    </row>
    <row r="496" spans="3:3" ht="15.75" customHeight="1">
      <c r="C496" s="292"/>
    </row>
    <row r="497" spans="3:3" ht="15.75" customHeight="1">
      <c r="C497" s="292"/>
    </row>
    <row r="498" spans="3:3" ht="15.75" customHeight="1">
      <c r="C498" s="292"/>
    </row>
    <row r="499" spans="3:3" ht="15.75" customHeight="1">
      <c r="C499" s="292"/>
    </row>
    <row r="500" spans="3:3" ht="15.75" customHeight="1">
      <c r="C500" s="292"/>
    </row>
    <row r="501" spans="3:3" ht="15.75" customHeight="1">
      <c r="C501" s="292"/>
    </row>
    <row r="502" spans="3:3" ht="15.75" customHeight="1">
      <c r="C502" s="292"/>
    </row>
    <row r="503" spans="3:3" ht="15.75" customHeight="1">
      <c r="C503" s="292"/>
    </row>
    <row r="504" spans="3:3" ht="15.75" customHeight="1">
      <c r="C504" s="292"/>
    </row>
    <row r="505" spans="3:3" ht="15.75" customHeight="1">
      <c r="C505" s="292"/>
    </row>
    <row r="506" spans="3:3" ht="15.75" customHeight="1">
      <c r="C506" s="292"/>
    </row>
    <row r="507" spans="3:3" ht="15.75" customHeight="1">
      <c r="C507" s="292"/>
    </row>
    <row r="508" spans="3:3" ht="15.75" customHeight="1">
      <c r="C508" s="292"/>
    </row>
    <row r="509" spans="3:3" ht="15.75" customHeight="1">
      <c r="C509" s="292"/>
    </row>
    <row r="510" spans="3:3" ht="15.75" customHeight="1">
      <c r="C510" s="292"/>
    </row>
    <row r="511" spans="3:3" ht="15.75" customHeight="1">
      <c r="C511" s="292"/>
    </row>
    <row r="512" spans="3:3" ht="15.75" customHeight="1">
      <c r="C512" s="292"/>
    </row>
    <row r="513" spans="3:3" ht="15.75" customHeight="1">
      <c r="C513" s="292"/>
    </row>
    <row r="514" spans="3:3" ht="15.75" customHeight="1">
      <c r="C514" s="292"/>
    </row>
    <row r="515" spans="3:3" ht="15.75" customHeight="1">
      <c r="C515" s="292"/>
    </row>
    <row r="516" spans="3:3" ht="15.75" customHeight="1">
      <c r="C516" s="292"/>
    </row>
    <row r="517" spans="3:3" ht="15.75" customHeight="1">
      <c r="C517" s="292"/>
    </row>
    <row r="518" spans="3:3" ht="15.75" customHeight="1">
      <c r="C518" s="292"/>
    </row>
    <row r="519" spans="3:3" ht="15.75" customHeight="1">
      <c r="C519" s="292"/>
    </row>
    <row r="520" spans="3:3" ht="15.75" customHeight="1">
      <c r="C520" s="292"/>
    </row>
    <row r="521" spans="3:3" ht="15.75" customHeight="1">
      <c r="C521" s="292"/>
    </row>
    <row r="522" spans="3:3" ht="15.75" customHeight="1">
      <c r="C522" s="292"/>
    </row>
    <row r="523" spans="3:3" ht="15.75" customHeight="1">
      <c r="C523" s="292"/>
    </row>
    <row r="524" spans="3:3" ht="15.75" customHeight="1">
      <c r="C524" s="292"/>
    </row>
    <row r="525" spans="3:3" ht="15.75" customHeight="1">
      <c r="C525" s="292"/>
    </row>
    <row r="526" spans="3:3" ht="15.75" customHeight="1">
      <c r="C526" s="292"/>
    </row>
    <row r="527" spans="3:3" ht="15.75" customHeight="1">
      <c r="C527" s="292"/>
    </row>
    <row r="528" spans="3:3" ht="15.75" customHeight="1">
      <c r="C528" s="292"/>
    </row>
    <row r="529" spans="3:3" ht="15.75" customHeight="1">
      <c r="C529" s="292"/>
    </row>
    <row r="530" spans="3:3" ht="15.75" customHeight="1">
      <c r="C530" s="292"/>
    </row>
    <row r="531" spans="3:3" ht="15.75" customHeight="1">
      <c r="C531" s="292"/>
    </row>
    <row r="532" spans="3:3" ht="15.75" customHeight="1">
      <c r="C532" s="292"/>
    </row>
    <row r="533" spans="3:3" ht="15.75" customHeight="1">
      <c r="C533" s="292"/>
    </row>
    <row r="534" spans="3:3" ht="15.75" customHeight="1">
      <c r="C534" s="292"/>
    </row>
    <row r="535" spans="3:3" ht="15.75" customHeight="1">
      <c r="C535" s="292"/>
    </row>
    <row r="536" spans="3:3" ht="15.75" customHeight="1">
      <c r="C536" s="292"/>
    </row>
    <row r="537" spans="3:3" ht="15.75" customHeight="1">
      <c r="C537" s="292"/>
    </row>
    <row r="538" spans="3:3" ht="15.75" customHeight="1">
      <c r="C538" s="292"/>
    </row>
    <row r="539" spans="3:3" ht="15.75" customHeight="1">
      <c r="C539" s="292"/>
    </row>
    <row r="540" spans="3:3" ht="15.75" customHeight="1">
      <c r="C540" s="292"/>
    </row>
    <row r="541" spans="3:3" ht="15.75" customHeight="1">
      <c r="C541" s="292"/>
    </row>
    <row r="542" spans="3:3" ht="15.75" customHeight="1">
      <c r="C542" s="292"/>
    </row>
    <row r="543" spans="3:3" ht="15.75" customHeight="1">
      <c r="C543" s="292"/>
    </row>
    <row r="544" spans="3:3" ht="15.75" customHeight="1">
      <c r="C544" s="292"/>
    </row>
    <row r="545" spans="3:3" ht="15.75" customHeight="1">
      <c r="C545" s="292"/>
    </row>
    <row r="546" spans="3:3" ht="15.75" customHeight="1">
      <c r="C546" s="292"/>
    </row>
    <row r="547" spans="3:3" ht="15.75" customHeight="1">
      <c r="C547" s="292"/>
    </row>
    <row r="548" spans="3:3" ht="15.75" customHeight="1">
      <c r="C548" s="292"/>
    </row>
    <row r="549" spans="3:3" ht="15.75" customHeight="1">
      <c r="C549" s="292"/>
    </row>
    <row r="550" spans="3:3" ht="15.75" customHeight="1">
      <c r="C550" s="292"/>
    </row>
    <row r="551" spans="3:3" ht="15.75" customHeight="1">
      <c r="C551" s="292"/>
    </row>
    <row r="552" spans="3:3" ht="15.75" customHeight="1">
      <c r="C552" s="292"/>
    </row>
    <row r="553" spans="3:3" ht="15.75" customHeight="1">
      <c r="C553" s="292"/>
    </row>
    <row r="554" spans="3:3" ht="15.75" customHeight="1">
      <c r="C554" s="292"/>
    </row>
    <row r="555" spans="3:3" ht="15.75" customHeight="1">
      <c r="C555" s="292"/>
    </row>
    <row r="556" spans="3:3" ht="15.75" customHeight="1">
      <c r="C556" s="292"/>
    </row>
    <row r="557" spans="3:3" ht="15.75" customHeight="1">
      <c r="C557" s="292"/>
    </row>
    <row r="558" spans="3:3" ht="15.75" customHeight="1">
      <c r="C558" s="292"/>
    </row>
    <row r="559" spans="3:3" ht="15.75" customHeight="1">
      <c r="C559" s="292"/>
    </row>
    <row r="560" spans="3:3" ht="15.75" customHeight="1">
      <c r="C560" s="292"/>
    </row>
    <row r="561" spans="3:3" ht="15.75" customHeight="1">
      <c r="C561" s="292"/>
    </row>
    <row r="562" spans="3:3" ht="15.75" customHeight="1">
      <c r="C562" s="292"/>
    </row>
    <row r="563" spans="3:3" ht="15.75" customHeight="1">
      <c r="C563" s="292"/>
    </row>
    <row r="564" spans="3:3" ht="15.75" customHeight="1">
      <c r="C564" s="292"/>
    </row>
    <row r="565" spans="3:3" ht="15.75" customHeight="1">
      <c r="C565" s="292"/>
    </row>
    <row r="566" spans="3:3" ht="15.75" customHeight="1">
      <c r="C566" s="292"/>
    </row>
    <row r="567" spans="3:3" ht="15.75" customHeight="1">
      <c r="C567" s="292"/>
    </row>
    <row r="568" spans="3:3" ht="15.75" customHeight="1">
      <c r="C568" s="292"/>
    </row>
    <row r="569" spans="3:3" ht="15.75" customHeight="1">
      <c r="C569" s="292"/>
    </row>
    <row r="570" spans="3:3" ht="15.75" customHeight="1">
      <c r="C570" s="292"/>
    </row>
    <row r="571" spans="3:3" ht="15.75" customHeight="1">
      <c r="C571" s="292"/>
    </row>
    <row r="572" spans="3:3" ht="15.75" customHeight="1">
      <c r="C572" s="292"/>
    </row>
    <row r="573" spans="3:3" ht="15.75" customHeight="1">
      <c r="C573" s="292"/>
    </row>
    <row r="574" spans="3:3" ht="15.75" customHeight="1">
      <c r="C574" s="292"/>
    </row>
    <row r="575" spans="3:3" ht="15.75" customHeight="1">
      <c r="C575" s="292"/>
    </row>
    <row r="576" spans="3:3" ht="15.75" customHeight="1">
      <c r="C576" s="292"/>
    </row>
    <row r="577" spans="3:3" ht="15.75" customHeight="1">
      <c r="C577" s="292"/>
    </row>
    <row r="578" spans="3:3" ht="15.75" customHeight="1">
      <c r="C578" s="292"/>
    </row>
    <row r="579" spans="3:3" ht="15.75" customHeight="1">
      <c r="C579" s="292"/>
    </row>
    <row r="580" spans="3:3" ht="15.75" customHeight="1">
      <c r="C580" s="292"/>
    </row>
    <row r="581" spans="3:3" ht="15.75" customHeight="1">
      <c r="C581" s="292"/>
    </row>
    <row r="582" spans="3:3" ht="15.75" customHeight="1">
      <c r="C582" s="292"/>
    </row>
    <row r="583" spans="3:3" ht="15.75" customHeight="1">
      <c r="C583" s="292"/>
    </row>
    <row r="584" spans="3:3" ht="15.75" customHeight="1">
      <c r="C584" s="292"/>
    </row>
    <row r="585" spans="3:3" ht="15.75" customHeight="1">
      <c r="C585" s="292"/>
    </row>
    <row r="586" spans="3:3" ht="15.75" customHeight="1">
      <c r="C586" s="292"/>
    </row>
    <row r="587" spans="3:3" ht="15.75" customHeight="1">
      <c r="C587" s="292"/>
    </row>
    <row r="588" spans="3:3" ht="15.75" customHeight="1">
      <c r="C588" s="292"/>
    </row>
    <row r="589" spans="3:3" ht="15.75" customHeight="1">
      <c r="C589" s="292"/>
    </row>
    <row r="590" spans="3:3" ht="15.75" customHeight="1">
      <c r="C590" s="292"/>
    </row>
    <row r="591" spans="3:3" ht="15.75" customHeight="1">
      <c r="C591" s="292"/>
    </row>
    <row r="592" spans="3:3" ht="15.75" customHeight="1">
      <c r="C592" s="292"/>
    </row>
    <row r="593" spans="3:3" ht="15.75" customHeight="1">
      <c r="C593" s="292"/>
    </row>
    <row r="594" spans="3:3" ht="15.75" customHeight="1">
      <c r="C594" s="292"/>
    </row>
    <row r="595" spans="3:3" ht="15.75" customHeight="1">
      <c r="C595" s="292"/>
    </row>
    <row r="596" spans="3:3" ht="15.75" customHeight="1">
      <c r="C596" s="292"/>
    </row>
    <row r="597" spans="3:3" ht="15.75" customHeight="1">
      <c r="C597" s="292"/>
    </row>
    <row r="598" spans="3:3" ht="15.75" customHeight="1">
      <c r="C598" s="292"/>
    </row>
    <row r="599" spans="3:3" ht="15.75" customHeight="1">
      <c r="C599" s="292"/>
    </row>
    <row r="600" spans="3:3" ht="15.75" customHeight="1">
      <c r="C600" s="292"/>
    </row>
    <row r="601" spans="3:3" ht="15.75" customHeight="1">
      <c r="C601" s="292"/>
    </row>
    <row r="602" spans="3:3" ht="15.75" customHeight="1">
      <c r="C602" s="292"/>
    </row>
    <row r="603" spans="3:3" ht="15.75" customHeight="1">
      <c r="C603" s="292"/>
    </row>
    <row r="604" spans="3:3" ht="15.75" customHeight="1">
      <c r="C604" s="292"/>
    </row>
    <row r="605" spans="3:3" ht="15.75" customHeight="1">
      <c r="C605" s="292"/>
    </row>
    <row r="606" spans="3:3" ht="15.75" customHeight="1">
      <c r="C606" s="292"/>
    </row>
    <row r="607" spans="3:3" ht="15.75" customHeight="1">
      <c r="C607" s="292"/>
    </row>
    <row r="608" spans="3:3" ht="15.75" customHeight="1">
      <c r="C608" s="292"/>
    </row>
    <row r="609" spans="3:3" ht="15.75" customHeight="1">
      <c r="C609" s="292"/>
    </row>
    <row r="610" spans="3:3" ht="15.75" customHeight="1">
      <c r="C610" s="292"/>
    </row>
    <row r="611" spans="3:3" ht="15.75" customHeight="1">
      <c r="C611" s="292"/>
    </row>
    <row r="612" spans="3:3" ht="15.75" customHeight="1">
      <c r="C612" s="292"/>
    </row>
    <row r="613" spans="3:3" ht="15.75" customHeight="1">
      <c r="C613" s="292"/>
    </row>
    <row r="614" spans="3:3" ht="15.75" customHeight="1">
      <c r="C614" s="292"/>
    </row>
    <row r="615" spans="3:3" ht="15.75" customHeight="1">
      <c r="C615" s="292"/>
    </row>
    <row r="616" spans="3:3" ht="15.75" customHeight="1">
      <c r="C616" s="292"/>
    </row>
    <row r="617" spans="3:3" ht="15.75" customHeight="1">
      <c r="C617" s="292"/>
    </row>
    <row r="618" spans="3:3" ht="15.75" customHeight="1">
      <c r="C618" s="292"/>
    </row>
    <row r="619" spans="3:3" ht="15.75" customHeight="1">
      <c r="C619" s="292"/>
    </row>
    <row r="620" spans="3:3" ht="15.75" customHeight="1">
      <c r="C620" s="292"/>
    </row>
    <row r="621" spans="3:3" ht="15.75" customHeight="1">
      <c r="C621" s="292"/>
    </row>
    <row r="622" spans="3:3" ht="15.75" customHeight="1">
      <c r="C622" s="292"/>
    </row>
    <row r="623" spans="3:3" ht="15.75" customHeight="1">
      <c r="C623" s="292"/>
    </row>
    <row r="624" spans="3:3" ht="15.75" customHeight="1">
      <c r="C624" s="292"/>
    </row>
    <row r="625" spans="3:3" ht="15.75" customHeight="1">
      <c r="C625" s="292"/>
    </row>
    <row r="626" spans="3:3" ht="15.75" customHeight="1">
      <c r="C626" s="292"/>
    </row>
    <row r="627" spans="3:3" ht="15.75" customHeight="1">
      <c r="C627" s="292"/>
    </row>
    <row r="628" spans="3:3" ht="15.75" customHeight="1">
      <c r="C628" s="292"/>
    </row>
    <row r="629" spans="3:3" ht="15.75" customHeight="1">
      <c r="C629" s="292"/>
    </row>
    <row r="630" spans="3:3" ht="15.75" customHeight="1">
      <c r="C630" s="292"/>
    </row>
    <row r="631" spans="3:3" ht="15.75" customHeight="1">
      <c r="C631" s="292"/>
    </row>
    <row r="632" spans="3:3" ht="15.75" customHeight="1">
      <c r="C632" s="292"/>
    </row>
    <row r="633" spans="3:3" ht="15.75" customHeight="1">
      <c r="C633" s="292"/>
    </row>
    <row r="634" spans="3:3" ht="15.75" customHeight="1">
      <c r="C634" s="292"/>
    </row>
    <row r="635" spans="3:3" ht="15.75" customHeight="1">
      <c r="C635" s="292"/>
    </row>
    <row r="636" spans="3:3" ht="15.75" customHeight="1">
      <c r="C636" s="292"/>
    </row>
    <row r="637" spans="3:3" ht="15.75" customHeight="1">
      <c r="C637" s="292"/>
    </row>
    <row r="638" spans="3:3" ht="15.75" customHeight="1">
      <c r="C638" s="292"/>
    </row>
    <row r="639" spans="3:3" ht="15.75" customHeight="1">
      <c r="C639" s="292"/>
    </row>
    <row r="640" spans="3:3" ht="15.75" customHeight="1">
      <c r="C640" s="292"/>
    </row>
    <row r="641" spans="3:3" ht="15.75" customHeight="1">
      <c r="C641" s="292"/>
    </row>
    <row r="642" spans="3:3" ht="15.75" customHeight="1">
      <c r="C642" s="292"/>
    </row>
    <row r="643" spans="3:3" ht="15.75" customHeight="1">
      <c r="C643" s="292"/>
    </row>
    <row r="644" spans="3:3" ht="15.75" customHeight="1">
      <c r="C644" s="292"/>
    </row>
    <row r="645" spans="3:3" ht="15.75" customHeight="1">
      <c r="C645" s="292"/>
    </row>
    <row r="646" spans="3:3" ht="15.75" customHeight="1">
      <c r="C646" s="292"/>
    </row>
    <row r="647" spans="3:3" ht="15.75" customHeight="1">
      <c r="C647" s="292"/>
    </row>
    <row r="648" spans="3:3" ht="15.75" customHeight="1">
      <c r="C648" s="292"/>
    </row>
    <row r="649" spans="3:3" ht="15.75" customHeight="1">
      <c r="C649" s="292"/>
    </row>
    <row r="650" spans="3:3" ht="15.75" customHeight="1">
      <c r="C650" s="292"/>
    </row>
    <row r="651" spans="3:3" ht="15.75" customHeight="1">
      <c r="C651" s="292"/>
    </row>
    <row r="652" spans="3:3" ht="15.75" customHeight="1">
      <c r="C652" s="292"/>
    </row>
    <row r="653" spans="3:3" ht="15.75" customHeight="1">
      <c r="C653" s="292"/>
    </row>
    <row r="654" spans="3:3" ht="15.75" customHeight="1">
      <c r="C654" s="292"/>
    </row>
    <row r="655" spans="3:3" ht="15.75" customHeight="1">
      <c r="C655" s="292"/>
    </row>
    <row r="656" spans="3:3" ht="15.75" customHeight="1">
      <c r="C656" s="292"/>
    </row>
    <row r="657" spans="3:3" ht="15.75" customHeight="1">
      <c r="C657" s="292"/>
    </row>
    <row r="658" spans="3:3" ht="15.75" customHeight="1">
      <c r="C658" s="292"/>
    </row>
    <row r="659" spans="3:3" ht="15.75" customHeight="1">
      <c r="C659" s="292"/>
    </row>
    <row r="660" spans="3:3" ht="15.75" customHeight="1">
      <c r="C660" s="292"/>
    </row>
    <row r="661" spans="3:3" ht="15.75" customHeight="1">
      <c r="C661" s="292"/>
    </row>
    <row r="662" spans="3:3" ht="15.75" customHeight="1">
      <c r="C662" s="292"/>
    </row>
    <row r="663" spans="3:3" ht="15.75" customHeight="1">
      <c r="C663" s="292"/>
    </row>
    <row r="664" spans="3:3" ht="15.75" customHeight="1">
      <c r="C664" s="292"/>
    </row>
    <row r="665" spans="3:3" ht="15.75" customHeight="1">
      <c r="C665" s="292"/>
    </row>
    <row r="666" spans="3:3" ht="15.75" customHeight="1">
      <c r="C666" s="292"/>
    </row>
    <row r="667" spans="3:3" ht="15.75" customHeight="1">
      <c r="C667" s="292"/>
    </row>
    <row r="668" spans="3:3" ht="15.75" customHeight="1">
      <c r="C668" s="292"/>
    </row>
    <row r="669" spans="3:3" ht="15.75" customHeight="1">
      <c r="C669" s="292"/>
    </row>
    <row r="670" spans="3:3" ht="15.75" customHeight="1">
      <c r="C670" s="292"/>
    </row>
    <row r="671" spans="3:3" ht="15.75" customHeight="1">
      <c r="C671" s="292"/>
    </row>
    <row r="672" spans="3:3" ht="15.75" customHeight="1">
      <c r="C672" s="292"/>
    </row>
    <row r="673" spans="3:3" ht="15.75" customHeight="1">
      <c r="C673" s="292"/>
    </row>
    <row r="674" spans="3:3" ht="15.75" customHeight="1">
      <c r="C674" s="292"/>
    </row>
    <row r="675" spans="3:3" ht="15.75" customHeight="1">
      <c r="C675" s="292"/>
    </row>
    <row r="676" spans="3:3" ht="15.75" customHeight="1">
      <c r="C676" s="292"/>
    </row>
    <row r="677" spans="3:3" ht="15.75" customHeight="1">
      <c r="C677" s="292"/>
    </row>
    <row r="678" spans="3:3" ht="15.75" customHeight="1">
      <c r="C678" s="292"/>
    </row>
    <row r="679" spans="3:3" ht="15.75" customHeight="1">
      <c r="C679" s="292"/>
    </row>
    <row r="680" spans="3:3" ht="15.75" customHeight="1">
      <c r="C680" s="292"/>
    </row>
    <row r="681" spans="3:3" ht="15.75" customHeight="1">
      <c r="C681" s="292"/>
    </row>
    <row r="682" spans="3:3" ht="15.75" customHeight="1">
      <c r="C682" s="292"/>
    </row>
    <row r="683" spans="3:3" ht="15.75" customHeight="1">
      <c r="C683" s="292"/>
    </row>
    <row r="684" spans="3:3" ht="15.75" customHeight="1">
      <c r="C684" s="292"/>
    </row>
    <row r="685" spans="3:3" ht="15.75" customHeight="1">
      <c r="C685" s="292"/>
    </row>
    <row r="686" spans="3:3" ht="15.75" customHeight="1">
      <c r="C686" s="292"/>
    </row>
    <row r="687" spans="3:3" ht="15.75" customHeight="1">
      <c r="C687" s="292"/>
    </row>
    <row r="688" spans="3:3" ht="15.75" customHeight="1">
      <c r="C688" s="292"/>
    </row>
    <row r="689" spans="3:3" ht="15.75" customHeight="1">
      <c r="C689" s="292"/>
    </row>
    <row r="690" spans="3:3" ht="15.75" customHeight="1">
      <c r="C690" s="292"/>
    </row>
    <row r="691" spans="3:3" ht="15.75" customHeight="1">
      <c r="C691" s="292"/>
    </row>
    <row r="692" spans="3:3" ht="15.75" customHeight="1">
      <c r="C692" s="292"/>
    </row>
    <row r="693" spans="3:3" ht="15.75" customHeight="1">
      <c r="C693" s="292"/>
    </row>
    <row r="694" spans="3:3" ht="15.75" customHeight="1">
      <c r="C694" s="292"/>
    </row>
    <row r="695" spans="3:3" ht="15.75" customHeight="1">
      <c r="C695" s="292"/>
    </row>
    <row r="696" spans="3:3" ht="15.75" customHeight="1">
      <c r="C696" s="292"/>
    </row>
    <row r="697" spans="3:3" ht="15.75" customHeight="1">
      <c r="C697" s="292"/>
    </row>
    <row r="698" spans="3:3" ht="15.75" customHeight="1">
      <c r="C698" s="292"/>
    </row>
    <row r="699" spans="3:3" ht="15.75" customHeight="1">
      <c r="C699" s="292"/>
    </row>
    <row r="700" spans="3:3" ht="15.75" customHeight="1">
      <c r="C700" s="292"/>
    </row>
    <row r="701" spans="3:3" ht="15.75" customHeight="1">
      <c r="C701" s="292"/>
    </row>
    <row r="702" spans="3:3" ht="15.75" customHeight="1">
      <c r="C702" s="292"/>
    </row>
    <row r="703" spans="3:3" ht="15.75" customHeight="1">
      <c r="C703" s="292"/>
    </row>
    <row r="704" spans="3:3" ht="15.75" customHeight="1">
      <c r="C704" s="292"/>
    </row>
    <row r="705" spans="3:3" ht="15.75" customHeight="1">
      <c r="C705" s="292"/>
    </row>
    <row r="706" spans="3:3" ht="15.75" customHeight="1">
      <c r="C706" s="292"/>
    </row>
    <row r="707" spans="3:3" ht="15.75" customHeight="1">
      <c r="C707" s="292"/>
    </row>
    <row r="708" spans="3:3" ht="15.75" customHeight="1">
      <c r="C708" s="292"/>
    </row>
    <row r="709" spans="3:3" ht="15.75" customHeight="1">
      <c r="C709" s="292"/>
    </row>
    <row r="710" spans="3:3" ht="15.75" customHeight="1">
      <c r="C710" s="292"/>
    </row>
    <row r="711" spans="3:3" ht="15.75" customHeight="1">
      <c r="C711" s="292"/>
    </row>
    <row r="712" spans="3:3" ht="15.75" customHeight="1">
      <c r="C712" s="292"/>
    </row>
    <row r="713" spans="3:3" ht="15.75" customHeight="1">
      <c r="C713" s="292"/>
    </row>
    <row r="714" spans="3:3" ht="15.75" customHeight="1">
      <c r="C714" s="292"/>
    </row>
    <row r="715" spans="3:3" ht="15.75" customHeight="1">
      <c r="C715" s="292"/>
    </row>
    <row r="716" spans="3:3" ht="15.75" customHeight="1">
      <c r="C716" s="292"/>
    </row>
    <row r="717" spans="3:3" ht="15.75" customHeight="1">
      <c r="C717" s="292"/>
    </row>
    <row r="718" spans="3:3" ht="15.75" customHeight="1">
      <c r="C718" s="292"/>
    </row>
    <row r="719" spans="3:3" ht="15.75" customHeight="1">
      <c r="C719" s="292"/>
    </row>
    <row r="720" spans="3:3" ht="15.75" customHeight="1">
      <c r="C720" s="292"/>
    </row>
    <row r="721" spans="3:3" ht="15.75" customHeight="1">
      <c r="C721" s="292"/>
    </row>
    <row r="722" spans="3:3" ht="15.75" customHeight="1">
      <c r="C722" s="292"/>
    </row>
    <row r="723" spans="3:3" ht="15.75" customHeight="1">
      <c r="C723" s="292"/>
    </row>
    <row r="724" spans="3:3" ht="15.75" customHeight="1">
      <c r="C724" s="292"/>
    </row>
    <row r="725" spans="3:3" ht="15.75" customHeight="1">
      <c r="C725" s="292"/>
    </row>
    <row r="726" spans="3:3" ht="15.75" customHeight="1">
      <c r="C726" s="292"/>
    </row>
    <row r="727" spans="3:3" ht="15.75" customHeight="1">
      <c r="C727" s="292"/>
    </row>
    <row r="728" spans="3:3" ht="15.75" customHeight="1">
      <c r="C728" s="292"/>
    </row>
    <row r="729" spans="3:3" ht="15.75" customHeight="1">
      <c r="C729" s="292"/>
    </row>
    <row r="730" spans="3:3" ht="15.75" customHeight="1">
      <c r="C730" s="292"/>
    </row>
    <row r="731" spans="3:3" ht="15.75" customHeight="1">
      <c r="C731" s="292"/>
    </row>
    <row r="732" spans="3:3" ht="15.75" customHeight="1">
      <c r="C732" s="292"/>
    </row>
    <row r="733" spans="3:3" ht="15.75" customHeight="1">
      <c r="C733" s="292"/>
    </row>
    <row r="734" spans="3:3" ht="15.75" customHeight="1">
      <c r="C734" s="292"/>
    </row>
    <row r="735" spans="3:3" ht="15.75" customHeight="1">
      <c r="C735" s="292"/>
    </row>
    <row r="736" spans="3:3" ht="15.75" customHeight="1">
      <c r="C736" s="292"/>
    </row>
    <row r="737" spans="3:3" ht="15.75" customHeight="1">
      <c r="C737" s="292"/>
    </row>
    <row r="738" spans="3:3" ht="15.75" customHeight="1">
      <c r="C738" s="292"/>
    </row>
    <row r="739" spans="3:3" ht="15.75" customHeight="1">
      <c r="C739" s="292"/>
    </row>
    <row r="740" spans="3:3" ht="15.75" customHeight="1">
      <c r="C740" s="292"/>
    </row>
    <row r="741" spans="3:3" ht="15.75" customHeight="1">
      <c r="C741" s="292"/>
    </row>
    <row r="742" spans="3:3" ht="15.75" customHeight="1">
      <c r="C742" s="292"/>
    </row>
    <row r="743" spans="3:3" ht="15.75" customHeight="1">
      <c r="C743" s="292"/>
    </row>
    <row r="744" spans="3:3" ht="15.75" customHeight="1">
      <c r="C744" s="292"/>
    </row>
    <row r="745" spans="3:3" ht="15.75" customHeight="1">
      <c r="C745" s="292"/>
    </row>
    <row r="746" spans="3:3" ht="15.75" customHeight="1">
      <c r="C746" s="292"/>
    </row>
    <row r="747" spans="3:3" ht="15.75" customHeight="1">
      <c r="C747" s="292"/>
    </row>
    <row r="748" spans="3:3" ht="15.75" customHeight="1">
      <c r="C748" s="292"/>
    </row>
    <row r="749" spans="3:3" ht="15.75" customHeight="1">
      <c r="C749" s="292"/>
    </row>
    <row r="750" spans="3:3" ht="15.75" customHeight="1">
      <c r="C750" s="292"/>
    </row>
    <row r="751" spans="3:3" ht="15.75" customHeight="1">
      <c r="C751" s="292"/>
    </row>
    <row r="752" spans="3:3" ht="15.75" customHeight="1">
      <c r="C752" s="292"/>
    </row>
    <row r="753" spans="3:3" ht="15.75" customHeight="1">
      <c r="C753" s="292"/>
    </row>
    <row r="754" spans="3:3" ht="15.75" customHeight="1">
      <c r="C754" s="292"/>
    </row>
    <row r="755" spans="3:3" ht="15.75" customHeight="1">
      <c r="C755" s="292"/>
    </row>
    <row r="756" spans="3:3" ht="15.75" customHeight="1">
      <c r="C756" s="292"/>
    </row>
    <row r="757" spans="3:3" ht="15.75" customHeight="1">
      <c r="C757" s="292"/>
    </row>
    <row r="758" spans="3:3" ht="15.75" customHeight="1">
      <c r="C758" s="292"/>
    </row>
    <row r="759" spans="3:3" ht="15.75" customHeight="1">
      <c r="C759" s="292"/>
    </row>
    <row r="760" spans="3:3" ht="15.75" customHeight="1">
      <c r="C760" s="292"/>
    </row>
    <row r="761" spans="3:3" ht="15.75" customHeight="1">
      <c r="C761" s="292"/>
    </row>
    <row r="762" spans="3:3" ht="15.75" customHeight="1">
      <c r="C762" s="292"/>
    </row>
    <row r="763" spans="3:3" ht="15.75" customHeight="1">
      <c r="C763" s="292"/>
    </row>
    <row r="764" spans="3:3" ht="15.75" customHeight="1">
      <c r="C764" s="292"/>
    </row>
    <row r="765" spans="3:3" ht="15.75" customHeight="1">
      <c r="C765" s="292"/>
    </row>
    <row r="766" spans="3:3" ht="15.75" customHeight="1">
      <c r="C766" s="292"/>
    </row>
    <row r="767" spans="3:3" ht="15.75" customHeight="1">
      <c r="C767" s="292"/>
    </row>
    <row r="768" spans="3:3" ht="15.75" customHeight="1">
      <c r="C768" s="292"/>
    </row>
    <row r="769" spans="3:3" ht="15.75" customHeight="1">
      <c r="C769" s="292"/>
    </row>
    <row r="770" spans="3:3" ht="15.75" customHeight="1">
      <c r="C770" s="292"/>
    </row>
    <row r="771" spans="3:3" ht="15.75" customHeight="1">
      <c r="C771" s="292"/>
    </row>
    <row r="772" spans="3:3" ht="15.75" customHeight="1">
      <c r="C772" s="292"/>
    </row>
    <row r="773" spans="3:3" ht="15.75" customHeight="1">
      <c r="C773" s="292"/>
    </row>
    <row r="774" spans="3:3" ht="15.75" customHeight="1">
      <c r="C774" s="292"/>
    </row>
    <row r="775" spans="3:3" ht="15.75" customHeight="1">
      <c r="C775" s="292"/>
    </row>
    <row r="776" spans="3:3" ht="15.75" customHeight="1">
      <c r="C776" s="292"/>
    </row>
    <row r="777" spans="3:3" ht="15.75" customHeight="1">
      <c r="C777" s="292"/>
    </row>
    <row r="778" spans="3:3" ht="15.75" customHeight="1">
      <c r="C778" s="292"/>
    </row>
    <row r="779" spans="3:3" ht="15.75" customHeight="1">
      <c r="C779" s="292"/>
    </row>
    <row r="780" spans="3:3" ht="15.75" customHeight="1">
      <c r="C780" s="292"/>
    </row>
    <row r="781" spans="3:3" ht="15.75" customHeight="1">
      <c r="C781" s="292"/>
    </row>
    <row r="782" spans="3:3" ht="15.75" customHeight="1">
      <c r="C782" s="292"/>
    </row>
    <row r="783" spans="3:3" ht="15.75" customHeight="1">
      <c r="C783" s="292"/>
    </row>
    <row r="784" spans="3:3" ht="15.75" customHeight="1">
      <c r="C784" s="292"/>
    </row>
    <row r="785" spans="3:3" ht="15.75" customHeight="1">
      <c r="C785" s="292"/>
    </row>
    <row r="786" spans="3:3" ht="15.75" customHeight="1">
      <c r="C786" s="292"/>
    </row>
    <row r="787" spans="3:3" ht="15.75" customHeight="1">
      <c r="C787" s="292"/>
    </row>
    <row r="788" spans="3:3" ht="15.75" customHeight="1">
      <c r="C788" s="292"/>
    </row>
    <row r="789" spans="3:3" ht="15.75" customHeight="1">
      <c r="C789" s="292"/>
    </row>
    <row r="790" spans="3:3" ht="15.75" customHeight="1">
      <c r="C790" s="292"/>
    </row>
    <row r="791" spans="3:3" ht="15.75" customHeight="1">
      <c r="C791" s="292"/>
    </row>
    <row r="792" spans="3:3" ht="15.75" customHeight="1">
      <c r="C792" s="292"/>
    </row>
    <row r="793" spans="3:3" ht="15.75" customHeight="1">
      <c r="C793" s="292"/>
    </row>
    <row r="794" spans="3:3" ht="15.75" customHeight="1">
      <c r="C794" s="292"/>
    </row>
    <row r="795" spans="3:3" ht="15.75" customHeight="1">
      <c r="C795" s="292"/>
    </row>
    <row r="796" spans="3:3" ht="15.75" customHeight="1">
      <c r="C796" s="292"/>
    </row>
    <row r="797" spans="3:3" ht="15.75" customHeight="1">
      <c r="C797" s="292"/>
    </row>
    <row r="798" spans="3:3" ht="15.75" customHeight="1">
      <c r="C798" s="292"/>
    </row>
    <row r="799" spans="3:3" ht="15.75" customHeight="1">
      <c r="C799" s="292"/>
    </row>
    <row r="800" spans="3:3" ht="15.75" customHeight="1">
      <c r="C800" s="292"/>
    </row>
    <row r="801" spans="3:3" ht="15.75" customHeight="1">
      <c r="C801" s="292"/>
    </row>
    <row r="802" spans="3:3" ht="15.75" customHeight="1">
      <c r="C802" s="292"/>
    </row>
    <row r="803" spans="3:3" ht="15.75" customHeight="1">
      <c r="C803" s="292"/>
    </row>
    <row r="804" spans="3:3" ht="15.75" customHeight="1">
      <c r="C804" s="292"/>
    </row>
    <row r="805" spans="3:3" ht="15.75" customHeight="1">
      <c r="C805" s="292"/>
    </row>
    <row r="806" spans="3:3" ht="15.75" customHeight="1">
      <c r="C806" s="292"/>
    </row>
    <row r="807" spans="3:3" ht="15.75" customHeight="1">
      <c r="C807" s="292"/>
    </row>
    <row r="808" spans="3:3" ht="15.75" customHeight="1">
      <c r="C808" s="292"/>
    </row>
    <row r="809" spans="3:3" ht="15.75" customHeight="1">
      <c r="C809" s="292"/>
    </row>
    <row r="810" spans="3:3" ht="15.75" customHeight="1">
      <c r="C810" s="292"/>
    </row>
    <row r="811" spans="3:3" ht="15.75" customHeight="1">
      <c r="C811" s="292"/>
    </row>
    <row r="812" spans="3:3" ht="15.75" customHeight="1">
      <c r="C812" s="292"/>
    </row>
    <row r="813" spans="3:3" ht="15.75" customHeight="1">
      <c r="C813" s="292"/>
    </row>
    <row r="814" spans="3:3" ht="15.75" customHeight="1">
      <c r="C814" s="292"/>
    </row>
    <row r="815" spans="3:3" ht="15.75" customHeight="1">
      <c r="C815" s="292"/>
    </row>
    <row r="816" spans="3:3" ht="15.75" customHeight="1">
      <c r="C816" s="292"/>
    </row>
    <row r="817" spans="3:3" ht="15.75" customHeight="1">
      <c r="C817" s="292"/>
    </row>
    <row r="818" spans="3:3" ht="15.75" customHeight="1">
      <c r="C818" s="292"/>
    </row>
    <row r="819" spans="3:3" ht="15.75" customHeight="1">
      <c r="C819" s="292"/>
    </row>
    <row r="820" spans="3:3" ht="15.75" customHeight="1">
      <c r="C820" s="292"/>
    </row>
    <row r="821" spans="3:3" ht="15.75" customHeight="1">
      <c r="C821" s="292"/>
    </row>
    <row r="822" spans="3:3" ht="15.75" customHeight="1">
      <c r="C822" s="292"/>
    </row>
    <row r="823" spans="3:3" ht="15.75" customHeight="1">
      <c r="C823" s="292"/>
    </row>
    <row r="824" spans="3:3" ht="15.75" customHeight="1">
      <c r="C824" s="292"/>
    </row>
    <row r="825" spans="3:3" ht="15.75" customHeight="1">
      <c r="C825" s="292"/>
    </row>
    <row r="826" spans="3:3" ht="15.75" customHeight="1">
      <c r="C826" s="292"/>
    </row>
    <row r="827" spans="3:3" ht="15.75" customHeight="1">
      <c r="C827" s="292"/>
    </row>
    <row r="828" spans="3:3" ht="15.75" customHeight="1">
      <c r="C828" s="292"/>
    </row>
    <row r="829" spans="3:3" ht="15.75" customHeight="1">
      <c r="C829" s="292"/>
    </row>
    <row r="830" spans="3:3" ht="15.75" customHeight="1">
      <c r="C830" s="292"/>
    </row>
    <row r="831" spans="3:3" ht="15.75" customHeight="1">
      <c r="C831" s="292"/>
    </row>
    <row r="832" spans="3:3" ht="15.75" customHeight="1">
      <c r="C832" s="292"/>
    </row>
    <row r="833" spans="3:3" ht="15.75" customHeight="1">
      <c r="C833" s="292"/>
    </row>
    <row r="834" spans="3:3" ht="15.75" customHeight="1">
      <c r="C834" s="292"/>
    </row>
    <row r="835" spans="3:3" ht="15.75" customHeight="1">
      <c r="C835" s="292"/>
    </row>
    <row r="836" spans="3:3" ht="15.75" customHeight="1">
      <c r="C836" s="292"/>
    </row>
    <row r="837" spans="3:3" ht="15.75" customHeight="1">
      <c r="C837" s="292"/>
    </row>
    <row r="838" spans="3:3" ht="15.75" customHeight="1">
      <c r="C838" s="292"/>
    </row>
    <row r="839" spans="3:3" ht="15.75" customHeight="1">
      <c r="C839" s="292"/>
    </row>
    <row r="840" spans="3:3" ht="15.75" customHeight="1">
      <c r="C840" s="292"/>
    </row>
    <row r="841" spans="3:3" ht="15.75" customHeight="1">
      <c r="C841" s="292"/>
    </row>
    <row r="842" spans="3:3" ht="15.75" customHeight="1">
      <c r="C842" s="292"/>
    </row>
    <row r="843" spans="3:3" ht="15.75" customHeight="1">
      <c r="C843" s="292"/>
    </row>
    <row r="844" spans="3:3" ht="15.75" customHeight="1">
      <c r="C844" s="292"/>
    </row>
    <row r="845" spans="3:3" ht="15.75" customHeight="1">
      <c r="C845" s="292"/>
    </row>
    <row r="846" spans="3:3" ht="15.75" customHeight="1">
      <c r="C846" s="292"/>
    </row>
    <row r="847" spans="3:3" ht="15.75" customHeight="1">
      <c r="C847" s="292"/>
    </row>
    <row r="848" spans="3:3" ht="15.75" customHeight="1">
      <c r="C848" s="292"/>
    </row>
    <row r="849" spans="3:3" ht="15.75" customHeight="1">
      <c r="C849" s="292"/>
    </row>
    <row r="850" spans="3:3" ht="15.75" customHeight="1">
      <c r="C850" s="292"/>
    </row>
    <row r="851" spans="3:3" ht="15.75" customHeight="1">
      <c r="C851" s="292"/>
    </row>
    <row r="852" spans="3:3" ht="15.75" customHeight="1">
      <c r="C852" s="292"/>
    </row>
    <row r="853" spans="3:3" ht="15.75" customHeight="1">
      <c r="C853" s="292"/>
    </row>
    <row r="854" spans="3:3" ht="15.75" customHeight="1">
      <c r="C854" s="292"/>
    </row>
    <row r="855" spans="3:3" ht="15.75" customHeight="1">
      <c r="C855" s="292"/>
    </row>
    <row r="856" spans="3:3" ht="15.75" customHeight="1">
      <c r="C856" s="292"/>
    </row>
    <row r="857" spans="3:3" ht="15.75" customHeight="1">
      <c r="C857" s="292"/>
    </row>
    <row r="858" spans="3:3" ht="15.75" customHeight="1">
      <c r="C858" s="292"/>
    </row>
    <row r="859" spans="3:3" ht="15.75" customHeight="1">
      <c r="C859" s="292"/>
    </row>
    <row r="860" spans="3:3" ht="15.75" customHeight="1">
      <c r="C860" s="292"/>
    </row>
    <row r="861" spans="3:3" ht="15.75" customHeight="1">
      <c r="C861" s="292"/>
    </row>
    <row r="862" spans="3:3" ht="15.75" customHeight="1">
      <c r="C862" s="292"/>
    </row>
    <row r="863" spans="3:3" ht="15.75" customHeight="1">
      <c r="C863" s="292"/>
    </row>
    <row r="864" spans="3:3" ht="15.75" customHeight="1">
      <c r="C864" s="292"/>
    </row>
    <row r="865" spans="3:3" ht="15.75" customHeight="1">
      <c r="C865" s="292"/>
    </row>
    <row r="866" spans="3:3" ht="15.75" customHeight="1">
      <c r="C866" s="292"/>
    </row>
    <row r="867" spans="3:3" ht="15.75" customHeight="1">
      <c r="C867" s="292"/>
    </row>
    <row r="868" spans="3:3" ht="15.75" customHeight="1">
      <c r="C868" s="292"/>
    </row>
    <row r="869" spans="3:3" ht="15.75" customHeight="1">
      <c r="C869" s="292"/>
    </row>
    <row r="870" spans="3:3" ht="15.75" customHeight="1">
      <c r="C870" s="292"/>
    </row>
    <row r="871" spans="3:3" ht="15.75" customHeight="1">
      <c r="C871" s="292"/>
    </row>
    <row r="872" spans="3:3" ht="15.75" customHeight="1">
      <c r="C872" s="292"/>
    </row>
    <row r="873" spans="3:3" ht="15.75" customHeight="1">
      <c r="C873" s="292"/>
    </row>
    <row r="874" spans="3:3" ht="15.75" customHeight="1">
      <c r="C874" s="292"/>
    </row>
    <row r="875" spans="3:3" ht="15.75" customHeight="1">
      <c r="C875" s="292"/>
    </row>
    <row r="876" spans="3:3" ht="15.75" customHeight="1">
      <c r="C876" s="292"/>
    </row>
    <row r="877" spans="3:3" ht="15.75" customHeight="1">
      <c r="C877" s="292"/>
    </row>
    <row r="878" spans="3:3" ht="15.75" customHeight="1">
      <c r="C878" s="292"/>
    </row>
    <row r="879" spans="3:3" ht="15.75" customHeight="1">
      <c r="C879" s="292"/>
    </row>
    <row r="880" spans="3:3" ht="15.75" customHeight="1">
      <c r="C880" s="292"/>
    </row>
    <row r="881" spans="3:3" ht="15.75" customHeight="1">
      <c r="C881" s="292"/>
    </row>
    <row r="882" spans="3:3" ht="15.75" customHeight="1">
      <c r="C882" s="292"/>
    </row>
    <row r="883" spans="3:3" ht="15.75" customHeight="1">
      <c r="C883" s="292"/>
    </row>
    <row r="884" spans="3:3" ht="15.75" customHeight="1">
      <c r="C884" s="292"/>
    </row>
    <row r="885" spans="3:3" ht="15.75" customHeight="1">
      <c r="C885" s="292"/>
    </row>
    <row r="886" spans="3:3" ht="15.75" customHeight="1">
      <c r="C886" s="292"/>
    </row>
  </sheetData>
  <mergeCells count="8">
    <mergeCell ref="C61:I61"/>
    <mergeCell ref="J61:X61"/>
    <mergeCell ref="R62:X62"/>
    <mergeCell ref="C1:I1"/>
    <mergeCell ref="J1:U1"/>
    <mergeCell ref="V1:AA1"/>
    <mergeCell ref="AB1:AD1"/>
    <mergeCell ref="AC44:AF44"/>
  </mergeCells>
  <conditionalFormatting sqref="D46:P48">
    <cfRule type="cellIs" dxfId="65" priority="35" operator="lessThan">
      <formula>0</formula>
    </cfRule>
    <cfRule type="cellIs" dxfId="64" priority="34" operator="greaterThan">
      <formula>0</formula>
    </cfRule>
  </conditionalFormatting>
  <conditionalFormatting sqref="O3 O5">
    <cfRule type="cellIs" dxfId="63" priority="29" operator="lessThanOrEqual">
      <formula>0</formula>
    </cfRule>
  </conditionalFormatting>
  <conditionalFormatting sqref="O7 O9 O11 O13 O15 O17 O19 O21 O23 O25 O27 O29 O31 O33 O35:O37 O63:O65">
    <cfRule type="cellIs" dxfId="62" priority="28" operator="greaterThan">
      <formula>0</formula>
    </cfRule>
  </conditionalFormatting>
  <conditionalFormatting sqref="O7:O38 O63:O65">
    <cfRule type="cellIs" dxfId="61" priority="8" operator="greaterThan">
      <formula>0</formula>
    </cfRule>
    <cfRule type="cellIs" dxfId="60" priority="9" operator="lessThanOrEqual">
      <formula>0</formula>
    </cfRule>
  </conditionalFormatting>
  <conditionalFormatting sqref="O3:P3 O5:P5 P7:P38 P63:P65">
    <cfRule type="cellIs" dxfId="59" priority="7" operator="greaterThan">
      <formula>0</formula>
    </cfRule>
  </conditionalFormatting>
  <conditionalFormatting sqref="P3 P5 P7:P38 P63:P65">
    <cfRule type="cellIs" dxfId="58" priority="6" operator="lessThan">
      <formula>0</formula>
    </cfRule>
  </conditionalFormatting>
  <conditionalFormatting sqref="S3:S38 U3:U32">
    <cfRule type="colorScale" priority="30">
      <colorScale>
        <cfvo type="min"/>
        <cfvo type="percentile" val="50"/>
        <cfvo type="max"/>
        <color rgb="FF57BB8A"/>
        <color rgb="FFFFFFFF"/>
        <color rgb="FFE67C73"/>
      </colorScale>
    </cfRule>
  </conditionalFormatting>
  <conditionalFormatting sqref="U3:U38">
    <cfRule type="colorScale" priority="31">
      <colorScale>
        <cfvo type="min"/>
        <cfvo type="max"/>
        <color rgb="FFE67C73"/>
        <color rgb="FFFFFFFF"/>
      </colorScale>
    </cfRule>
  </conditionalFormatting>
  <conditionalFormatting sqref="V3:AA37">
    <cfRule type="cellIs" dxfId="57" priority="37" operator="lessThanOrEqual">
      <formula>0</formula>
    </cfRule>
    <cfRule type="cellIs" dxfId="56" priority="36" operator="greaterThan">
      <formula>0</formula>
    </cfRule>
  </conditionalFormatting>
  <conditionalFormatting sqref="AC3:AD3 AC5:AD5 AC7:AD38">
    <cfRule type="cellIs" dxfId="55" priority="10" operator="equal">
      <formula>"Alcista"</formula>
    </cfRule>
    <cfRule type="cellIs" dxfId="54" priority="11" operator="equal">
      <formula>"Neutral"</formula>
    </cfRule>
    <cfRule type="cellIs" dxfId="53" priority="12" operator="equal">
      <formula>"Bajista"</formula>
    </cfRule>
  </conditionalFormatting>
  <conditionalFormatting sqref="AD23 AD21 AD25 AD27 AD29 AD31 AD33 AD35:AD37">
    <cfRule type="colorScale" priority="27">
      <colorScale>
        <cfvo type="min"/>
        <cfvo type="percentile" val="50"/>
        <cfvo type="max"/>
        <color rgb="FF57BB8A"/>
        <color rgb="FFFFFFFF"/>
        <color rgb="FFE67C73"/>
      </colorScale>
    </cfRule>
  </conditionalFormatting>
  <conditionalFormatting sqref="AE3:AE38">
    <cfRule type="cellIs" dxfId="52" priority="17" operator="equal">
      <formula>"Oportunidad CP"</formula>
    </cfRule>
    <cfRule type="cellIs" dxfId="51" priority="18" operator="equal">
      <formula>"Líder global"</formula>
    </cfRule>
    <cfRule type="cellIs" dxfId="50" priority="19" operator="equal">
      <formula>"Atractiva MP"</formula>
    </cfRule>
    <cfRule type="cellIs" dxfId="49" priority="20" operator="equal">
      <formula>"Alternativo"</formula>
    </cfRule>
    <cfRule type="cellIs" dxfId="48" priority="21" operator="equal">
      <formula>"Alta Calidad"</formula>
    </cfRule>
    <cfRule type="cellIs" dxfId="47" priority="16" operator="equal">
      <formula>"Futuro líder"</formula>
    </cfRule>
  </conditionalFormatting>
  <conditionalFormatting sqref="AE46:AE58">
    <cfRule type="colorScale" priority="32">
      <colorScale>
        <cfvo type="min"/>
        <cfvo type="percentile" val="50"/>
        <cfvo type="max"/>
        <color rgb="FFE67C73"/>
        <color rgb="FFFFFFFF"/>
        <color rgb="FF57BB8A"/>
      </colorScale>
    </cfRule>
  </conditionalFormatting>
  <conditionalFormatting sqref="AF46:AF56">
    <cfRule type="colorScale" priority="33">
      <colorScale>
        <cfvo type="min"/>
        <cfvo type="percentile" val="50"/>
        <cfvo type="max"/>
        <color rgb="FFE67C73"/>
        <color rgb="FFFFFFFF"/>
        <color rgb="FF57BB8A"/>
      </colorScale>
    </cfRule>
  </conditionalFormatting>
  <conditionalFormatting sqref="AF3:AG3 AF5:AG5 AF7:AG38">
    <cfRule type="cellIs" dxfId="46" priority="23" operator="equal">
      <formula>"Satellite"</formula>
    </cfRule>
    <cfRule type="cellIs" dxfId="45" priority="22" operator="equal">
      <formula>"Core"</formula>
    </cfRule>
  </conditionalFormatting>
  <conditionalFormatting sqref="AG3 AG5 AG7:AG38">
    <cfRule type="cellIs" dxfId="44" priority="15" operator="equal">
      <formula>"Alta"</formula>
    </cfRule>
    <cfRule type="cellIs" dxfId="43" priority="14" operator="equal">
      <formula>"Media"</formula>
    </cfRule>
    <cfRule type="cellIs" dxfId="42" priority="13" operator="equal">
      <formula>"Baja"</formula>
    </cfRule>
  </conditionalFormatting>
  <conditionalFormatting sqref="AG7:AI38 AB3 AG3:AI3 AB5 AG5:AI5 AB7:AB38 AC21:AC38">
    <cfRule type="cellIs" dxfId="41" priority="24" operator="equal">
      <formula>"Atractivo"</formula>
    </cfRule>
    <cfRule type="cellIs" dxfId="40" priority="25" operator="equal">
      <formula>"Neutral"</formula>
    </cfRule>
    <cfRule type="cellIs" dxfId="39" priority="26" operator="equal">
      <formula>"Esperar"</formula>
    </cfRule>
  </conditionalFormatting>
  <conditionalFormatting sqref="AI21 AI23 AI25 AI27 AI29">
    <cfRule type="containsText" dxfId="38" priority="3" operator="containsText" text="Baja">
      <formula>NOT(ISERROR(SEARCH(("Baja"),(AI21))))</formula>
    </cfRule>
    <cfRule type="containsText" dxfId="37" priority="2" operator="containsText" text="Media">
      <formula>NOT(ISERROR(SEARCH(("Media"),(AI21))))</formula>
    </cfRule>
    <cfRule type="containsText" dxfId="36" priority="1" operator="containsText" text="Alta">
      <formula>NOT(ISERROR(SEARCH(("Alta"),(AI21))))</formula>
    </cfRule>
  </conditionalFormatting>
  <conditionalFormatting sqref="AZ3:BA6 AZ50:BA85">
    <cfRule type="cellIs" dxfId="35" priority="5" operator="greaterThan">
      <formula>0</formula>
    </cfRule>
    <cfRule type="cellIs" dxfId="34"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J833"/>
  <sheetViews>
    <sheetView workbookViewId="0">
      <pane xSplit="2" ySplit="2" topLeftCell="C3" activePane="bottomRight" state="frozen"/>
      <selection pane="topRight" activeCell="C1" sqref="C1"/>
      <selection pane="bottomLeft" activeCell="A3" sqref="A3"/>
      <selection pane="bottomRight" activeCell="H9" sqref="H9"/>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8.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5"/>
      <c r="B1" s="25"/>
      <c r="C1" s="460" t="s">
        <v>24</v>
      </c>
      <c r="D1" s="461"/>
      <c r="E1" s="461"/>
      <c r="F1" s="461"/>
      <c r="G1" s="462"/>
      <c r="H1" s="463"/>
      <c r="I1" s="461"/>
      <c r="J1" s="461"/>
      <c r="K1" s="461"/>
      <c r="L1" s="462"/>
      <c r="M1" s="460" t="s">
        <v>26</v>
      </c>
      <c r="N1" s="461"/>
      <c r="O1" s="461"/>
      <c r="P1" s="461"/>
      <c r="Q1" s="461"/>
      <c r="R1" s="462"/>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36">
      <c r="A2" s="32"/>
      <c r="B2" s="33" t="s">
        <v>0</v>
      </c>
      <c r="C2" s="34" t="s">
        <v>1</v>
      </c>
      <c r="D2" s="33" t="s">
        <v>2</v>
      </c>
      <c r="E2" s="33" t="s">
        <v>163</v>
      </c>
      <c r="F2" s="33" t="s">
        <v>63</v>
      </c>
      <c r="G2" s="33" t="s">
        <v>164</v>
      </c>
      <c r="H2" s="35" t="s">
        <v>3</v>
      </c>
      <c r="I2" s="35" t="s">
        <v>165</v>
      </c>
      <c r="J2" s="36" t="s">
        <v>166</v>
      </c>
      <c r="K2" s="36" t="s">
        <v>167</v>
      </c>
      <c r="L2" s="36" t="s">
        <v>168</v>
      </c>
      <c r="M2" s="37" t="s">
        <v>4</v>
      </c>
      <c r="N2" s="33" t="s">
        <v>45</v>
      </c>
      <c r="O2" s="33" t="s">
        <v>46</v>
      </c>
      <c r="P2" s="33" t="s">
        <v>47</v>
      </c>
      <c r="Q2" s="33" t="s">
        <v>48</v>
      </c>
      <c r="R2" s="33" t="s">
        <v>49</v>
      </c>
      <c r="S2" s="40"/>
      <c r="T2" s="40"/>
      <c r="U2" s="40"/>
      <c r="V2" s="40"/>
      <c r="W2" s="40"/>
      <c r="X2" s="40"/>
      <c r="Y2" s="40"/>
      <c r="Z2" s="40"/>
      <c r="AA2" s="40"/>
      <c r="AB2" s="40"/>
      <c r="AC2" s="40"/>
      <c r="AD2" s="40"/>
      <c r="AE2" s="40"/>
      <c r="AF2" s="40"/>
      <c r="AG2" s="40"/>
      <c r="AH2" s="40"/>
      <c r="AI2" s="40"/>
      <c r="AJ2" s="40"/>
      <c r="AK2" s="40"/>
      <c r="AL2" s="40"/>
      <c r="AM2" s="40"/>
      <c r="AN2" s="40"/>
      <c r="AO2" s="32"/>
      <c r="AP2" s="32"/>
      <c r="AQ2" s="32"/>
      <c r="AR2" s="32"/>
      <c r="AS2" s="32"/>
      <c r="AT2" s="32"/>
      <c r="AU2" s="32"/>
      <c r="AV2" s="32"/>
      <c r="AW2" s="32"/>
      <c r="AX2" s="32"/>
      <c r="AY2" s="32"/>
      <c r="AZ2" s="32"/>
      <c r="BA2" s="32"/>
    </row>
    <row r="3" spans="1:62" ht="13.2">
      <c r="A3" s="41">
        <v>1</v>
      </c>
      <c r="B3" s="1" t="s">
        <v>5</v>
      </c>
      <c r="C3" s="42" t="str">
        <f ca="1">IFERROR(__xludf.DUMMYFUNCTION("GoogleFinance(B3,""name"")"),"SPDR S&amp;P 500 ETF Trust")</f>
        <v>SPDR S&amp;P 500 ETF Trust</v>
      </c>
      <c r="D3" s="44" t="s">
        <v>59</v>
      </c>
      <c r="E3" s="293">
        <v>45309</v>
      </c>
      <c r="F3" s="294"/>
      <c r="G3" s="295"/>
      <c r="H3" s="46">
        <f ca="1">IFERROR(__xludf.DUMMYFUNCTION("GOOGLEFINANCE(B3)"),482.43)</f>
        <v>482.43</v>
      </c>
      <c r="I3" s="80">
        <v>67</v>
      </c>
      <c r="J3" s="51">
        <f ca="1">I3/H3-1</f>
        <v>-0.86111974794270674</v>
      </c>
      <c r="K3" s="44">
        <v>90</v>
      </c>
      <c r="L3" s="95">
        <f ca="1">K3/H3-1</f>
        <v>-0.81344443753497919</v>
      </c>
      <c r="M3" s="8">
        <f ca="1">IFERROR(__xludf.DUMMYFUNCTION("GoogleFinance(B3,""changepct"")/100"),0.0125)</f>
        <v>1.2500000000000001E-2</v>
      </c>
      <c r="N3" s="8" t="e">
        <f ca="1">H3/W4-1</f>
        <v>#DIV/0!</v>
      </c>
      <c r="O3" s="8" t="e">
        <f ca="1">H3/Y4-1</f>
        <v>#DIV/0!</v>
      </c>
      <c r="P3" s="8" t="e">
        <f ca="1">H3/AA4-1</f>
        <v>#DIV/0!</v>
      </c>
      <c r="Q3" s="8" t="e">
        <f ca="1">H3/AC4-1</f>
        <v>#DIV/0!</v>
      </c>
      <c r="R3" s="8" t="e">
        <f ca="1">H3/AE4-1</f>
        <v>#DIV/0!</v>
      </c>
      <c r="S3" s="2"/>
      <c r="T3" s="2"/>
      <c r="U3" s="2"/>
      <c r="V3" s="2" t="str">
        <f ca="1">IFERROR(__xludf.DUMMYFUNCTION("GoogleFinance(B3,""price"",today()-7)"),"#N/A")</f>
        <v>#N/A</v>
      </c>
      <c r="W3" s="19"/>
      <c r="X3" s="2" t="str">
        <f ca="1">IFERROR(__xludf.DUMMYFUNCTION("GoogleFinance(B3,""price"",today()-31)"),"#N/A")</f>
        <v>#N/A</v>
      </c>
      <c r="Y3" s="19"/>
      <c r="Z3" s="2" t="str">
        <f ca="1">IFERROR(__xludf.DUMMYFUNCTION("GoogleFinance(B3,""price"",today()-91)"),"#N/A")</f>
        <v>#N/A</v>
      </c>
      <c r="AA3" s="19"/>
      <c r="AB3" s="2" t="str">
        <f ca="1">IFERROR(__xludf.DUMMYFUNCTION("GoogleFinance(B3,""price"",today()-182)"),"#N/A")</f>
        <v>#N/A</v>
      </c>
      <c r="AC3" s="19"/>
      <c r="AD3" s="2" t="str">
        <f ca="1">IFERROR(__xludf.DUMMYFUNCTION("GoogleFinance(B3,""price"",DATE(2023,12,29))"),"#N/A")</f>
        <v>#N/A</v>
      </c>
      <c r="AE3" s="19"/>
      <c r="AF3" s="5"/>
      <c r="AG3" s="5"/>
      <c r="AH3" s="5"/>
      <c r="AI3" s="5"/>
      <c r="AJ3" s="296"/>
      <c r="AK3" s="296"/>
      <c r="AL3" s="5"/>
      <c r="AM3" s="296"/>
      <c r="AN3" s="296"/>
      <c r="AO3" s="296"/>
      <c r="AP3" s="296"/>
      <c r="AQ3" s="296"/>
      <c r="AR3" s="5"/>
      <c r="AS3" s="5"/>
      <c r="AT3" s="5"/>
      <c r="AU3" s="5"/>
      <c r="AV3" s="5"/>
      <c r="AW3" s="5"/>
      <c r="AX3" s="5"/>
      <c r="AY3" s="5"/>
      <c r="AZ3" s="5"/>
      <c r="BA3" s="5"/>
      <c r="BB3" s="296"/>
      <c r="BC3" s="296"/>
      <c r="BD3" s="296"/>
      <c r="BE3" s="296"/>
      <c r="BF3" s="296"/>
      <c r="BG3" s="296"/>
      <c r="BH3" s="296"/>
      <c r="BI3" s="296"/>
      <c r="BJ3" s="296"/>
    </row>
    <row r="4" spans="1:62" ht="13.2" hidden="1">
      <c r="A4" s="41" t="e">
        <f>1+#REF!</f>
        <v>#REF!</v>
      </c>
      <c r="B4" s="297"/>
      <c r="C4" s="298"/>
      <c r="D4" s="44"/>
      <c r="E4" s="293">
        <v>45203</v>
      </c>
      <c r="F4" s="294">
        <v>45204</v>
      </c>
      <c r="G4" s="295">
        <v>45205</v>
      </c>
      <c r="H4" s="299"/>
      <c r="I4" s="299"/>
      <c r="J4" s="300"/>
      <c r="K4" s="300"/>
      <c r="L4" s="300"/>
      <c r="M4" s="301"/>
      <c r="N4" s="301"/>
      <c r="O4" s="301"/>
      <c r="P4" s="301"/>
      <c r="Q4" s="301"/>
      <c r="R4" s="301"/>
      <c r="S4" s="20"/>
      <c r="T4" s="20"/>
      <c r="U4" s="20"/>
      <c r="V4" s="20"/>
      <c r="W4" s="19"/>
      <c r="X4" s="20"/>
      <c r="Y4" s="19"/>
      <c r="Z4" s="20"/>
      <c r="AA4" s="19"/>
      <c r="AB4" s="20"/>
      <c r="AC4" s="19"/>
      <c r="AD4" s="20"/>
      <c r="AE4" s="19"/>
      <c r="AF4" s="22"/>
      <c r="AG4" s="22"/>
      <c r="AH4" s="22"/>
      <c r="AI4" s="22"/>
      <c r="AJ4" s="296"/>
      <c r="AK4" s="296"/>
      <c r="AL4" s="22"/>
      <c r="AM4" s="296"/>
      <c r="AN4" s="296"/>
      <c r="AO4" s="296"/>
      <c r="AP4" s="296"/>
      <c r="AQ4" s="296"/>
      <c r="AR4" s="22"/>
      <c r="AS4" s="22"/>
      <c r="AT4" s="22"/>
      <c r="AU4" s="22"/>
      <c r="AV4" s="22"/>
      <c r="AW4" s="22"/>
      <c r="AX4" s="22"/>
      <c r="AY4" s="22"/>
      <c r="AZ4" s="22"/>
      <c r="BA4" s="22"/>
      <c r="BB4" s="296"/>
      <c r="BC4" s="296"/>
      <c r="BD4" s="296"/>
      <c r="BE4" s="296"/>
      <c r="BF4" s="296"/>
      <c r="BG4" s="296"/>
      <c r="BH4" s="296"/>
      <c r="BI4" s="296"/>
      <c r="BJ4" s="296"/>
    </row>
    <row r="5" spans="1:62" ht="13.2">
      <c r="A5" s="41">
        <f t="shared" ref="A5:A9" si="0">1+A3</f>
        <v>2</v>
      </c>
      <c r="B5" s="1" t="s">
        <v>6</v>
      </c>
      <c r="C5" s="42" t="str">
        <f ca="1">IFERROR(__xludf.DUMMYFUNCTION("GoogleFinance(B5,""name"")"),"Invesco QQQ Trust Series 1")</f>
        <v>Invesco QQQ Trust Series 1</v>
      </c>
      <c r="D5" s="44" t="s">
        <v>169</v>
      </c>
      <c r="E5" s="293">
        <v>45309</v>
      </c>
      <c r="F5" s="294"/>
      <c r="G5" s="295"/>
      <c r="H5" s="46">
        <f ca="1">IFERROR(__xludf.DUMMYFUNCTION("GOOGLEFINANCE(B5)"),421.18)</f>
        <v>421.18</v>
      </c>
      <c r="I5" s="53">
        <v>430</v>
      </c>
      <c r="J5" s="51">
        <f ca="1">I5/H5-1</f>
        <v>2.0941165297497566E-2</v>
      </c>
      <c r="K5" s="44">
        <v>540</v>
      </c>
      <c r="L5" s="95">
        <f ca="1">K5/H5-1</f>
        <v>0.28211216107127601</v>
      </c>
      <c r="M5" s="8">
        <f ca="1">IFERROR(__xludf.DUMMYFUNCTION("GoogleFinance(B5,""changepct"")/100"),0.0197999999999999)</f>
        <v>1.9799999999999901E-2</v>
      </c>
      <c r="N5" s="8" t="e">
        <f ca="1">H5/W6-1</f>
        <v>#DIV/0!</v>
      </c>
      <c r="O5" s="8" t="e">
        <f ca="1">H5/Y6-1</f>
        <v>#DIV/0!</v>
      </c>
      <c r="P5" s="8" t="e">
        <f ca="1">H5/AA6-1</f>
        <v>#DIV/0!</v>
      </c>
      <c r="Q5" s="8" t="e">
        <f ca="1">H5/AC6-1</f>
        <v>#DIV/0!</v>
      </c>
      <c r="R5" s="8">
        <f ca="1">H5/AE6-1</f>
        <v>2.847235788239888E-2</v>
      </c>
      <c r="S5" s="2"/>
      <c r="T5" s="2"/>
      <c r="U5" s="2"/>
      <c r="V5" s="2" t="str">
        <f ca="1">IFERROR(__xludf.DUMMYFUNCTION("GoogleFinance(B5,""price"",today()-7)"),"#N/A")</f>
        <v>#N/A</v>
      </c>
      <c r="W5" s="19"/>
      <c r="X5" s="2" t="str">
        <f ca="1">IFERROR(__xludf.DUMMYFUNCTION("GoogleFinance(B5,""price"",today()-31)"),"#N/A")</f>
        <v>#N/A</v>
      </c>
      <c r="Y5" s="19"/>
      <c r="Z5" s="2" t="str">
        <f ca="1">IFERROR(__xludf.DUMMYFUNCTION("GoogleFinance(B5,""price"",today()-91)"),"#N/A")</f>
        <v>#N/A</v>
      </c>
      <c r="AA5" s="19"/>
      <c r="AB5" s="2" t="str">
        <f ca="1">IFERROR(__xludf.DUMMYFUNCTION("GoogleFinance(B5,""price"",today()-182)"),"#N/A")</f>
        <v>#N/A</v>
      </c>
      <c r="AC5" s="19"/>
      <c r="AD5" s="2" t="str">
        <f ca="1">IFERROR(__xludf.DUMMYFUNCTION("GoogleFinance(B5,""price"",DATE(2023,12,29))"),"Date")</f>
        <v>Date</v>
      </c>
      <c r="AE5" s="19" t="str">
        <f ca="1">IFERROR(__xludf.DUMMYFUNCTION("""COMPUTED_VALUE"""),"Close")</f>
        <v>Close</v>
      </c>
      <c r="AF5" s="5"/>
      <c r="AG5" s="5"/>
      <c r="AH5" s="5"/>
      <c r="AI5" s="5"/>
      <c r="AJ5" s="296"/>
      <c r="AK5" s="296"/>
      <c r="AL5" s="5"/>
      <c r="AM5" s="296"/>
      <c r="AN5" s="296"/>
      <c r="AO5" s="296"/>
      <c r="AP5" s="296"/>
      <c r="AQ5" s="296"/>
      <c r="AR5" s="5"/>
      <c r="AS5" s="5"/>
      <c r="AT5" s="5"/>
      <c r="AU5" s="5"/>
      <c r="AV5" s="5"/>
      <c r="AW5" s="5"/>
      <c r="AX5" s="5"/>
      <c r="AY5" s="5"/>
      <c r="AZ5" s="5"/>
      <c r="BA5" s="5"/>
      <c r="BB5" s="296"/>
      <c r="BC5" s="296"/>
      <c r="BD5" s="296"/>
      <c r="BE5" s="296"/>
      <c r="BF5" s="296"/>
      <c r="BG5" s="296"/>
      <c r="BH5" s="296"/>
      <c r="BI5" s="296"/>
      <c r="BJ5" s="296"/>
    </row>
    <row r="6" spans="1:62" ht="13.2" hidden="1">
      <c r="A6" s="41" t="e">
        <f t="shared" si="0"/>
        <v>#REF!</v>
      </c>
      <c r="B6" s="297"/>
      <c r="C6" s="298"/>
      <c r="D6" s="44"/>
      <c r="E6" s="293">
        <v>45205</v>
      </c>
      <c r="F6" s="294">
        <v>45206</v>
      </c>
      <c r="G6" s="295">
        <v>45207</v>
      </c>
      <c r="H6" s="299"/>
      <c r="I6" s="299"/>
      <c r="J6" s="300"/>
      <c r="K6" s="300"/>
      <c r="L6" s="300"/>
      <c r="M6" s="301"/>
      <c r="N6" s="301"/>
      <c r="O6" s="301"/>
      <c r="P6" s="301"/>
      <c r="Q6" s="301"/>
      <c r="R6" s="301"/>
      <c r="S6" s="20"/>
      <c r="T6" s="20"/>
      <c r="U6" s="20"/>
      <c r="V6" s="20"/>
      <c r="W6" s="19"/>
      <c r="X6" s="20"/>
      <c r="Y6" s="19"/>
      <c r="Z6" s="20"/>
      <c r="AA6" s="19"/>
      <c r="AB6" s="20"/>
      <c r="AC6" s="19"/>
      <c r="AD6" s="20">
        <f ca="1">IFERROR(__xludf.DUMMYFUNCTION("""COMPUTED_VALUE"""),45289.6666666666)</f>
        <v>45289.666666666599</v>
      </c>
      <c r="AE6" s="19">
        <f ca="1">IFERROR(__xludf.DUMMYFUNCTION("""COMPUTED_VALUE"""),409.52)</f>
        <v>409.52</v>
      </c>
      <c r="AF6" s="22"/>
      <c r="AG6" s="22"/>
      <c r="AH6" s="22"/>
      <c r="AI6" s="22"/>
      <c r="AJ6" s="296"/>
      <c r="AK6" s="296"/>
      <c r="AL6" s="22"/>
      <c r="AM6" s="296"/>
      <c r="AN6" s="296"/>
      <c r="AO6" s="296"/>
      <c r="AP6" s="296"/>
      <c r="AQ6" s="296"/>
      <c r="AR6" s="22"/>
      <c r="AS6" s="22"/>
      <c r="AT6" s="22"/>
      <c r="AU6" s="22"/>
      <c r="AV6" s="22"/>
      <c r="AW6" s="22"/>
      <c r="AX6" s="22"/>
      <c r="AY6" s="22"/>
      <c r="AZ6" s="22"/>
      <c r="BA6" s="22"/>
      <c r="BB6" s="296"/>
      <c r="BC6" s="296"/>
      <c r="BD6" s="296"/>
      <c r="BE6" s="296"/>
      <c r="BF6" s="296"/>
      <c r="BG6" s="296"/>
      <c r="BH6" s="296"/>
      <c r="BI6" s="296"/>
      <c r="BJ6" s="296"/>
    </row>
    <row r="7" spans="1:62" ht="13.2">
      <c r="A7" s="41">
        <f t="shared" si="0"/>
        <v>3</v>
      </c>
      <c r="B7" s="1" t="s">
        <v>8</v>
      </c>
      <c r="C7" s="42" t="str">
        <f ca="1">IFERROR(__xludf.DUMMYFUNCTION("GoogleFinance(B7,""name"")"),"iShares Russell 2000 ETF")</f>
        <v>iShares Russell 2000 ETF</v>
      </c>
      <c r="D7" s="44" t="s">
        <v>170</v>
      </c>
      <c r="E7" s="293">
        <v>45309</v>
      </c>
      <c r="F7" s="294"/>
      <c r="G7" s="295"/>
      <c r="H7" s="46">
        <f ca="1">IFERROR(__xludf.DUMMYFUNCTION("GOOGLEFINANCE(B7)"),192.43)</f>
        <v>192.43</v>
      </c>
      <c r="I7" s="53">
        <v>450</v>
      </c>
      <c r="J7" s="51">
        <f ca="1">I7/H7-1</f>
        <v>1.3385127059190354</v>
      </c>
      <c r="K7" s="44">
        <v>540</v>
      </c>
      <c r="L7" s="95">
        <f ca="1">K7/H7-1</f>
        <v>1.8062152471028425</v>
      </c>
      <c r="M7" s="8">
        <f ca="1">IFERROR(__xludf.DUMMYFUNCTION("GoogleFinance(B7,""changepct"")/100"),0.0096)</f>
        <v>9.5999999999999992E-3</v>
      </c>
      <c r="N7" s="8" t="e">
        <f ca="1">H7/W8-1</f>
        <v>#DIV/0!</v>
      </c>
      <c r="O7" s="8" t="e">
        <f ca="1">H7/Y8-1</f>
        <v>#DIV/0!</v>
      </c>
      <c r="P7" s="8" t="e">
        <f ca="1">H7/AA8-1</f>
        <v>#DIV/0!</v>
      </c>
      <c r="Q7" s="8" t="e">
        <f ca="1">H7/AC8-1</f>
        <v>#DIV/0!</v>
      </c>
      <c r="R7" s="8">
        <f ca="1">H7/AE8-1</f>
        <v>-4.1253549897862563E-2</v>
      </c>
      <c r="S7" s="2"/>
      <c r="T7" s="2"/>
      <c r="U7" s="2"/>
      <c r="V7" s="2" t="str">
        <f ca="1">IFERROR(__xludf.DUMMYFUNCTION("GoogleFinance(B7,""price"",today()-7)"),"#N/A")</f>
        <v>#N/A</v>
      </c>
      <c r="W7" s="19"/>
      <c r="X7" s="2" t="str">
        <f ca="1">IFERROR(__xludf.DUMMYFUNCTION("GoogleFinance(B7,""price"",today()-31)"),"#N/A")</f>
        <v>#N/A</v>
      </c>
      <c r="Y7" s="19"/>
      <c r="Z7" s="2" t="str">
        <f ca="1">IFERROR(__xludf.DUMMYFUNCTION("GoogleFinance(B7,""price"",today()-91)"),"#N/A")</f>
        <v>#N/A</v>
      </c>
      <c r="AA7" s="19"/>
      <c r="AB7" s="2" t="str">
        <f ca="1">IFERROR(__xludf.DUMMYFUNCTION("GoogleFinance(B7,""price"",today()-182)"),"#N/A")</f>
        <v>#N/A</v>
      </c>
      <c r="AC7" s="19"/>
      <c r="AD7" s="2" t="str">
        <f ca="1">IFERROR(__xludf.DUMMYFUNCTION("GoogleFinance(B7,""price"",DATE(2023,12,29))"),"Date")</f>
        <v>Date</v>
      </c>
      <c r="AE7" s="19" t="str">
        <f ca="1">IFERROR(__xludf.DUMMYFUNCTION("""COMPUTED_VALUE"""),"Close")</f>
        <v>Close</v>
      </c>
      <c r="AF7" s="5"/>
      <c r="AG7" s="5"/>
      <c r="AH7" s="5"/>
      <c r="AI7" s="5"/>
      <c r="AJ7" s="296"/>
      <c r="AK7" s="296"/>
      <c r="AL7" s="5"/>
      <c r="AM7" s="296"/>
      <c r="AN7" s="296"/>
      <c r="AO7" s="296"/>
      <c r="AP7" s="296"/>
      <c r="AQ7" s="296"/>
      <c r="AR7" s="5"/>
      <c r="AS7" s="5"/>
      <c r="AT7" s="5"/>
      <c r="AU7" s="5"/>
      <c r="AV7" s="5"/>
      <c r="AW7" s="5"/>
      <c r="AX7" s="5"/>
      <c r="AY7" s="5"/>
      <c r="AZ7" s="5"/>
      <c r="BA7" s="5"/>
      <c r="BB7" s="296"/>
      <c r="BC7" s="296"/>
      <c r="BD7" s="296"/>
      <c r="BE7" s="296"/>
      <c r="BF7" s="296"/>
      <c r="BG7" s="296"/>
      <c r="BH7" s="296"/>
      <c r="BI7" s="296"/>
      <c r="BJ7" s="296"/>
    </row>
    <row r="8" spans="1:62" ht="13.2" hidden="1">
      <c r="A8" s="41" t="e">
        <f t="shared" si="0"/>
        <v>#REF!</v>
      </c>
      <c r="B8" s="297"/>
      <c r="C8" s="298"/>
      <c r="D8" s="44"/>
      <c r="E8" s="293">
        <v>45207</v>
      </c>
      <c r="F8" s="294">
        <v>45208</v>
      </c>
      <c r="G8" s="295">
        <v>45209</v>
      </c>
      <c r="H8" s="299"/>
      <c r="I8" s="299"/>
      <c r="J8" s="300"/>
      <c r="K8" s="300"/>
      <c r="L8" s="300"/>
      <c r="M8" s="301"/>
      <c r="N8" s="301"/>
      <c r="O8" s="301"/>
      <c r="P8" s="301"/>
      <c r="Q8" s="301"/>
      <c r="R8" s="301"/>
      <c r="S8" s="20"/>
      <c r="T8" s="20"/>
      <c r="U8" s="20"/>
      <c r="V8" s="20"/>
      <c r="W8" s="19"/>
      <c r="X8" s="20"/>
      <c r="Y8" s="19"/>
      <c r="Z8" s="20"/>
      <c r="AA8" s="19"/>
      <c r="AB8" s="20"/>
      <c r="AC8" s="19"/>
      <c r="AD8" s="20">
        <f ca="1">IFERROR(__xludf.DUMMYFUNCTION("""COMPUTED_VALUE"""),45289.6666666666)</f>
        <v>45289.666666666599</v>
      </c>
      <c r="AE8" s="19">
        <f ca="1">IFERROR(__xludf.DUMMYFUNCTION("""COMPUTED_VALUE"""),200.71)</f>
        <v>200.71</v>
      </c>
      <c r="AF8" s="22"/>
      <c r="AG8" s="22"/>
      <c r="AH8" s="22"/>
      <c r="AI8" s="22"/>
      <c r="AJ8" s="296"/>
      <c r="AK8" s="296"/>
      <c r="AL8" s="22"/>
      <c r="AM8" s="296"/>
      <c r="AN8" s="296"/>
      <c r="AO8" s="296"/>
      <c r="AP8" s="296"/>
      <c r="AQ8" s="296"/>
      <c r="AR8" s="22"/>
      <c r="AS8" s="22"/>
      <c r="AT8" s="22"/>
      <c r="AU8" s="22"/>
      <c r="AV8" s="22"/>
      <c r="AW8" s="22"/>
      <c r="AX8" s="22"/>
      <c r="AY8" s="22"/>
      <c r="AZ8" s="22"/>
      <c r="BA8" s="22"/>
      <c r="BB8" s="296"/>
      <c r="BC8" s="296"/>
      <c r="BD8" s="296"/>
      <c r="BE8" s="296"/>
      <c r="BF8" s="296"/>
      <c r="BG8" s="296"/>
      <c r="BH8" s="296"/>
      <c r="BI8" s="296"/>
      <c r="BJ8" s="296"/>
    </row>
    <row r="9" spans="1:62" ht="13.2">
      <c r="A9" s="41">
        <f t="shared" si="0"/>
        <v>4</v>
      </c>
      <c r="B9" s="1" t="s">
        <v>22</v>
      </c>
      <c r="C9" s="42" t="str">
        <f ca="1">IFERROR(__xludf.DUMMYFUNCTION("GoogleFinance(B9,""name"")"),"iShares 20 Plus Year Treasury Bond ETF")</f>
        <v>iShares 20 Plus Year Treasury Bond ETF</v>
      </c>
      <c r="D9" s="44" t="s">
        <v>171</v>
      </c>
      <c r="E9" s="293"/>
      <c r="F9" s="294">
        <v>45289</v>
      </c>
      <c r="G9" s="295"/>
      <c r="H9" s="46">
        <f ca="1">IFERROR(__xludf.DUMMYFUNCTION("GOOGLEFINANCE(B9)"),94.09)</f>
        <v>94.09</v>
      </c>
      <c r="I9" s="53">
        <v>490</v>
      </c>
      <c r="J9" s="51">
        <f ca="1">I9/H9-1</f>
        <v>4.207779785311935</v>
      </c>
      <c r="K9" s="44">
        <v>620</v>
      </c>
      <c r="L9" s="95">
        <f ca="1">K9/H9-1</f>
        <v>5.5894356467212241</v>
      </c>
      <c r="M9" s="8">
        <f ca="1">IFERROR(__xludf.DUMMYFUNCTION("GoogleFinance(B9,""changepct"")/100"),0.0032)</f>
        <v>3.2000000000000002E-3</v>
      </c>
      <c r="N9" s="8" t="e">
        <f ca="1">H9/W10-1</f>
        <v>#DIV/0!</v>
      </c>
      <c r="O9" s="8" t="e">
        <f ca="1">H9/Y10-1</f>
        <v>#DIV/0!</v>
      </c>
      <c r="P9" s="8" t="e">
        <f ca="1">H9/AA10-1</f>
        <v>#DIV/0!</v>
      </c>
      <c r="Q9" s="8" t="e">
        <f ca="1">H9/AC10-1</f>
        <v>#DIV/0!</v>
      </c>
      <c r="R9" s="8">
        <f ca="1">H9/AE10-1</f>
        <v>-4.8442556634304079E-2</v>
      </c>
      <c r="S9" s="2"/>
      <c r="T9" s="2"/>
      <c r="U9" s="2"/>
      <c r="V9" s="2" t="str">
        <f ca="1">IFERROR(__xludf.DUMMYFUNCTION("GoogleFinance(B9,""price"",today()-7)"),"#N/A")</f>
        <v>#N/A</v>
      </c>
      <c r="W9" s="19"/>
      <c r="X9" s="2" t="str">
        <f ca="1">IFERROR(__xludf.DUMMYFUNCTION("GoogleFinance(B9,""price"",today()-31)"),"#N/A")</f>
        <v>#N/A</v>
      </c>
      <c r="Y9" s="19"/>
      <c r="Z9" s="2" t="str">
        <f ca="1">IFERROR(__xludf.DUMMYFUNCTION("GoogleFinance(B9,""price"",today()-91)"),"#N/A")</f>
        <v>#N/A</v>
      </c>
      <c r="AA9" s="19"/>
      <c r="AB9" s="2" t="str">
        <f ca="1">IFERROR(__xludf.DUMMYFUNCTION("GoogleFinance(B9,""price"",today()-182)"),"#N/A")</f>
        <v>#N/A</v>
      </c>
      <c r="AC9" s="19"/>
      <c r="AD9" s="2" t="str">
        <f ca="1">IFERROR(__xludf.DUMMYFUNCTION("GoogleFinance(B9,""price"",DATE(2023,12,29))"),"Date")</f>
        <v>Date</v>
      </c>
      <c r="AE9" s="19" t="str">
        <f ca="1">IFERROR(__xludf.DUMMYFUNCTION("""COMPUTED_VALUE"""),"Close")</f>
        <v>Close</v>
      </c>
      <c r="AF9" s="5"/>
      <c r="AG9" s="5"/>
      <c r="AH9" s="5"/>
      <c r="AI9" s="5"/>
      <c r="AJ9" s="296"/>
      <c r="AK9" s="296"/>
      <c r="AL9" s="5"/>
      <c r="AM9" s="296"/>
      <c r="AN9" s="296"/>
      <c r="AO9" s="296"/>
      <c r="AP9" s="296"/>
      <c r="AQ9" s="296"/>
      <c r="AR9" s="5"/>
      <c r="AS9" s="5"/>
      <c r="AT9" s="5"/>
      <c r="AU9" s="5"/>
      <c r="AV9" s="5"/>
      <c r="AW9" s="5"/>
      <c r="AX9" s="5"/>
      <c r="AY9" s="5"/>
      <c r="AZ9" s="5"/>
      <c r="BA9" s="5"/>
      <c r="BB9" s="296"/>
      <c r="BC9" s="296"/>
      <c r="BD9" s="296"/>
      <c r="BE9" s="296"/>
      <c r="BF9" s="296"/>
      <c r="BG9" s="296"/>
      <c r="BH9" s="296"/>
      <c r="BI9" s="296"/>
      <c r="BJ9" s="296"/>
    </row>
    <row r="10" spans="1:62" ht="13.2" hidden="1">
      <c r="A10" s="66" t="e">
        <f>1+A6</f>
        <v>#REF!</v>
      </c>
      <c r="B10" s="297"/>
      <c r="C10" s="298"/>
      <c r="D10" s="44"/>
      <c r="E10" s="293">
        <v>45209</v>
      </c>
      <c r="F10" s="294">
        <v>45210</v>
      </c>
      <c r="G10" s="295">
        <v>45211</v>
      </c>
      <c r="H10" s="299"/>
      <c r="I10" s="299"/>
      <c r="J10" s="300"/>
      <c r="K10" s="300"/>
      <c r="L10" s="300"/>
      <c r="M10" s="301"/>
      <c r="N10" s="301"/>
      <c r="O10" s="301"/>
      <c r="P10" s="301"/>
      <c r="Q10" s="301"/>
      <c r="R10" s="301"/>
      <c r="S10" s="20"/>
      <c r="T10" s="20"/>
      <c r="U10" s="20"/>
      <c r="V10" s="20"/>
      <c r="W10" s="19"/>
      <c r="X10" s="20"/>
      <c r="Y10" s="19"/>
      <c r="Z10" s="20"/>
      <c r="AA10" s="19"/>
      <c r="AB10" s="20"/>
      <c r="AC10" s="19"/>
      <c r="AD10" s="20">
        <f ca="1">IFERROR(__xludf.DUMMYFUNCTION("""COMPUTED_VALUE"""),45289.6666666666)</f>
        <v>45289.666666666599</v>
      </c>
      <c r="AE10" s="19">
        <f ca="1">IFERROR(__xludf.DUMMYFUNCTION("""COMPUTED_VALUE"""),98.88)</f>
        <v>98.88</v>
      </c>
      <c r="AF10" s="22"/>
      <c r="AG10" s="22"/>
      <c r="AH10" s="22"/>
      <c r="AI10" s="22"/>
      <c r="AJ10" s="296"/>
      <c r="AK10" s="296"/>
      <c r="AL10" s="22"/>
      <c r="AM10" s="296"/>
      <c r="AN10" s="296"/>
      <c r="AO10" s="296"/>
      <c r="AP10" s="296"/>
      <c r="AQ10" s="296"/>
      <c r="AR10" s="22"/>
      <c r="AS10" s="22"/>
      <c r="AT10" s="22"/>
      <c r="AU10" s="22"/>
      <c r="AV10" s="22"/>
      <c r="AW10" s="22"/>
      <c r="AX10" s="22"/>
      <c r="AY10" s="22"/>
      <c r="AZ10" s="22"/>
      <c r="BA10" s="22"/>
      <c r="BB10" s="296"/>
      <c r="BC10" s="296"/>
      <c r="BD10" s="296"/>
      <c r="BE10" s="296"/>
      <c r="BF10" s="296"/>
      <c r="BG10" s="296"/>
      <c r="BH10" s="296"/>
      <c r="BI10" s="296"/>
      <c r="BJ10" s="296"/>
    </row>
    <row r="11" spans="1:62" ht="15.75" customHeight="1">
      <c r="A11" s="25"/>
      <c r="B11" s="25"/>
      <c r="C11" s="291"/>
      <c r="D11" s="25"/>
      <c r="E11" s="25"/>
      <c r="F11" s="25"/>
      <c r="G11" s="25"/>
      <c r="H11" s="26"/>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75" customHeight="1">
      <c r="A12" s="25"/>
      <c r="B12" s="25"/>
      <c r="C12" s="291"/>
      <c r="D12" s="25"/>
      <c r="E12" s="25"/>
      <c r="F12" s="25"/>
      <c r="G12" s="25"/>
      <c r="H12" s="26"/>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75" customHeight="1">
      <c r="A13" s="25"/>
      <c r="B13" s="25"/>
      <c r="C13" s="291"/>
      <c r="D13" s="25"/>
      <c r="E13" s="25"/>
      <c r="F13" s="25"/>
      <c r="G13" s="25"/>
      <c r="H13" s="26"/>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75" customHeight="1">
      <c r="A14" s="25"/>
      <c r="B14" s="25"/>
      <c r="C14" s="291"/>
      <c r="D14" s="25"/>
      <c r="E14" s="25"/>
      <c r="F14" s="25"/>
      <c r="G14" s="25"/>
      <c r="H14" s="26"/>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75" customHeight="1">
      <c r="A15" s="25"/>
      <c r="B15" s="25"/>
      <c r="C15" s="291"/>
      <c r="D15" s="25"/>
      <c r="E15" s="25"/>
      <c r="F15" s="25"/>
      <c r="G15" s="25"/>
      <c r="H15" s="26"/>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75" customHeight="1">
      <c r="A16" s="25"/>
      <c r="B16" s="25"/>
      <c r="C16" s="291"/>
      <c r="D16" s="25"/>
      <c r="E16" s="25"/>
      <c r="F16" s="25"/>
      <c r="G16" s="25"/>
      <c r="H16" s="26"/>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75" customHeight="1">
      <c r="A17" s="25"/>
      <c r="B17" s="25"/>
      <c r="C17" s="291"/>
      <c r="D17" s="25"/>
      <c r="E17" s="25"/>
      <c r="F17" s="25"/>
      <c r="G17" s="25"/>
      <c r="H17" s="26"/>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75" customHeight="1">
      <c r="A18" s="25"/>
      <c r="B18" s="25"/>
      <c r="C18" s="291"/>
      <c r="D18" s="25"/>
      <c r="E18" s="25"/>
      <c r="F18" s="25"/>
      <c r="G18" s="25"/>
      <c r="H18" s="26"/>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75" customHeight="1">
      <c r="A19" s="25"/>
      <c r="B19" s="25"/>
      <c r="C19" s="291"/>
      <c r="D19" s="25"/>
      <c r="E19" s="25"/>
      <c r="F19" s="25"/>
      <c r="G19" s="25"/>
      <c r="H19" s="26"/>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75" customHeight="1">
      <c r="A20" s="25"/>
      <c r="B20" s="25"/>
      <c r="C20" s="291"/>
      <c r="D20" s="25"/>
      <c r="E20" s="25"/>
      <c r="F20" s="25"/>
      <c r="G20" s="25"/>
      <c r="H20" s="26"/>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75" customHeight="1">
      <c r="A21" s="25"/>
      <c r="B21" s="25"/>
      <c r="C21" s="291"/>
      <c r="D21" s="25"/>
      <c r="E21" s="25"/>
      <c r="F21" s="25"/>
      <c r="G21" s="25"/>
      <c r="H21" s="26"/>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75" customHeight="1">
      <c r="A22" s="25"/>
      <c r="B22" s="25"/>
      <c r="C22" s="291"/>
      <c r="D22" s="25"/>
      <c r="E22" s="25"/>
      <c r="F22" s="25"/>
      <c r="G22" s="25"/>
      <c r="H22" s="26"/>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75" customHeight="1">
      <c r="A23" s="25"/>
      <c r="B23" s="25"/>
      <c r="C23" s="291"/>
      <c r="D23" s="25"/>
      <c r="E23" s="25"/>
      <c r="F23" s="25"/>
      <c r="G23" s="25"/>
      <c r="H23" s="26"/>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75" customHeight="1">
      <c r="A24" s="25"/>
      <c r="B24" s="25"/>
      <c r="C24" s="291"/>
      <c r="D24" s="25"/>
      <c r="E24" s="25"/>
      <c r="F24" s="25"/>
      <c r="G24" s="25"/>
      <c r="H24" s="26"/>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75" customHeight="1">
      <c r="A25" s="25"/>
      <c r="B25" s="25"/>
      <c r="C25" s="291"/>
      <c r="D25" s="25"/>
      <c r="E25" s="25"/>
      <c r="F25" s="25"/>
      <c r="G25" s="25"/>
      <c r="H25" s="26"/>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75" customHeight="1">
      <c r="A26" s="25"/>
      <c r="B26" s="25"/>
      <c r="C26" s="291"/>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75" customHeight="1">
      <c r="A27" s="25"/>
      <c r="B27" s="25"/>
      <c r="C27" s="291"/>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75" customHeight="1">
      <c r="A28" s="25"/>
      <c r="B28" s="25"/>
      <c r="C28" s="291"/>
      <c r="D28" s="25"/>
      <c r="E28" s="25"/>
      <c r="F28" s="25"/>
      <c r="G28" s="25"/>
      <c r="H28" s="26"/>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75" customHeight="1">
      <c r="A29" s="25"/>
      <c r="B29" s="25"/>
      <c r="C29" s="291"/>
      <c r="D29" s="25"/>
      <c r="E29" s="25"/>
      <c r="F29" s="25"/>
      <c r="G29" s="25"/>
      <c r="H29" s="26"/>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75" customHeight="1">
      <c r="A30" s="25"/>
      <c r="B30" s="25"/>
      <c r="C30" s="291"/>
      <c r="D30" s="25"/>
      <c r="E30" s="25"/>
      <c r="F30" s="25"/>
      <c r="G30" s="25"/>
      <c r="H30" s="26"/>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75" customHeight="1">
      <c r="A31" s="25"/>
      <c r="B31" s="25"/>
      <c r="C31" s="291"/>
      <c r="D31" s="25"/>
      <c r="E31" s="25"/>
      <c r="F31" s="25"/>
      <c r="G31" s="25"/>
      <c r="H31" s="26"/>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75" customHeight="1">
      <c r="A32" s="25"/>
      <c r="B32" s="25"/>
      <c r="C32" s="291"/>
      <c r="D32" s="25"/>
      <c r="E32" s="25"/>
      <c r="F32" s="25"/>
      <c r="G32" s="25"/>
      <c r="H32" s="26"/>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75" customHeight="1">
      <c r="A33" s="25"/>
      <c r="B33" s="25"/>
      <c r="C33" s="291"/>
      <c r="D33" s="25"/>
      <c r="E33" s="25"/>
      <c r="F33" s="25"/>
      <c r="G33" s="25"/>
      <c r="H33" s="26"/>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75" customHeight="1">
      <c r="A34" s="25"/>
      <c r="B34" s="25"/>
      <c r="C34" s="291"/>
      <c r="D34" s="25"/>
      <c r="E34" s="25"/>
      <c r="F34" s="25"/>
      <c r="G34" s="25"/>
      <c r="H34" s="26"/>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75" customHeight="1">
      <c r="A35" s="25"/>
      <c r="B35" s="25"/>
      <c r="C35" s="291"/>
      <c r="D35" s="25"/>
      <c r="E35" s="25"/>
      <c r="F35" s="25"/>
      <c r="G35" s="25"/>
      <c r="H35" s="26"/>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75" customHeight="1">
      <c r="A36" s="25"/>
      <c r="B36" s="25"/>
      <c r="C36" s="291"/>
      <c r="D36" s="25"/>
      <c r="E36" s="25"/>
      <c r="F36" s="25"/>
      <c r="G36" s="25"/>
      <c r="H36" s="26"/>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75" customHeight="1">
      <c r="A37" s="25"/>
      <c r="B37" s="25"/>
      <c r="C37" s="291"/>
      <c r="D37" s="25"/>
      <c r="E37" s="25"/>
      <c r="F37" s="25"/>
      <c r="G37" s="25"/>
      <c r="H37" s="26"/>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75" customHeight="1">
      <c r="A38" s="25"/>
      <c r="B38" s="25"/>
      <c r="C38" s="291"/>
      <c r="D38" s="25"/>
      <c r="E38" s="25"/>
      <c r="F38" s="25"/>
      <c r="G38" s="25"/>
      <c r="H38" s="26"/>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75" customHeight="1">
      <c r="A39" s="25"/>
      <c r="B39" s="25"/>
      <c r="C39" s="291"/>
      <c r="D39" s="25"/>
      <c r="E39" s="25"/>
      <c r="F39" s="25"/>
      <c r="G39" s="25"/>
      <c r="H39" s="26"/>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75" customHeight="1">
      <c r="A40" s="25"/>
      <c r="B40" s="25"/>
      <c r="C40" s="291"/>
      <c r="D40" s="25"/>
      <c r="E40" s="25"/>
      <c r="F40" s="25"/>
      <c r="G40" s="25"/>
      <c r="H40" s="26"/>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75" customHeight="1">
      <c r="A41" s="25"/>
      <c r="B41" s="25"/>
      <c r="C41" s="291"/>
      <c r="D41" s="25"/>
      <c r="E41" s="25"/>
      <c r="F41" s="25"/>
      <c r="G41" s="25"/>
      <c r="H41" s="26"/>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75" customHeight="1">
      <c r="A42" s="25"/>
      <c r="B42" s="25"/>
      <c r="C42" s="291"/>
      <c r="D42" s="25"/>
      <c r="E42" s="25"/>
      <c r="F42" s="25"/>
      <c r="G42" s="25"/>
      <c r="H42" s="26"/>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75" customHeight="1">
      <c r="A43" s="25"/>
      <c r="B43" s="25"/>
      <c r="C43" s="291"/>
      <c r="D43" s="25"/>
      <c r="E43" s="25"/>
      <c r="F43" s="25"/>
      <c r="G43" s="25"/>
      <c r="H43" s="26"/>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75" customHeight="1">
      <c r="A44" s="25"/>
      <c r="B44" s="25"/>
      <c r="C44" s="291"/>
      <c r="D44" s="25"/>
      <c r="E44" s="25"/>
      <c r="F44" s="25"/>
      <c r="G44" s="25"/>
      <c r="H44" s="26"/>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75" customHeight="1">
      <c r="A45" s="25"/>
      <c r="B45" s="25"/>
      <c r="C45" s="291"/>
      <c r="D45" s="25"/>
      <c r="E45" s="25"/>
      <c r="F45" s="25"/>
      <c r="G45" s="25"/>
      <c r="H45" s="26"/>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75" customHeight="1">
      <c r="A46" s="25"/>
      <c r="B46" s="25"/>
      <c r="C46" s="291"/>
      <c r="D46" s="25"/>
      <c r="E46" s="25"/>
      <c r="F46" s="25"/>
      <c r="G46" s="25"/>
      <c r="H46" s="26"/>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75" customHeight="1">
      <c r="A47" s="25"/>
      <c r="B47" s="25"/>
      <c r="C47" s="291"/>
      <c r="D47" s="25"/>
      <c r="E47" s="25"/>
      <c r="F47" s="25"/>
      <c r="G47" s="25"/>
      <c r="H47" s="26"/>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75" customHeight="1">
      <c r="A48" s="25"/>
      <c r="B48" s="25"/>
      <c r="C48" s="291"/>
      <c r="D48" s="25"/>
      <c r="E48" s="25"/>
      <c r="F48" s="25"/>
      <c r="G48" s="25"/>
      <c r="H48" s="26"/>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75" customHeight="1">
      <c r="A49" s="25"/>
      <c r="B49" s="25"/>
      <c r="C49" s="291"/>
      <c r="D49" s="25"/>
      <c r="E49" s="25"/>
      <c r="F49" s="25"/>
      <c r="G49" s="25"/>
      <c r="H49" s="26"/>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75" customHeight="1">
      <c r="A50" s="25"/>
      <c r="B50" s="25"/>
      <c r="C50" s="291"/>
      <c r="D50" s="25"/>
      <c r="E50" s="25"/>
      <c r="F50" s="25"/>
      <c r="G50" s="25"/>
      <c r="H50" s="26"/>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75" customHeight="1">
      <c r="A51" s="25"/>
      <c r="B51" s="25"/>
      <c r="C51" s="291"/>
      <c r="D51" s="25"/>
      <c r="E51" s="25"/>
      <c r="F51" s="25"/>
      <c r="G51" s="25"/>
      <c r="H51" s="26"/>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75" customHeight="1">
      <c r="A52" s="25"/>
      <c r="B52" s="25"/>
      <c r="C52" s="291"/>
      <c r="D52" s="25"/>
      <c r="E52" s="25"/>
      <c r="F52" s="25"/>
      <c r="G52" s="25"/>
      <c r="H52" s="26"/>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75" customHeight="1">
      <c r="A53" s="25"/>
      <c r="B53" s="25"/>
      <c r="C53" s="291"/>
      <c r="D53" s="25"/>
      <c r="E53" s="25"/>
      <c r="F53" s="25"/>
      <c r="G53" s="25"/>
      <c r="H53" s="26"/>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75" customHeight="1">
      <c r="A54" s="25"/>
      <c r="B54" s="25"/>
      <c r="C54" s="291"/>
      <c r="D54" s="25"/>
      <c r="E54" s="25"/>
      <c r="F54" s="25"/>
      <c r="G54" s="25"/>
      <c r="H54" s="26"/>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75" customHeight="1">
      <c r="A55" s="25"/>
      <c r="B55" s="25"/>
      <c r="C55" s="291"/>
      <c r="D55" s="25"/>
      <c r="E55" s="25"/>
      <c r="F55" s="25"/>
      <c r="G55" s="25"/>
      <c r="H55" s="26"/>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75" customHeight="1">
      <c r="A56" s="25"/>
      <c r="B56" s="25"/>
      <c r="C56" s="291"/>
      <c r="D56" s="25"/>
      <c r="E56" s="25"/>
      <c r="F56" s="25"/>
      <c r="G56" s="25"/>
      <c r="H56" s="26"/>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75" customHeight="1">
      <c r="A57" s="25"/>
      <c r="B57" s="25"/>
      <c r="C57" s="291"/>
      <c r="D57" s="25"/>
      <c r="E57" s="25"/>
      <c r="F57" s="25"/>
      <c r="G57" s="25"/>
      <c r="H57" s="26"/>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75" customHeight="1">
      <c r="A58" s="25"/>
      <c r="B58" s="25"/>
      <c r="C58" s="291"/>
      <c r="D58" s="25"/>
      <c r="E58" s="25"/>
      <c r="F58" s="25"/>
      <c r="G58" s="25"/>
      <c r="H58" s="26"/>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75" customHeight="1">
      <c r="A59" s="25"/>
      <c r="B59" s="25"/>
      <c r="C59" s="291"/>
      <c r="D59" s="25"/>
      <c r="E59" s="25"/>
      <c r="F59" s="25"/>
      <c r="G59" s="25"/>
      <c r="H59" s="26"/>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75" customHeight="1">
      <c r="A60" s="25"/>
      <c r="B60" s="25"/>
      <c r="C60" s="291"/>
      <c r="D60" s="25"/>
      <c r="E60" s="25"/>
      <c r="F60" s="25"/>
      <c r="G60" s="25"/>
      <c r="H60" s="26"/>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75" customHeight="1">
      <c r="A61" s="25"/>
      <c r="B61" s="25"/>
      <c r="C61" s="291"/>
      <c r="D61" s="25"/>
      <c r="E61" s="25"/>
      <c r="F61" s="25"/>
      <c r="G61" s="25"/>
      <c r="H61" s="26"/>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75" customHeight="1">
      <c r="A62" s="25"/>
      <c r="B62" s="25"/>
      <c r="C62" s="291"/>
      <c r="D62" s="25"/>
      <c r="E62" s="25"/>
      <c r="F62" s="25"/>
      <c r="G62" s="25"/>
      <c r="H62" s="26"/>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75" customHeight="1">
      <c r="A63" s="25"/>
      <c r="B63" s="25"/>
      <c r="C63" s="291"/>
      <c r="D63" s="25"/>
      <c r="E63" s="25"/>
      <c r="F63" s="25"/>
      <c r="G63" s="25"/>
      <c r="H63" s="26"/>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75" customHeight="1">
      <c r="A64" s="25"/>
      <c r="B64" s="25"/>
      <c r="C64" s="291"/>
      <c r="D64" s="25"/>
      <c r="E64" s="25"/>
      <c r="F64" s="25"/>
      <c r="G64" s="25"/>
      <c r="H64" s="26"/>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75" customHeight="1">
      <c r="A65" s="25"/>
      <c r="B65" s="25"/>
      <c r="C65" s="291"/>
      <c r="D65" s="25"/>
      <c r="E65" s="25"/>
      <c r="F65" s="25"/>
      <c r="G65" s="25"/>
      <c r="H65" s="26"/>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75" customHeight="1">
      <c r="A66" s="25"/>
      <c r="B66" s="25"/>
      <c r="C66" s="291"/>
      <c r="D66" s="25"/>
      <c r="E66" s="25"/>
      <c r="F66" s="25"/>
      <c r="G66" s="25"/>
      <c r="H66" s="26"/>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75" customHeight="1">
      <c r="A67" s="25"/>
      <c r="B67" s="25"/>
      <c r="C67" s="291"/>
      <c r="D67" s="25"/>
      <c r="E67" s="25"/>
      <c r="F67" s="25"/>
      <c r="G67" s="25"/>
      <c r="H67" s="26"/>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75" customHeight="1">
      <c r="A68" s="25"/>
      <c r="B68" s="25"/>
      <c r="C68" s="291"/>
      <c r="D68" s="25"/>
      <c r="E68" s="25"/>
      <c r="F68" s="25"/>
      <c r="G68" s="25"/>
      <c r="H68" s="26"/>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75" customHeight="1">
      <c r="A69" s="25"/>
      <c r="B69" s="25"/>
      <c r="C69" s="291"/>
      <c r="D69" s="25"/>
      <c r="E69" s="25"/>
      <c r="F69" s="25"/>
      <c r="G69" s="25"/>
      <c r="H69" s="26"/>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75" customHeight="1">
      <c r="A70" s="25"/>
      <c r="B70" s="25"/>
      <c r="C70" s="291"/>
      <c r="D70" s="25"/>
      <c r="E70" s="25"/>
      <c r="F70" s="25"/>
      <c r="G70" s="25"/>
      <c r="H70" s="26"/>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75" customHeight="1">
      <c r="A71" s="25"/>
      <c r="B71" s="25"/>
      <c r="C71" s="291"/>
      <c r="D71" s="25"/>
      <c r="E71" s="25"/>
      <c r="F71" s="25"/>
      <c r="G71" s="25"/>
      <c r="H71" s="26"/>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75" customHeight="1">
      <c r="A72" s="25"/>
      <c r="B72" s="25"/>
      <c r="C72" s="291"/>
      <c r="D72" s="25"/>
      <c r="E72" s="25"/>
      <c r="F72" s="25"/>
      <c r="G72" s="25"/>
      <c r="H72" s="26"/>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75" customHeight="1">
      <c r="A73" s="25"/>
      <c r="B73" s="25"/>
      <c r="C73" s="291"/>
      <c r="D73" s="25"/>
      <c r="E73" s="25"/>
      <c r="F73" s="25"/>
      <c r="G73" s="25"/>
      <c r="H73" s="26"/>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75" customHeight="1">
      <c r="A74" s="25"/>
      <c r="B74" s="25"/>
      <c r="C74" s="291"/>
      <c r="D74" s="25"/>
      <c r="E74" s="25"/>
      <c r="F74" s="25"/>
      <c r="G74" s="25"/>
      <c r="H74" s="26"/>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75" customHeight="1">
      <c r="A75" s="25"/>
      <c r="B75" s="25"/>
      <c r="C75" s="291"/>
      <c r="D75" s="25"/>
      <c r="E75" s="25"/>
      <c r="F75" s="25"/>
      <c r="G75" s="25"/>
      <c r="H75" s="26"/>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75" customHeight="1">
      <c r="A76" s="25"/>
      <c r="B76" s="25"/>
      <c r="C76" s="291"/>
      <c r="D76" s="25"/>
      <c r="E76" s="25"/>
      <c r="F76" s="25"/>
      <c r="G76" s="25"/>
      <c r="H76" s="26"/>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75" customHeight="1">
      <c r="A77" s="25"/>
      <c r="B77" s="25"/>
      <c r="C77" s="291"/>
      <c r="D77" s="25"/>
      <c r="E77" s="25"/>
      <c r="F77" s="25"/>
      <c r="G77" s="25"/>
      <c r="H77" s="26"/>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75" customHeight="1">
      <c r="A78" s="25"/>
      <c r="B78" s="25"/>
      <c r="C78" s="291"/>
      <c r="D78" s="25"/>
      <c r="E78" s="25"/>
      <c r="F78" s="25"/>
      <c r="G78" s="25"/>
      <c r="H78" s="26"/>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75" customHeight="1">
      <c r="A79" s="25"/>
      <c r="B79" s="25"/>
      <c r="C79" s="291"/>
      <c r="D79" s="25"/>
      <c r="E79" s="25"/>
      <c r="F79" s="25"/>
      <c r="G79" s="25"/>
      <c r="H79" s="26"/>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75" customHeight="1">
      <c r="A80" s="25"/>
      <c r="B80" s="25"/>
      <c r="C80" s="291"/>
      <c r="D80" s="25"/>
      <c r="E80" s="25"/>
      <c r="F80" s="25"/>
      <c r="G80" s="25"/>
      <c r="H80" s="26"/>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75" customHeight="1">
      <c r="A81" s="25"/>
      <c r="B81" s="25"/>
      <c r="C81" s="291"/>
      <c r="D81" s="25"/>
      <c r="E81" s="25"/>
      <c r="F81" s="25"/>
      <c r="G81" s="25"/>
      <c r="H81" s="26"/>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75" customHeight="1">
      <c r="A82" s="25"/>
      <c r="B82" s="25"/>
      <c r="C82" s="291"/>
      <c r="D82" s="25"/>
      <c r="E82" s="25"/>
      <c r="F82" s="25"/>
      <c r="G82" s="25"/>
      <c r="H82" s="26"/>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75" customHeight="1">
      <c r="A83" s="25"/>
      <c r="B83" s="25"/>
      <c r="C83" s="291"/>
      <c r="D83" s="25"/>
      <c r="E83" s="25"/>
      <c r="F83" s="25"/>
      <c r="G83" s="25"/>
      <c r="H83" s="26"/>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75" customHeight="1">
      <c r="A84" s="25"/>
      <c r="B84" s="25"/>
      <c r="C84" s="291"/>
      <c r="D84" s="25"/>
      <c r="E84" s="25"/>
      <c r="F84" s="25"/>
      <c r="G84" s="25"/>
      <c r="H84" s="26"/>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75" customHeight="1">
      <c r="A85" s="25"/>
      <c r="B85" s="25"/>
      <c r="C85" s="291"/>
      <c r="D85" s="25"/>
      <c r="E85" s="25"/>
      <c r="F85" s="25"/>
      <c r="G85" s="25"/>
      <c r="H85" s="26"/>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75" customHeight="1">
      <c r="A86" s="25"/>
      <c r="B86" s="25"/>
      <c r="C86" s="291"/>
      <c r="D86" s="25"/>
      <c r="E86" s="25"/>
      <c r="F86" s="25"/>
      <c r="G86" s="25"/>
      <c r="H86" s="26"/>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75" customHeight="1">
      <c r="A87" s="25"/>
      <c r="B87" s="25"/>
      <c r="C87" s="291"/>
      <c r="D87" s="25"/>
      <c r="E87" s="25"/>
      <c r="F87" s="25"/>
      <c r="G87" s="25"/>
      <c r="H87" s="26"/>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75" customHeight="1">
      <c r="A88" s="25"/>
      <c r="B88" s="25"/>
      <c r="C88" s="291"/>
      <c r="D88" s="25"/>
      <c r="E88" s="25"/>
      <c r="F88" s="25"/>
      <c r="G88" s="25"/>
      <c r="H88" s="26"/>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row r="89" spans="1:62" ht="15.75" customHeight="1">
      <c r="A89" s="25"/>
      <c r="B89" s="25"/>
      <c r="C89" s="291"/>
      <c r="D89" s="25"/>
      <c r="E89" s="25"/>
      <c r="F89" s="25"/>
      <c r="G89" s="25"/>
      <c r="H89" s="26"/>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row>
    <row r="90" spans="1:62" ht="15.75" customHeight="1">
      <c r="A90" s="25"/>
      <c r="B90" s="25"/>
      <c r="C90" s="291"/>
      <c r="D90" s="25"/>
      <c r="E90" s="25"/>
      <c r="F90" s="25"/>
      <c r="G90" s="25"/>
      <c r="H90" s="26"/>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row>
    <row r="91" spans="1:62" ht="15.75" customHeight="1">
      <c r="A91" s="25"/>
      <c r="B91" s="25"/>
      <c r="C91" s="291"/>
      <c r="D91" s="25"/>
      <c r="E91" s="25"/>
      <c r="F91" s="25"/>
      <c r="G91" s="25"/>
      <c r="H91" s="26"/>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row>
    <row r="92" spans="1:62" ht="15.75" customHeight="1">
      <c r="A92" s="25"/>
      <c r="B92" s="25"/>
      <c r="C92" s="291"/>
      <c r="D92" s="25"/>
      <c r="E92" s="25"/>
      <c r="F92" s="25"/>
      <c r="G92" s="25"/>
      <c r="H92" s="26"/>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row>
    <row r="93" spans="1:62" ht="15.75" customHeight="1">
      <c r="A93" s="25"/>
      <c r="B93" s="25"/>
      <c r="C93" s="291"/>
      <c r="D93" s="25"/>
      <c r="E93" s="25"/>
      <c r="F93" s="25"/>
      <c r="G93" s="25"/>
      <c r="H93" s="26"/>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row>
    <row r="94" spans="1:62" ht="15.75" customHeight="1">
      <c r="A94" s="25"/>
      <c r="B94" s="25"/>
      <c r="C94" s="291"/>
      <c r="D94" s="25"/>
      <c r="E94" s="25"/>
      <c r="F94" s="25"/>
      <c r="G94" s="25"/>
      <c r="H94" s="26"/>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row>
    <row r="95" spans="1:62" ht="15.75" customHeight="1">
      <c r="A95" s="25"/>
      <c r="B95" s="25"/>
      <c r="C95" s="291"/>
      <c r="D95" s="25"/>
      <c r="E95" s="25"/>
      <c r="F95" s="25"/>
      <c r="G95" s="25"/>
      <c r="H95" s="26"/>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row>
    <row r="96" spans="1:62" ht="15.75" customHeight="1">
      <c r="A96" s="25"/>
      <c r="B96" s="25"/>
      <c r="C96" s="291"/>
      <c r="D96" s="25"/>
      <c r="E96" s="25"/>
      <c r="F96" s="25"/>
      <c r="G96" s="25"/>
      <c r="H96" s="26"/>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row>
    <row r="97" spans="1:62" ht="15.75" customHeight="1">
      <c r="A97" s="25"/>
      <c r="B97" s="25"/>
      <c r="C97" s="291"/>
      <c r="D97" s="25"/>
      <c r="E97" s="25"/>
      <c r="F97" s="25"/>
      <c r="G97" s="25"/>
      <c r="H97" s="26"/>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row>
    <row r="98" spans="1:62" ht="15.75" customHeight="1">
      <c r="A98" s="25"/>
      <c r="B98" s="25"/>
      <c r="C98" s="291"/>
      <c r="D98" s="25"/>
      <c r="E98" s="25"/>
      <c r="F98" s="25"/>
      <c r="G98" s="25"/>
      <c r="H98" s="26"/>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row>
    <row r="99" spans="1:62" ht="15.75" customHeight="1">
      <c r="A99" s="25"/>
      <c r="B99" s="25"/>
      <c r="C99" s="291"/>
      <c r="D99" s="25"/>
      <c r="E99" s="25"/>
      <c r="F99" s="25"/>
      <c r="G99" s="25"/>
      <c r="H99" s="26"/>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row>
    <row r="100" spans="1:62" ht="15.75" customHeight="1">
      <c r="A100" s="25"/>
      <c r="B100" s="25"/>
      <c r="C100" s="291"/>
      <c r="D100" s="25"/>
      <c r="E100" s="25"/>
      <c r="F100" s="25"/>
      <c r="G100" s="25"/>
      <c r="H100" s="26"/>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row>
    <row r="101" spans="1:62" ht="15.75" customHeight="1">
      <c r="A101" s="25"/>
      <c r="B101" s="25"/>
      <c r="C101" s="291"/>
      <c r="D101" s="25"/>
      <c r="E101" s="25"/>
      <c r="F101" s="25"/>
      <c r="G101" s="25"/>
      <c r="H101" s="26"/>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row>
    <row r="102" spans="1:62" ht="15.75" customHeight="1">
      <c r="A102" s="25"/>
      <c r="B102" s="25"/>
      <c r="C102" s="291"/>
      <c r="D102" s="25"/>
      <c r="E102" s="25"/>
      <c r="F102" s="25"/>
      <c r="G102" s="25"/>
      <c r="H102" s="26"/>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row>
    <row r="103" spans="1:62" ht="15.75" customHeight="1">
      <c r="A103" s="25"/>
      <c r="B103" s="25"/>
      <c r="C103" s="291"/>
      <c r="D103" s="25"/>
      <c r="E103" s="25"/>
      <c r="F103" s="25"/>
      <c r="G103" s="25"/>
      <c r="H103" s="26"/>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row>
    <row r="104" spans="1:62" ht="15.75" customHeight="1">
      <c r="C104" s="292"/>
    </row>
    <row r="105" spans="1:62" ht="15.75" customHeight="1">
      <c r="C105" s="292"/>
    </row>
    <row r="106" spans="1:62" ht="15.75" customHeight="1">
      <c r="C106" s="292"/>
    </row>
    <row r="107" spans="1:62" ht="15.75" customHeight="1">
      <c r="C107" s="292"/>
    </row>
    <row r="108" spans="1:62" ht="15.75" customHeight="1">
      <c r="C108" s="292"/>
    </row>
    <row r="109" spans="1:62" ht="15.75" customHeight="1">
      <c r="C109" s="292"/>
    </row>
    <row r="110" spans="1:62" ht="15.75" customHeight="1">
      <c r="C110" s="292"/>
    </row>
    <row r="111" spans="1:62" ht="15.75" customHeight="1">
      <c r="C111" s="292"/>
    </row>
    <row r="112" spans="1:62" ht="15.75" customHeight="1">
      <c r="C112" s="292"/>
    </row>
    <row r="113" spans="3:3" ht="15.75" customHeight="1">
      <c r="C113" s="292"/>
    </row>
    <row r="114" spans="3:3" ht="15.75" customHeight="1">
      <c r="C114" s="292"/>
    </row>
    <row r="115" spans="3:3" ht="15.75" customHeight="1">
      <c r="C115" s="292"/>
    </row>
    <row r="116" spans="3:3" ht="15.75" customHeight="1">
      <c r="C116" s="292"/>
    </row>
    <row r="117" spans="3:3" ht="15.75" customHeight="1">
      <c r="C117" s="292"/>
    </row>
    <row r="118" spans="3:3" ht="15.75" customHeight="1">
      <c r="C118" s="292"/>
    </row>
    <row r="119" spans="3:3" ht="15.75" customHeight="1">
      <c r="C119" s="292"/>
    </row>
    <row r="120" spans="3:3" ht="15.75" customHeight="1">
      <c r="C120" s="292"/>
    </row>
    <row r="121" spans="3:3" ht="15.75" customHeight="1">
      <c r="C121" s="292"/>
    </row>
    <row r="122" spans="3:3" ht="15.75" customHeight="1">
      <c r="C122" s="292"/>
    </row>
    <row r="123" spans="3:3" ht="15.75" customHeight="1">
      <c r="C123" s="292"/>
    </row>
    <row r="124" spans="3:3" ht="15.75" customHeight="1">
      <c r="C124" s="292"/>
    </row>
    <row r="125" spans="3:3" ht="15.75" customHeight="1">
      <c r="C125" s="292"/>
    </row>
    <row r="126" spans="3:3" ht="15.75" customHeight="1">
      <c r="C126" s="292"/>
    </row>
    <row r="127" spans="3:3" ht="15.75" customHeight="1">
      <c r="C127" s="292"/>
    </row>
    <row r="128" spans="3:3" ht="15.75" customHeight="1">
      <c r="C128" s="292"/>
    </row>
    <row r="129" spans="3:3" ht="15.75" customHeight="1">
      <c r="C129" s="292"/>
    </row>
    <row r="130" spans="3:3" ht="15.75" customHeight="1">
      <c r="C130" s="292"/>
    </row>
    <row r="131" spans="3:3" ht="15.75" customHeight="1">
      <c r="C131" s="292"/>
    </row>
    <row r="132" spans="3:3" ht="15.75" customHeight="1">
      <c r="C132" s="292"/>
    </row>
    <row r="133" spans="3:3" ht="15.75" customHeight="1">
      <c r="C133" s="292"/>
    </row>
    <row r="134" spans="3:3" ht="15.75" customHeight="1">
      <c r="C134" s="292"/>
    </row>
    <row r="135" spans="3:3" ht="15.75" customHeight="1">
      <c r="C135" s="292"/>
    </row>
    <row r="136" spans="3:3" ht="15.75" customHeight="1">
      <c r="C136" s="292"/>
    </row>
    <row r="137" spans="3:3" ht="15.75" customHeight="1">
      <c r="C137" s="292"/>
    </row>
    <row r="138" spans="3:3" ht="15.75" customHeight="1">
      <c r="C138" s="292"/>
    </row>
    <row r="139" spans="3:3" ht="15.75" customHeight="1">
      <c r="C139" s="292"/>
    </row>
    <row r="140" spans="3:3" ht="15.75" customHeight="1">
      <c r="C140" s="292"/>
    </row>
    <row r="141" spans="3:3" ht="15.75" customHeight="1">
      <c r="C141" s="292"/>
    </row>
    <row r="142" spans="3:3" ht="15.75" customHeight="1">
      <c r="C142" s="292"/>
    </row>
    <row r="143" spans="3:3" ht="15.75" customHeight="1">
      <c r="C143" s="292"/>
    </row>
    <row r="144" spans="3:3" ht="15.75" customHeight="1">
      <c r="C144" s="292"/>
    </row>
    <row r="145" spans="3:3" ht="15.75" customHeight="1">
      <c r="C145" s="292"/>
    </row>
    <row r="146" spans="3:3" ht="15.75" customHeight="1">
      <c r="C146" s="292"/>
    </row>
    <row r="147" spans="3:3" ht="15.75" customHeight="1">
      <c r="C147" s="292"/>
    </row>
    <row r="148" spans="3:3" ht="15.75" customHeight="1">
      <c r="C148" s="292"/>
    </row>
    <row r="149" spans="3:3" ht="15.75" customHeight="1">
      <c r="C149" s="292"/>
    </row>
    <row r="150" spans="3:3" ht="15.75" customHeight="1">
      <c r="C150" s="292"/>
    </row>
    <row r="151" spans="3:3" ht="15.75" customHeight="1">
      <c r="C151" s="292"/>
    </row>
    <row r="152" spans="3:3" ht="15.75" customHeight="1">
      <c r="C152" s="292"/>
    </row>
    <row r="153" spans="3:3" ht="15.75" customHeight="1">
      <c r="C153" s="292"/>
    </row>
    <row r="154" spans="3:3" ht="15.75" customHeight="1">
      <c r="C154" s="292"/>
    </row>
    <row r="155" spans="3:3" ht="15.75" customHeight="1">
      <c r="C155" s="292"/>
    </row>
    <row r="156" spans="3:3" ht="15.75" customHeight="1">
      <c r="C156" s="292"/>
    </row>
    <row r="157" spans="3:3" ht="15.75" customHeight="1">
      <c r="C157" s="292"/>
    </row>
    <row r="158" spans="3:3" ht="15.75" customHeight="1">
      <c r="C158" s="292"/>
    </row>
    <row r="159" spans="3:3" ht="15.75" customHeight="1">
      <c r="C159" s="292"/>
    </row>
    <row r="160" spans="3:3" ht="15.75" customHeight="1">
      <c r="C160" s="292"/>
    </row>
    <row r="161" spans="3:3" ht="15.75" customHeight="1">
      <c r="C161" s="292"/>
    </row>
    <row r="162" spans="3:3" ht="15.75" customHeight="1">
      <c r="C162" s="292"/>
    </row>
    <row r="163" spans="3:3" ht="15.75" customHeight="1">
      <c r="C163" s="292"/>
    </row>
    <row r="164" spans="3:3" ht="15.75" customHeight="1">
      <c r="C164" s="292"/>
    </row>
    <row r="165" spans="3:3" ht="15.75" customHeight="1">
      <c r="C165" s="292"/>
    </row>
    <row r="166" spans="3:3" ht="15.75" customHeight="1">
      <c r="C166" s="292"/>
    </row>
    <row r="167" spans="3:3" ht="15.75" customHeight="1">
      <c r="C167" s="292"/>
    </row>
    <row r="168" spans="3:3" ht="15.75" customHeight="1">
      <c r="C168" s="292"/>
    </row>
    <row r="169" spans="3:3" ht="15.75" customHeight="1">
      <c r="C169" s="292"/>
    </row>
    <row r="170" spans="3:3" ht="15.75" customHeight="1">
      <c r="C170" s="292"/>
    </row>
    <row r="171" spans="3:3" ht="15.75" customHeight="1">
      <c r="C171" s="292"/>
    </row>
    <row r="172" spans="3:3" ht="15.75" customHeight="1">
      <c r="C172" s="292"/>
    </row>
    <row r="173" spans="3:3" ht="15.75" customHeight="1">
      <c r="C173" s="292"/>
    </row>
    <row r="174" spans="3:3" ht="15.75" customHeight="1">
      <c r="C174" s="292"/>
    </row>
    <row r="175" spans="3:3" ht="15.75" customHeight="1">
      <c r="C175" s="292"/>
    </row>
    <row r="176" spans="3:3" ht="15.75" customHeight="1">
      <c r="C176" s="292"/>
    </row>
    <row r="177" spans="3:3" ht="15.75" customHeight="1">
      <c r="C177" s="292"/>
    </row>
    <row r="178" spans="3:3" ht="15.75" customHeight="1">
      <c r="C178" s="292"/>
    </row>
    <row r="179" spans="3:3" ht="15.75" customHeight="1">
      <c r="C179" s="292"/>
    </row>
    <row r="180" spans="3:3" ht="15.75" customHeight="1">
      <c r="C180" s="292"/>
    </row>
    <row r="181" spans="3:3" ht="15.75" customHeight="1">
      <c r="C181" s="292"/>
    </row>
    <row r="182" spans="3:3" ht="15.75" customHeight="1">
      <c r="C182" s="292"/>
    </row>
    <row r="183" spans="3:3" ht="15.75" customHeight="1">
      <c r="C183" s="292"/>
    </row>
    <row r="184" spans="3:3" ht="15.75" customHeight="1">
      <c r="C184" s="292"/>
    </row>
    <row r="185" spans="3:3" ht="15.75" customHeight="1">
      <c r="C185" s="292"/>
    </row>
    <row r="186" spans="3:3" ht="15.75" customHeight="1">
      <c r="C186" s="292"/>
    </row>
    <row r="187" spans="3:3" ht="15.75" customHeight="1">
      <c r="C187" s="292"/>
    </row>
    <row r="188" spans="3:3" ht="15.75" customHeight="1">
      <c r="C188" s="292"/>
    </row>
    <row r="189" spans="3:3" ht="15.75" customHeight="1">
      <c r="C189" s="292"/>
    </row>
    <row r="190" spans="3:3" ht="15.75" customHeight="1">
      <c r="C190" s="292"/>
    </row>
    <row r="191" spans="3:3" ht="15.75" customHeight="1">
      <c r="C191" s="292"/>
    </row>
    <row r="192" spans="3:3" ht="15.75" customHeight="1">
      <c r="C192" s="292"/>
    </row>
    <row r="193" spans="3:3" ht="15.75" customHeight="1">
      <c r="C193" s="292"/>
    </row>
    <row r="194" spans="3:3" ht="15.75" customHeight="1">
      <c r="C194" s="292"/>
    </row>
    <row r="195" spans="3:3" ht="15.75" customHeight="1">
      <c r="C195" s="292"/>
    </row>
    <row r="196" spans="3:3" ht="15.75" customHeight="1">
      <c r="C196" s="292"/>
    </row>
    <row r="197" spans="3:3" ht="15.75" customHeight="1">
      <c r="C197" s="292"/>
    </row>
    <row r="198" spans="3:3" ht="15.75" customHeight="1">
      <c r="C198" s="292"/>
    </row>
    <row r="199" spans="3:3" ht="15.75" customHeight="1">
      <c r="C199" s="292"/>
    </row>
    <row r="200" spans="3:3" ht="15.75" customHeight="1">
      <c r="C200" s="292"/>
    </row>
    <row r="201" spans="3:3" ht="15.75" customHeight="1">
      <c r="C201" s="292"/>
    </row>
    <row r="202" spans="3:3" ht="15.75" customHeight="1">
      <c r="C202" s="292"/>
    </row>
    <row r="203" spans="3:3" ht="15.75" customHeight="1">
      <c r="C203" s="292"/>
    </row>
    <row r="204" spans="3:3" ht="15.75" customHeight="1">
      <c r="C204" s="292"/>
    </row>
    <row r="205" spans="3:3" ht="15.75" customHeight="1">
      <c r="C205" s="292"/>
    </row>
    <row r="206" spans="3:3" ht="15.75" customHeight="1">
      <c r="C206" s="292"/>
    </row>
    <row r="207" spans="3:3" ht="15.75" customHeight="1">
      <c r="C207" s="292"/>
    </row>
    <row r="208" spans="3:3" ht="15.75" customHeight="1">
      <c r="C208" s="292"/>
    </row>
    <row r="209" spans="3:3" ht="15.75" customHeight="1">
      <c r="C209" s="292"/>
    </row>
    <row r="210" spans="3:3" ht="15.75" customHeight="1">
      <c r="C210" s="292"/>
    </row>
    <row r="211" spans="3:3" ht="15.75" customHeight="1">
      <c r="C211" s="292"/>
    </row>
    <row r="212" spans="3:3" ht="15.75" customHeight="1">
      <c r="C212" s="292"/>
    </row>
    <row r="213" spans="3:3" ht="15.75" customHeight="1">
      <c r="C213" s="292"/>
    </row>
    <row r="214" spans="3:3" ht="15.75" customHeight="1">
      <c r="C214" s="292"/>
    </row>
    <row r="215" spans="3:3" ht="15.75" customHeight="1">
      <c r="C215" s="292"/>
    </row>
    <row r="216" spans="3:3" ht="15.75" customHeight="1">
      <c r="C216" s="292"/>
    </row>
    <row r="217" spans="3:3" ht="15.75" customHeight="1">
      <c r="C217" s="292"/>
    </row>
    <row r="218" spans="3:3" ht="15.75" customHeight="1">
      <c r="C218" s="292"/>
    </row>
    <row r="219" spans="3:3" ht="15.75" customHeight="1">
      <c r="C219" s="292"/>
    </row>
    <row r="220" spans="3:3" ht="15.75" customHeight="1">
      <c r="C220" s="292"/>
    </row>
    <row r="221" spans="3:3" ht="15.75" customHeight="1">
      <c r="C221" s="292"/>
    </row>
    <row r="222" spans="3:3" ht="15.75" customHeight="1">
      <c r="C222" s="292"/>
    </row>
    <row r="223" spans="3:3" ht="15.75" customHeight="1">
      <c r="C223" s="292"/>
    </row>
    <row r="224" spans="3:3" ht="15.75" customHeight="1">
      <c r="C224" s="292"/>
    </row>
    <row r="225" spans="3:3" ht="15.75" customHeight="1">
      <c r="C225" s="292"/>
    </row>
    <row r="226" spans="3:3" ht="15.75" customHeight="1">
      <c r="C226" s="292"/>
    </row>
    <row r="227" spans="3:3" ht="15.75" customHeight="1">
      <c r="C227" s="292"/>
    </row>
    <row r="228" spans="3:3" ht="15.75" customHeight="1">
      <c r="C228" s="292"/>
    </row>
    <row r="229" spans="3:3" ht="15.75" customHeight="1">
      <c r="C229" s="292"/>
    </row>
    <row r="230" spans="3:3" ht="15.75" customHeight="1">
      <c r="C230" s="292"/>
    </row>
    <row r="231" spans="3:3" ht="15.75" customHeight="1">
      <c r="C231" s="292"/>
    </row>
    <row r="232" spans="3:3" ht="15.75" customHeight="1">
      <c r="C232" s="292"/>
    </row>
    <row r="233" spans="3:3" ht="15.75" customHeight="1">
      <c r="C233" s="292"/>
    </row>
    <row r="234" spans="3:3" ht="15.75" customHeight="1">
      <c r="C234" s="292"/>
    </row>
    <row r="235" spans="3:3" ht="15.75" customHeight="1">
      <c r="C235" s="292"/>
    </row>
    <row r="236" spans="3:3" ht="15.75" customHeight="1">
      <c r="C236" s="292"/>
    </row>
    <row r="237" spans="3:3" ht="15.75" customHeight="1">
      <c r="C237" s="292"/>
    </row>
    <row r="238" spans="3:3" ht="15.75" customHeight="1">
      <c r="C238" s="292"/>
    </row>
    <row r="239" spans="3:3" ht="15.75" customHeight="1">
      <c r="C239" s="292"/>
    </row>
    <row r="240" spans="3:3" ht="15.75" customHeight="1">
      <c r="C240" s="292"/>
    </row>
    <row r="241" spans="3:3" ht="15.75" customHeight="1">
      <c r="C241" s="292"/>
    </row>
    <row r="242" spans="3:3" ht="15.75" customHeight="1">
      <c r="C242" s="292"/>
    </row>
    <row r="243" spans="3:3" ht="15.75" customHeight="1">
      <c r="C243" s="292"/>
    </row>
    <row r="244" spans="3:3" ht="15.75" customHeight="1">
      <c r="C244" s="292"/>
    </row>
    <row r="245" spans="3:3" ht="15.75" customHeight="1">
      <c r="C245" s="292"/>
    </row>
    <row r="246" spans="3:3" ht="15.75" customHeight="1">
      <c r="C246" s="292"/>
    </row>
    <row r="247" spans="3:3" ht="15.75" customHeight="1">
      <c r="C247" s="292"/>
    </row>
    <row r="248" spans="3:3" ht="15.75" customHeight="1">
      <c r="C248" s="292"/>
    </row>
    <row r="249" spans="3:3" ht="15.75" customHeight="1">
      <c r="C249" s="292"/>
    </row>
    <row r="250" spans="3:3" ht="15.75" customHeight="1">
      <c r="C250" s="292"/>
    </row>
    <row r="251" spans="3:3" ht="15.75" customHeight="1">
      <c r="C251" s="292"/>
    </row>
    <row r="252" spans="3:3" ht="15.75" customHeight="1">
      <c r="C252" s="292"/>
    </row>
    <row r="253" spans="3:3" ht="15.75" customHeight="1">
      <c r="C253" s="292"/>
    </row>
    <row r="254" spans="3:3" ht="15.75" customHeight="1">
      <c r="C254" s="292"/>
    </row>
    <row r="255" spans="3:3" ht="15.75" customHeight="1">
      <c r="C255" s="292"/>
    </row>
    <row r="256" spans="3:3" ht="15.75" customHeight="1">
      <c r="C256" s="292"/>
    </row>
    <row r="257" spans="3:3" ht="15.75" customHeight="1">
      <c r="C257" s="292"/>
    </row>
    <row r="258" spans="3:3" ht="15.75" customHeight="1">
      <c r="C258" s="292"/>
    </row>
    <row r="259" spans="3:3" ht="15.75" customHeight="1">
      <c r="C259" s="292"/>
    </row>
    <row r="260" spans="3:3" ht="15.75" customHeight="1">
      <c r="C260" s="292"/>
    </row>
    <row r="261" spans="3:3" ht="15.75" customHeight="1">
      <c r="C261" s="292"/>
    </row>
    <row r="262" spans="3:3" ht="15.75" customHeight="1">
      <c r="C262" s="292"/>
    </row>
    <row r="263" spans="3:3" ht="15.75" customHeight="1">
      <c r="C263" s="292"/>
    </row>
    <row r="264" spans="3:3" ht="15.75" customHeight="1">
      <c r="C264" s="292"/>
    </row>
    <row r="265" spans="3:3" ht="15.75" customHeight="1">
      <c r="C265" s="292"/>
    </row>
    <row r="266" spans="3:3" ht="15.75" customHeight="1">
      <c r="C266" s="292"/>
    </row>
    <row r="267" spans="3:3" ht="15.75" customHeight="1">
      <c r="C267" s="292"/>
    </row>
    <row r="268" spans="3:3" ht="15.75" customHeight="1">
      <c r="C268" s="292"/>
    </row>
    <row r="269" spans="3:3" ht="15.75" customHeight="1">
      <c r="C269" s="292"/>
    </row>
    <row r="270" spans="3:3" ht="15.75" customHeight="1">
      <c r="C270" s="292"/>
    </row>
    <row r="271" spans="3:3" ht="15.75" customHeight="1">
      <c r="C271" s="292"/>
    </row>
    <row r="272" spans="3:3" ht="15.75" customHeight="1">
      <c r="C272" s="292"/>
    </row>
    <row r="273" spans="3:3" ht="15.75" customHeight="1">
      <c r="C273" s="292"/>
    </row>
    <row r="274" spans="3:3" ht="15.75" customHeight="1">
      <c r="C274" s="292"/>
    </row>
    <row r="275" spans="3:3" ht="15.75" customHeight="1">
      <c r="C275" s="292"/>
    </row>
    <row r="276" spans="3:3" ht="15.75" customHeight="1">
      <c r="C276" s="292"/>
    </row>
    <row r="277" spans="3:3" ht="15.75" customHeight="1">
      <c r="C277" s="292"/>
    </row>
    <row r="278" spans="3:3" ht="15.75" customHeight="1">
      <c r="C278" s="292"/>
    </row>
    <row r="279" spans="3:3" ht="15.75" customHeight="1">
      <c r="C279" s="292"/>
    </row>
    <row r="280" spans="3:3" ht="15.75" customHeight="1">
      <c r="C280" s="292"/>
    </row>
    <row r="281" spans="3:3" ht="15.75" customHeight="1">
      <c r="C281" s="292"/>
    </row>
    <row r="282" spans="3:3" ht="15.75" customHeight="1">
      <c r="C282" s="292"/>
    </row>
    <row r="283" spans="3:3" ht="15.75" customHeight="1">
      <c r="C283" s="292"/>
    </row>
    <row r="284" spans="3:3" ht="15.75" customHeight="1">
      <c r="C284" s="292"/>
    </row>
    <row r="285" spans="3:3" ht="15.75" customHeight="1">
      <c r="C285" s="292"/>
    </row>
    <row r="286" spans="3:3" ht="15.75" customHeight="1">
      <c r="C286" s="292"/>
    </row>
    <row r="287" spans="3:3" ht="15.75" customHeight="1">
      <c r="C287" s="292"/>
    </row>
    <row r="288" spans="3:3" ht="15.75" customHeight="1">
      <c r="C288" s="292"/>
    </row>
    <row r="289" spans="3:3" ht="15.75" customHeight="1">
      <c r="C289" s="292"/>
    </row>
    <row r="290" spans="3:3" ht="15.75" customHeight="1">
      <c r="C290" s="292"/>
    </row>
    <row r="291" spans="3:3" ht="15.75" customHeight="1">
      <c r="C291" s="292"/>
    </row>
    <row r="292" spans="3:3" ht="15.75" customHeight="1">
      <c r="C292" s="292"/>
    </row>
    <row r="293" spans="3:3" ht="15.75" customHeight="1">
      <c r="C293" s="292"/>
    </row>
    <row r="294" spans="3:3" ht="15.75" customHeight="1">
      <c r="C294" s="292"/>
    </row>
    <row r="295" spans="3:3" ht="15.75" customHeight="1">
      <c r="C295" s="292"/>
    </row>
    <row r="296" spans="3:3" ht="15.75" customHeight="1">
      <c r="C296" s="292"/>
    </row>
    <row r="297" spans="3:3" ht="15.75" customHeight="1">
      <c r="C297" s="292"/>
    </row>
    <row r="298" spans="3:3" ht="15.75" customHeight="1">
      <c r="C298" s="292"/>
    </row>
    <row r="299" spans="3:3" ht="15.75" customHeight="1">
      <c r="C299" s="292"/>
    </row>
    <row r="300" spans="3:3" ht="15.75" customHeight="1">
      <c r="C300" s="292"/>
    </row>
    <row r="301" spans="3:3" ht="15.75" customHeight="1">
      <c r="C301" s="292"/>
    </row>
    <row r="302" spans="3:3" ht="15.75" customHeight="1">
      <c r="C302" s="292"/>
    </row>
    <row r="303" spans="3:3" ht="15.75" customHeight="1">
      <c r="C303" s="292"/>
    </row>
    <row r="304" spans="3:3" ht="15.75" customHeight="1">
      <c r="C304" s="292"/>
    </row>
    <row r="305" spans="3:3" ht="15.75" customHeight="1">
      <c r="C305" s="292"/>
    </row>
    <row r="306" spans="3:3" ht="15.75" customHeight="1">
      <c r="C306" s="292"/>
    </row>
    <row r="307" spans="3:3" ht="15.75" customHeight="1">
      <c r="C307" s="292"/>
    </row>
    <row r="308" spans="3:3" ht="15.75" customHeight="1">
      <c r="C308" s="292"/>
    </row>
    <row r="309" spans="3:3" ht="15.75" customHeight="1">
      <c r="C309" s="292"/>
    </row>
    <row r="310" spans="3:3" ht="15.75" customHeight="1">
      <c r="C310" s="292"/>
    </row>
    <row r="311" spans="3:3" ht="15.75" customHeight="1">
      <c r="C311" s="292"/>
    </row>
    <row r="312" spans="3:3" ht="15.75" customHeight="1">
      <c r="C312" s="292"/>
    </row>
    <row r="313" spans="3:3" ht="15.75" customHeight="1">
      <c r="C313" s="292"/>
    </row>
    <row r="314" spans="3:3" ht="15.75" customHeight="1">
      <c r="C314" s="292"/>
    </row>
    <row r="315" spans="3:3" ht="15.75" customHeight="1">
      <c r="C315" s="292"/>
    </row>
    <row r="316" spans="3:3" ht="15.75" customHeight="1">
      <c r="C316" s="292"/>
    </row>
    <row r="317" spans="3:3" ht="15.75" customHeight="1">
      <c r="C317" s="292"/>
    </row>
    <row r="318" spans="3:3" ht="15.75" customHeight="1">
      <c r="C318" s="292"/>
    </row>
    <row r="319" spans="3:3" ht="15.75" customHeight="1">
      <c r="C319" s="292"/>
    </row>
    <row r="320" spans="3:3" ht="15.75" customHeight="1">
      <c r="C320" s="292"/>
    </row>
    <row r="321" spans="3:3" ht="15.75" customHeight="1">
      <c r="C321" s="292"/>
    </row>
    <row r="322" spans="3:3" ht="15.75" customHeight="1">
      <c r="C322" s="292"/>
    </row>
    <row r="323" spans="3:3" ht="15.75" customHeight="1">
      <c r="C323" s="292"/>
    </row>
    <row r="324" spans="3:3" ht="15.75" customHeight="1">
      <c r="C324" s="292"/>
    </row>
    <row r="325" spans="3:3" ht="15.75" customHeight="1">
      <c r="C325" s="292"/>
    </row>
    <row r="326" spans="3:3" ht="15.75" customHeight="1">
      <c r="C326" s="292"/>
    </row>
    <row r="327" spans="3:3" ht="15.75" customHeight="1">
      <c r="C327" s="292"/>
    </row>
    <row r="328" spans="3:3" ht="15.75" customHeight="1">
      <c r="C328" s="292"/>
    </row>
    <row r="329" spans="3:3" ht="15.75" customHeight="1">
      <c r="C329" s="292"/>
    </row>
    <row r="330" spans="3:3" ht="15.75" customHeight="1">
      <c r="C330" s="292"/>
    </row>
    <row r="331" spans="3:3" ht="15.75" customHeight="1">
      <c r="C331" s="292"/>
    </row>
    <row r="332" spans="3:3" ht="15.75" customHeight="1">
      <c r="C332" s="292"/>
    </row>
    <row r="333" spans="3:3" ht="15.75" customHeight="1">
      <c r="C333" s="292"/>
    </row>
    <row r="334" spans="3:3" ht="15.75" customHeight="1">
      <c r="C334" s="292"/>
    </row>
    <row r="335" spans="3:3" ht="15.75" customHeight="1">
      <c r="C335" s="292"/>
    </row>
    <row r="336" spans="3:3" ht="15.75" customHeight="1">
      <c r="C336" s="292"/>
    </row>
    <row r="337" spans="3:3" ht="15.75" customHeight="1">
      <c r="C337" s="292"/>
    </row>
    <row r="338" spans="3:3" ht="15.75" customHeight="1">
      <c r="C338" s="292"/>
    </row>
    <row r="339" spans="3:3" ht="15.75" customHeight="1">
      <c r="C339" s="292"/>
    </row>
    <row r="340" spans="3:3" ht="15.75" customHeight="1">
      <c r="C340" s="292"/>
    </row>
    <row r="341" spans="3:3" ht="15.75" customHeight="1">
      <c r="C341" s="292"/>
    </row>
    <row r="342" spans="3:3" ht="15.75" customHeight="1">
      <c r="C342" s="292"/>
    </row>
    <row r="343" spans="3:3" ht="15.75" customHeight="1">
      <c r="C343" s="292"/>
    </row>
    <row r="344" spans="3:3" ht="15.75" customHeight="1">
      <c r="C344" s="292"/>
    </row>
    <row r="345" spans="3:3" ht="15.75" customHeight="1">
      <c r="C345" s="292"/>
    </row>
    <row r="346" spans="3:3" ht="15.75" customHeight="1">
      <c r="C346" s="292"/>
    </row>
    <row r="347" spans="3:3" ht="15.75" customHeight="1">
      <c r="C347" s="292"/>
    </row>
    <row r="348" spans="3:3" ht="15.75" customHeight="1">
      <c r="C348" s="292"/>
    </row>
    <row r="349" spans="3:3" ht="15.75" customHeight="1">
      <c r="C349" s="292"/>
    </row>
    <row r="350" spans="3:3" ht="15.75" customHeight="1">
      <c r="C350" s="292"/>
    </row>
    <row r="351" spans="3:3" ht="15.75" customHeight="1">
      <c r="C351" s="292"/>
    </row>
    <row r="352" spans="3:3" ht="15.75" customHeight="1">
      <c r="C352" s="292"/>
    </row>
    <row r="353" spans="3:3" ht="15.75" customHeight="1">
      <c r="C353" s="292"/>
    </row>
    <row r="354" spans="3:3" ht="15.75" customHeight="1">
      <c r="C354" s="292"/>
    </row>
    <row r="355" spans="3:3" ht="15.75" customHeight="1">
      <c r="C355" s="292"/>
    </row>
    <row r="356" spans="3:3" ht="15.75" customHeight="1">
      <c r="C356" s="292"/>
    </row>
    <row r="357" spans="3:3" ht="15.75" customHeight="1">
      <c r="C357" s="292"/>
    </row>
    <row r="358" spans="3:3" ht="15.75" customHeight="1">
      <c r="C358" s="292"/>
    </row>
    <row r="359" spans="3:3" ht="15.75" customHeight="1">
      <c r="C359" s="292"/>
    </row>
    <row r="360" spans="3:3" ht="15.75" customHeight="1">
      <c r="C360" s="292"/>
    </row>
    <row r="361" spans="3:3" ht="15.75" customHeight="1">
      <c r="C361" s="292"/>
    </row>
    <row r="362" spans="3:3" ht="15.75" customHeight="1">
      <c r="C362" s="292"/>
    </row>
    <row r="363" spans="3:3" ht="15.75" customHeight="1">
      <c r="C363" s="292"/>
    </row>
    <row r="364" spans="3:3" ht="15.75" customHeight="1">
      <c r="C364" s="292"/>
    </row>
    <row r="365" spans="3:3" ht="15.75" customHeight="1">
      <c r="C365" s="292"/>
    </row>
    <row r="366" spans="3:3" ht="15.75" customHeight="1">
      <c r="C366" s="292"/>
    </row>
    <row r="367" spans="3:3" ht="15.75" customHeight="1">
      <c r="C367" s="292"/>
    </row>
    <row r="368" spans="3:3" ht="15.75" customHeight="1">
      <c r="C368" s="292"/>
    </row>
    <row r="369" spans="3:3" ht="15.75" customHeight="1">
      <c r="C369" s="292"/>
    </row>
    <row r="370" spans="3:3" ht="15.75" customHeight="1">
      <c r="C370" s="292"/>
    </row>
    <row r="371" spans="3:3" ht="15.75" customHeight="1">
      <c r="C371" s="292"/>
    </row>
    <row r="372" spans="3:3" ht="15.75" customHeight="1">
      <c r="C372" s="292"/>
    </row>
    <row r="373" spans="3:3" ht="15.75" customHeight="1">
      <c r="C373" s="292"/>
    </row>
    <row r="374" spans="3:3" ht="15.75" customHeight="1">
      <c r="C374" s="292"/>
    </row>
    <row r="375" spans="3:3" ht="15.75" customHeight="1">
      <c r="C375" s="292"/>
    </row>
    <row r="376" spans="3:3" ht="15.75" customHeight="1">
      <c r="C376" s="292"/>
    </row>
    <row r="377" spans="3:3" ht="15.75" customHeight="1">
      <c r="C377" s="292"/>
    </row>
    <row r="378" spans="3:3" ht="15.75" customHeight="1">
      <c r="C378" s="292"/>
    </row>
    <row r="379" spans="3:3" ht="15.75" customHeight="1">
      <c r="C379" s="292"/>
    </row>
    <row r="380" spans="3:3" ht="15.75" customHeight="1">
      <c r="C380" s="292"/>
    </row>
    <row r="381" spans="3:3" ht="15.75" customHeight="1">
      <c r="C381" s="292"/>
    </row>
    <row r="382" spans="3:3" ht="15.75" customHeight="1">
      <c r="C382" s="292"/>
    </row>
    <row r="383" spans="3:3" ht="15.75" customHeight="1">
      <c r="C383" s="292"/>
    </row>
    <row r="384" spans="3:3" ht="15.75" customHeight="1">
      <c r="C384" s="292"/>
    </row>
    <row r="385" spans="3:3" ht="15.75" customHeight="1">
      <c r="C385" s="292"/>
    </row>
    <row r="386" spans="3:3" ht="15.75" customHeight="1">
      <c r="C386" s="292"/>
    </row>
    <row r="387" spans="3:3" ht="15.75" customHeight="1">
      <c r="C387" s="292"/>
    </row>
    <row r="388" spans="3:3" ht="15.75" customHeight="1">
      <c r="C388" s="292"/>
    </row>
    <row r="389" spans="3:3" ht="15.75" customHeight="1">
      <c r="C389" s="292"/>
    </row>
    <row r="390" spans="3:3" ht="15.75" customHeight="1">
      <c r="C390" s="292"/>
    </row>
    <row r="391" spans="3:3" ht="15.75" customHeight="1">
      <c r="C391" s="292"/>
    </row>
    <row r="392" spans="3:3" ht="15.75" customHeight="1">
      <c r="C392" s="292"/>
    </row>
    <row r="393" spans="3:3" ht="15.75" customHeight="1">
      <c r="C393" s="292"/>
    </row>
    <row r="394" spans="3:3" ht="15.75" customHeight="1">
      <c r="C394" s="292"/>
    </row>
    <row r="395" spans="3:3" ht="15.75" customHeight="1">
      <c r="C395" s="292"/>
    </row>
    <row r="396" spans="3:3" ht="15.75" customHeight="1">
      <c r="C396" s="292"/>
    </row>
    <row r="397" spans="3:3" ht="15.75" customHeight="1">
      <c r="C397" s="292"/>
    </row>
    <row r="398" spans="3:3" ht="15.75" customHeight="1">
      <c r="C398" s="292"/>
    </row>
    <row r="399" spans="3:3" ht="15.75" customHeight="1">
      <c r="C399" s="292"/>
    </row>
    <row r="400" spans="3:3" ht="15.75" customHeight="1">
      <c r="C400" s="292"/>
    </row>
    <row r="401" spans="3:3" ht="15.75" customHeight="1">
      <c r="C401" s="292"/>
    </row>
    <row r="402" spans="3:3" ht="15.75" customHeight="1">
      <c r="C402" s="292"/>
    </row>
    <row r="403" spans="3:3" ht="15.75" customHeight="1">
      <c r="C403" s="292"/>
    </row>
    <row r="404" spans="3:3" ht="15.75" customHeight="1">
      <c r="C404" s="292"/>
    </row>
    <row r="405" spans="3:3" ht="15.75" customHeight="1">
      <c r="C405" s="292"/>
    </row>
    <row r="406" spans="3:3" ht="15.75" customHeight="1">
      <c r="C406" s="292"/>
    </row>
    <row r="407" spans="3:3" ht="15.75" customHeight="1">
      <c r="C407" s="292"/>
    </row>
    <row r="408" spans="3:3" ht="15.75" customHeight="1">
      <c r="C408" s="292"/>
    </row>
    <row r="409" spans="3:3" ht="15.75" customHeight="1">
      <c r="C409" s="292"/>
    </row>
    <row r="410" spans="3:3" ht="15.75" customHeight="1">
      <c r="C410" s="292"/>
    </row>
    <row r="411" spans="3:3" ht="15.75" customHeight="1">
      <c r="C411" s="292"/>
    </row>
    <row r="412" spans="3:3" ht="15.75" customHeight="1">
      <c r="C412" s="292"/>
    </row>
    <row r="413" spans="3:3" ht="15.75" customHeight="1">
      <c r="C413" s="292"/>
    </row>
    <row r="414" spans="3:3" ht="15.75" customHeight="1">
      <c r="C414" s="292"/>
    </row>
    <row r="415" spans="3:3" ht="15.75" customHeight="1">
      <c r="C415" s="292"/>
    </row>
    <row r="416" spans="3:3" ht="15.75" customHeight="1">
      <c r="C416" s="292"/>
    </row>
    <row r="417" spans="3:3" ht="15.75" customHeight="1">
      <c r="C417" s="292"/>
    </row>
    <row r="418" spans="3:3" ht="15.75" customHeight="1">
      <c r="C418" s="292"/>
    </row>
    <row r="419" spans="3:3" ht="15.75" customHeight="1">
      <c r="C419" s="292"/>
    </row>
    <row r="420" spans="3:3" ht="15.75" customHeight="1">
      <c r="C420" s="292"/>
    </row>
    <row r="421" spans="3:3" ht="15.75" customHeight="1">
      <c r="C421" s="292"/>
    </row>
    <row r="422" spans="3:3" ht="15.75" customHeight="1">
      <c r="C422" s="292"/>
    </row>
    <row r="423" spans="3:3" ht="15.75" customHeight="1">
      <c r="C423" s="292"/>
    </row>
    <row r="424" spans="3:3" ht="15.75" customHeight="1">
      <c r="C424" s="292"/>
    </row>
    <row r="425" spans="3:3" ht="15.75" customHeight="1">
      <c r="C425" s="292"/>
    </row>
    <row r="426" spans="3:3" ht="15.75" customHeight="1">
      <c r="C426" s="292"/>
    </row>
    <row r="427" spans="3:3" ht="15.75" customHeight="1">
      <c r="C427" s="292"/>
    </row>
    <row r="428" spans="3:3" ht="15.75" customHeight="1">
      <c r="C428" s="292"/>
    </row>
    <row r="429" spans="3:3" ht="15.75" customHeight="1">
      <c r="C429" s="292"/>
    </row>
    <row r="430" spans="3:3" ht="15.75" customHeight="1">
      <c r="C430" s="292"/>
    </row>
    <row r="431" spans="3:3" ht="15.75" customHeight="1">
      <c r="C431" s="292"/>
    </row>
    <row r="432" spans="3:3" ht="15.75" customHeight="1">
      <c r="C432" s="292"/>
    </row>
    <row r="433" spans="3:3" ht="15.75" customHeight="1">
      <c r="C433" s="292"/>
    </row>
    <row r="434" spans="3:3" ht="15.75" customHeight="1">
      <c r="C434" s="292"/>
    </row>
    <row r="435" spans="3:3" ht="15.75" customHeight="1">
      <c r="C435" s="292"/>
    </row>
    <row r="436" spans="3:3" ht="15.75" customHeight="1">
      <c r="C436" s="292"/>
    </row>
    <row r="437" spans="3:3" ht="15.75" customHeight="1">
      <c r="C437" s="292"/>
    </row>
    <row r="438" spans="3:3" ht="15.75" customHeight="1">
      <c r="C438" s="292"/>
    </row>
    <row r="439" spans="3:3" ht="15.75" customHeight="1">
      <c r="C439" s="292"/>
    </row>
    <row r="440" spans="3:3" ht="15.75" customHeight="1">
      <c r="C440" s="292"/>
    </row>
    <row r="441" spans="3:3" ht="15.75" customHeight="1">
      <c r="C441" s="292"/>
    </row>
    <row r="442" spans="3:3" ht="15.75" customHeight="1">
      <c r="C442" s="292"/>
    </row>
    <row r="443" spans="3:3" ht="15.75" customHeight="1">
      <c r="C443" s="292"/>
    </row>
    <row r="444" spans="3:3" ht="15.75" customHeight="1">
      <c r="C444" s="292"/>
    </row>
    <row r="445" spans="3:3" ht="15.75" customHeight="1">
      <c r="C445" s="292"/>
    </row>
    <row r="446" spans="3:3" ht="15.75" customHeight="1">
      <c r="C446" s="292"/>
    </row>
    <row r="447" spans="3:3" ht="15.75" customHeight="1">
      <c r="C447" s="292"/>
    </row>
    <row r="448" spans="3:3" ht="15.75" customHeight="1">
      <c r="C448" s="292"/>
    </row>
    <row r="449" spans="3:3" ht="15.75" customHeight="1">
      <c r="C449" s="292"/>
    </row>
    <row r="450" spans="3:3" ht="15.75" customHeight="1">
      <c r="C450" s="292"/>
    </row>
    <row r="451" spans="3:3" ht="15.75" customHeight="1">
      <c r="C451" s="292"/>
    </row>
    <row r="452" spans="3:3" ht="15.75" customHeight="1">
      <c r="C452" s="292"/>
    </row>
    <row r="453" spans="3:3" ht="15.75" customHeight="1">
      <c r="C453" s="292"/>
    </row>
    <row r="454" spans="3:3" ht="15.75" customHeight="1">
      <c r="C454" s="292"/>
    </row>
    <row r="455" spans="3:3" ht="15.75" customHeight="1">
      <c r="C455" s="292"/>
    </row>
    <row r="456" spans="3:3" ht="15.75" customHeight="1">
      <c r="C456" s="292"/>
    </row>
    <row r="457" spans="3:3" ht="15.75" customHeight="1">
      <c r="C457" s="292"/>
    </row>
    <row r="458" spans="3:3" ht="15.75" customHeight="1">
      <c r="C458" s="292"/>
    </row>
    <row r="459" spans="3:3" ht="15.75" customHeight="1">
      <c r="C459" s="292"/>
    </row>
    <row r="460" spans="3:3" ht="15.75" customHeight="1">
      <c r="C460" s="292"/>
    </row>
    <row r="461" spans="3:3" ht="15.75" customHeight="1">
      <c r="C461" s="292"/>
    </row>
    <row r="462" spans="3:3" ht="15.75" customHeight="1">
      <c r="C462" s="292"/>
    </row>
    <row r="463" spans="3:3" ht="15.75" customHeight="1">
      <c r="C463" s="292"/>
    </row>
    <row r="464" spans="3:3" ht="15.75" customHeight="1">
      <c r="C464" s="292"/>
    </row>
    <row r="465" spans="3:3" ht="15.75" customHeight="1">
      <c r="C465" s="292"/>
    </row>
    <row r="466" spans="3:3" ht="15.75" customHeight="1">
      <c r="C466" s="292"/>
    </row>
    <row r="467" spans="3:3" ht="15.75" customHeight="1">
      <c r="C467" s="292"/>
    </row>
    <row r="468" spans="3:3" ht="15.75" customHeight="1">
      <c r="C468" s="292"/>
    </row>
    <row r="469" spans="3:3" ht="15.75" customHeight="1">
      <c r="C469" s="292"/>
    </row>
    <row r="470" spans="3:3" ht="15.75" customHeight="1">
      <c r="C470" s="292"/>
    </row>
    <row r="471" spans="3:3" ht="15.75" customHeight="1">
      <c r="C471" s="292"/>
    </row>
    <row r="472" spans="3:3" ht="15.75" customHeight="1">
      <c r="C472" s="292"/>
    </row>
    <row r="473" spans="3:3" ht="15.75" customHeight="1">
      <c r="C473" s="292"/>
    </row>
    <row r="474" spans="3:3" ht="15.75" customHeight="1">
      <c r="C474" s="292"/>
    </row>
    <row r="475" spans="3:3" ht="15.75" customHeight="1">
      <c r="C475" s="292"/>
    </row>
    <row r="476" spans="3:3" ht="15.75" customHeight="1">
      <c r="C476" s="292"/>
    </row>
    <row r="477" spans="3:3" ht="15.75" customHeight="1">
      <c r="C477" s="292"/>
    </row>
    <row r="478" spans="3:3" ht="15.75" customHeight="1">
      <c r="C478" s="292"/>
    </row>
    <row r="479" spans="3:3" ht="15.75" customHeight="1">
      <c r="C479" s="292"/>
    </row>
    <row r="480" spans="3:3" ht="15.75" customHeight="1">
      <c r="C480" s="292"/>
    </row>
    <row r="481" spans="3:3" ht="15.75" customHeight="1">
      <c r="C481" s="292"/>
    </row>
    <row r="482" spans="3:3" ht="15.75" customHeight="1">
      <c r="C482" s="292"/>
    </row>
    <row r="483" spans="3:3" ht="15.75" customHeight="1">
      <c r="C483" s="292"/>
    </row>
    <row r="484" spans="3:3" ht="15.75" customHeight="1">
      <c r="C484" s="292"/>
    </row>
    <row r="485" spans="3:3" ht="15.75" customHeight="1">
      <c r="C485" s="292"/>
    </row>
    <row r="486" spans="3:3" ht="15.75" customHeight="1">
      <c r="C486" s="292"/>
    </row>
    <row r="487" spans="3:3" ht="15.75" customHeight="1">
      <c r="C487" s="292"/>
    </row>
    <row r="488" spans="3:3" ht="15.75" customHeight="1">
      <c r="C488" s="292"/>
    </row>
    <row r="489" spans="3:3" ht="15.75" customHeight="1">
      <c r="C489" s="292"/>
    </row>
    <row r="490" spans="3:3" ht="15.75" customHeight="1">
      <c r="C490" s="292"/>
    </row>
    <row r="491" spans="3:3" ht="15.75" customHeight="1">
      <c r="C491" s="292"/>
    </row>
    <row r="492" spans="3:3" ht="15.75" customHeight="1">
      <c r="C492" s="292"/>
    </row>
    <row r="493" spans="3:3" ht="15.75" customHeight="1">
      <c r="C493" s="292"/>
    </row>
    <row r="494" spans="3:3" ht="15.75" customHeight="1">
      <c r="C494" s="292"/>
    </row>
    <row r="495" spans="3:3" ht="15.75" customHeight="1">
      <c r="C495" s="292"/>
    </row>
    <row r="496" spans="3:3" ht="15.75" customHeight="1">
      <c r="C496" s="292"/>
    </row>
    <row r="497" spans="3:3" ht="15.75" customHeight="1">
      <c r="C497" s="292"/>
    </row>
    <row r="498" spans="3:3" ht="15.75" customHeight="1">
      <c r="C498" s="292"/>
    </row>
    <row r="499" spans="3:3" ht="15.75" customHeight="1">
      <c r="C499" s="292"/>
    </row>
    <row r="500" spans="3:3" ht="15.75" customHeight="1">
      <c r="C500" s="292"/>
    </row>
    <row r="501" spans="3:3" ht="15.75" customHeight="1">
      <c r="C501" s="292"/>
    </row>
    <row r="502" spans="3:3" ht="15.75" customHeight="1">
      <c r="C502" s="292"/>
    </row>
    <row r="503" spans="3:3" ht="15.75" customHeight="1">
      <c r="C503" s="292"/>
    </row>
    <row r="504" spans="3:3" ht="15.75" customHeight="1">
      <c r="C504" s="292"/>
    </row>
    <row r="505" spans="3:3" ht="15.75" customHeight="1">
      <c r="C505" s="292"/>
    </row>
    <row r="506" spans="3:3" ht="15.75" customHeight="1">
      <c r="C506" s="292"/>
    </row>
    <row r="507" spans="3:3" ht="15.75" customHeight="1">
      <c r="C507" s="292"/>
    </row>
    <row r="508" spans="3:3" ht="15.75" customHeight="1">
      <c r="C508" s="292"/>
    </row>
    <row r="509" spans="3:3" ht="15.75" customHeight="1">
      <c r="C509" s="292"/>
    </row>
    <row r="510" spans="3:3" ht="15.75" customHeight="1">
      <c r="C510" s="292"/>
    </row>
    <row r="511" spans="3:3" ht="15.75" customHeight="1">
      <c r="C511" s="292"/>
    </row>
    <row r="512" spans="3:3" ht="15.75" customHeight="1">
      <c r="C512" s="292"/>
    </row>
    <row r="513" spans="3:3" ht="15.75" customHeight="1">
      <c r="C513" s="292"/>
    </row>
    <row r="514" spans="3:3" ht="15.75" customHeight="1">
      <c r="C514" s="292"/>
    </row>
    <row r="515" spans="3:3" ht="15.75" customHeight="1">
      <c r="C515" s="292"/>
    </row>
    <row r="516" spans="3:3" ht="15.75" customHeight="1">
      <c r="C516" s="292"/>
    </row>
    <row r="517" spans="3:3" ht="15.75" customHeight="1">
      <c r="C517" s="292"/>
    </row>
    <row r="518" spans="3:3" ht="15.75" customHeight="1">
      <c r="C518" s="292"/>
    </row>
    <row r="519" spans="3:3" ht="15.75" customHeight="1">
      <c r="C519" s="292"/>
    </row>
    <row r="520" spans="3:3" ht="15.75" customHeight="1">
      <c r="C520" s="292"/>
    </row>
    <row r="521" spans="3:3" ht="15.75" customHeight="1">
      <c r="C521" s="292"/>
    </row>
    <row r="522" spans="3:3" ht="15.75" customHeight="1">
      <c r="C522" s="292"/>
    </row>
    <row r="523" spans="3:3" ht="15.75" customHeight="1">
      <c r="C523" s="292"/>
    </row>
    <row r="524" spans="3:3" ht="15.75" customHeight="1">
      <c r="C524" s="292"/>
    </row>
    <row r="525" spans="3:3" ht="15.75" customHeight="1">
      <c r="C525" s="292"/>
    </row>
    <row r="526" spans="3:3" ht="15.75" customHeight="1">
      <c r="C526" s="292"/>
    </row>
    <row r="527" spans="3:3" ht="15.75" customHeight="1">
      <c r="C527" s="292"/>
    </row>
    <row r="528" spans="3:3" ht="15.75" customHeight="1">
      <c r="C528" s="292"/>
    </row>
    <row r="529" spans="3:3" ht="15.75" customHeight="1">
      <c r="C529" s="292"/>
    </row>
    <row r="530" spans="3:3" ht="15.75" customHeight="1">
      <c r="C530" s="292"/>
    </row>
    <row r="531" spans="3:3" ht="15.75" customHeight="1">
      <c r="C531" s="292"/>
    </row>
    <row r="532" spans="3:3" ht="15.75" customHeight="1">
      <c r="C532" s="292"/>
    </row>
    <row r="533" spans="3:3" ht="15.75" customHeight="1">
      <c r="C533" s="292"/>
    </row>
    <row r="534" spans="3:3" ht="15.75" customHeight="1">
      <c r="C534" s="292"/>
    </row>
    <row r="535" spans="3:3" ht="15.75" customHeight="1">
      <c r="C535" s="292"/>
    </row>
    <row r="536" spans="3:3" ht="15.75" customHeight="1">
      <c r="C536" s="292"/>
    </row>
    <row r="537" spans="3:3" ht="15.75" customHeight="1">
      <c r="C537" s="292"/>
    </row>
    <row r="538" spans="3:3" ht="15.75" customHeight="1">
      <c r="C538" s="292"/>
    </row>
    <row r="539" spans="3:3" ht="15.75" customHeight="1">
      <c r="C539" s="292"/>
    </row>
    <row r="540" spans="3:3" ht="15.75" customHeight="1">
      <c r="C540" s="292"/>
    </row>
    <row r="541" spans="3:3" ht="15.75" customHeight="1">
      <c r="C541" s="292"/>
    </row>
    <row r="542" spans="3:3" ht="15.75" customHeight="1">
      <c r="C542" s="292"/>
    </row>
    <row r="543" spans="3:3" ht="15.75" customHeight="1">
      <c r="C543" s="292"/>
    </row>
    <row r="544" spans="3:3" ht="15.75" customHeight="1">
      <c r="C544" s="292"/>
    </row>
    <row r="545" spans="3:3" ht="15.75" customHeight="1">
      <c r="C545" s="292"/>
    </row>
    <row r="546" spans="3:3" ht="15.75" customHeight="1">
      <c r="C546" s="292"/>
    </row>
    <row r="547" spans="3:3" ht="15.75" customHeight="1">
      <c r="C547" s="292"/>
    </row>
    <row r="548" spans="3:3" ht="15.75" customHeight="1">
      <c r="C548" s="292"/>
    </row>
    <row r="549" spans="3:3" ht="15.75" customHeight="1">
      <c r="C549" s="292"/>
    </row>
    <row r="550" spans="3:3" ht="15.75" customHeight="1">
      <c r="C550" s="292"/>
    </row>
    <row r="551" spans="3:3" ht="15.75" customHeight="1">
      <c r="C551" s="292"/>
    </row>
    <row r="552" spans="3:3" ht="15.75" customHeight="1">
      <c r="C552" s="292"/>
    </row>
    <row r="553" spans="3:3" ht="15.75" customHeight="1">
      <c r="C553" s="292"/>
    </row>
    <row r="554" spans="3:3" ht="15.75" customHeight="1">
      <c r="C554" s="292"/>
    </row>
    <row r="555" spans="3:3" ht="15.75" customHeight="1">
      <c r="C555" s="292"/>
    </row>
    <row r="556" spans="3:3" ht="15.75" customHeight="1">
      <c r="C556" s="292"/>
    </row>
    <row r="557" spans="3:3" ht="15.75" customHeight="1">
      <c r="C557" s="292"/>
    </row>
    <row r="558" spans="3:3" ht="15.75" customHeight="1">
      <c r="C558" s="292"/>
    </row>
    <row r="559" spans="3:3" ht="15.75" customHeight="1">
      <c r="C559" s="292"/>
    </row>
    <row r="560" spans="3:3" ht="15.75" customHeight="1">
      <c r="C560" s="292"/>
    </row>
    <row r="561" spans="3:3" ht="15.75" customHeight="1">
      <c r="C561" s="292"/>
    </row>
    <row r="562" spans="3:3" ht="15.75" customHeight="1">
      <c r="C562" s="292"/>
    </row>
    <row r="563" spans="3:3" ht="15.75" customHeight="1">
      <c r="C563" s="292"/>
    </row>
    <row r="564" spans="3:3" ht="15.75" customHeight="1">
      <c r="C564" s="292"/>
    </row>
    <row r="565" spans="3:3" ht="15.75" customHeight="1">
      <c r="C565" s="292"/>
    </row>
    <row r="566" spans="3:3" ht="15.75" customHeight="1">
      <c r="C566" s="292"/>
    </row>
    <row r="567" spans="3:3" ht="15.75" customHeight="1">
      <c r="C567" s="292"/>
    </row>
    <row r="568" spans="3:3" ht="15.75" customHeight="1">
      <c r="C568" s="292"/>
    </row>
    <row r="569" spans="3:3" ht="15.75" customHeight="1">
      <c r="C569" s="292"/>
    </row>
    <row r="570" spans="3:3" ht="15.75" customHeight="1">
      <c r="C570" s="292"/>
    </row>
    <row r="571" spans="3:3" ht="15.75" customHeight="1">
      <c r="C571" s="292"/>
    </row>
    <row r="572" spans="3:3" ht="15.75" customHeight="1">
      <c r="C572" s="292"/>
    </row>
    <row r="573" spans="3:3" ht="15.75" customHeight="1">
      <c r="C573" s="292"/>
    </row>
    <row r="574" spans="3:3" ht="15.75" customHeight="1">
      <c r="C574" s="292"/>
    </row>
    <row r="575" spans="3:3" ht="15.75" customHeight="1">
      <c r="C575" s="292"/>
    </row>
    <row r="576" spans="3:3" ht="15.75" customHeight="1">
      <c r="C576" s="292"/>
    </row>
    <row r="577" spans="3:3" ht="15.75" customHeight="1">
      <c r="C577" s="292"/>
    </row>
    <row r="578" spans="3:3" ht="15.75" customHeight="1">
      <c r="C578" s="292"/>
    </row>
    <row r="579" spans="3:3" ht="15.75" customHeight="1">
      <c r="C579" s="292"/>
    </row>
    <row r="580" spans="3:3" ht="15.75" customHeight="1">
      <c r="C580" s="292"/>
    </row>
    <row r="581" spans="3:3" ht="15.75" customHeight="1">
      <c r="C581" s="292"/>
    </row>
    <row r="582" spans="3:3" ht="15.75" customHeight="1">
      <c r="C582" s="292"/>
    </row>
    <row r="583" spans="3:3" ht="15.75" customHeight="1">
      <c r="C583" s="292"/>
    </row>
    <row r="584" spans="3:3" ht="15.75" customHeight="1">
      <c r="C584" s="292"/>
    </row>
    <row r="585" spans="3:3" ht="15.75" customHeight="1">
      <c r="C585" s="292"/>
    </row>
    <row r="586" spans="3:3" ht="15.75" customHeight="1">
      <c r="C586" s="292"/>
    </row>
    <row r="587" spans="3:3" ht="15.75" customHeight="1">
      <c r="C587" s="292"/>
    </row>
    <row r="588" spans="3:3" ht="15.75" customHeight="1">
      <c r="C588" s="292"/>
    </row>
    <row r="589" spans="3:3" ht="15.75" customHeight="1">
      <c r="C589" s="292"/>
    </row>
    <row r="590" spans="3:3" ht="15.75" customHeight="1">
      <c r="C590" s="292"/>
    </row>
    <row r="591" spans="3:3" ht="15.75" customHeight="1">
      <c r="C591" s="292"/>
    </row>
    <row r="592" spans="3:3" ht="15.75" customHeight="1">
      <c r="C592" s="292"/>
    </row>
    <row r="593" spans="3:3" ht="15.75" customHeight="1">
      <c r="C593" s="292"/>
    </row>
    <row r="594" spans="3:3" ht="15.75" customHeight="1">
      <c r="C594" s="292"/>
    </row>
    <row r="595" spans="3:3" ht="15.75" customHeight="1">
      <c r="C595" s="292"/>
    </row>
    <row r="596" spans="3:3" ht="15.75" customHeight="1">
      <c r="C596" s="292"/>
    </row>
    <row r="597" spans="3:3" ht="15.75" customHeight="1">
      <c r="C597" s="292"/>
    </row>
    <row r="598" spans="3:3" ht="15.75" customHeight="1">
      <c r="C598" s="292"/>
    </row>
    <row r="599" spans="3:3" ht="15.75" customHeight="1">
      <c r="C599" s="292"/>
    </row>
    <row r="600" spans="3:3" ht="15.75" customHeight="1">
      <c r="C600" s="292"/>
    </row>
    <row r="601" spans="3:3" ht="15.75" customHeight="1">
      <c r="C601" s="292"/>
    </row>
    <row r="602" spans="3:3" ht="15.75" customHeight="1">
      <c r="C602" s="292"/>
    </row>
    <row r="603" spans="3:3" ht="15.75" customHeight="1">
      <c r="C603" s="292"/>
    </row>
    <row r="604" spans="3:3" ht="15.75" customHeight="1">
      <c r="C604" s="292"/>
    </row>
    <row r="605" spans="3:3" ht="15.75" customHeight="1">
      <c r="C605" s="292"/>
    </row>
    <row r="606" spans="3:3" ht="15.75" customHeight="1">
      <c r="C606" s="292"/>
    </row>
    <row r="607" spans="3:3" ht="15.75" customHeight="1">
      <c r="C607" s="292"/>
    </row>
    <row r="608" spans="3:3" ht="15.75" customHeight="1">
      <c r="C608" s="292"/>
    </row>
    <row r="609" spans="3:3" ht="15.75" customHeight="1">
      <c r="C609" s="292"/>
    </row>
    <row r="610" spans="3:3" ht="15.75" customHeight="1">
      <c r="C610" s="292"/>
    </row>
    <row r="611" spans="3:3" ht="15.75" customHeight="1">
      <c r="C611" s="292"/>
    </row>
    <row r="612" spans="3:3" ht="15.75" customHeight="1">
      <c r="C612" s="292"/>
    </row>
    <row r="613" spans="3:3" ht="15.75" customHeight="1">
      <c r="C613" s="292"/>
    </row>
    <row r="614" spans="3:3" ht="15.75" customHeight="1">
      <c r="C614" s="292"/>
    </row>
    <row r="615" spans="3:3" ht="15.75" customHeight="1">
      <c r="C615" s="292"/>
    </row>
    <row r="616" spans="3:3" ht="15.75" customHeight="1">
      <c r="C616" s="292"/>
    </row>
    <row r="617" spans="3:3" ht="15.75" customHeight="1">
      <c r="C617" s="292"/>
    </row>
    <row r="618" spans="3:3" ht="15.75" customHeight="1">
      <c r="C618" s="292"/>
    </row>
    <row r="619" spans="3:3" ht="15.75" customHeight="1">
      <c r="C619" s="292"/>
    </row>
    <row r="620" spans="3:3" ht="15.75" customHeight="1">
      <c r="C620" s="292"/>
    </row>
    <row r="621" spans="3:3" ht="15.75" customHeight="1">
      <c r="C621" s="292"/>
    </row>
    <row r="622" spans="3:3" ht="15.75" customHeight="1">
      <c r="C622" s="292"/>
    </row>
    <row r="623" spans="3:3" ht="15.75" customHeight="1">
      <c r="C623" s="292"/>
    </row>
    <row r="624" spans="3:3" ht="15.75" customHeight="1">
      <c r="C624" s="292"/>
    </row>
    <row r="625" spans="3:3" ht="15.75" customHeight="1">
      <c r="C625" s="292"/>
    </row>
    <row r="626" spans="3:3" ht="15.75" customHeight="1">
      <c r="C626" s="292"/>
    </row>
    <row r="627" spans="3:3" ht="15.75" customHeight="1">
      <c r="C627" s="292"/>
    </row>
    <row r="628" spans="3:3" ht="15.75" customHeight="1">
      <c r="C628" s="292"/>
    </row>
    <row r="629" spans="3:3" ht="15.75" customHeight="1">
      <c r="C629" s="292"/>
    </row>
    <row r="630" spans="3:3" ht="15.75" customHeight="1">
      <c r="C630" s="292"/>
    </row>
    <row r="631" spans="3:3" ht="15.75" customHeight="1">
      <c r="C631" s="292"/>
    </row>
    <row r="632" spans="3:3" ht="15.75" customHeight="1">
      <c r="C632" s="292"/>
    </row>
    <row r="633" spans="3:3" ht="15.75" customHeight="1">
      <c r="C633" s="292"/>
    </row>
    <row r="634" spans="3:3" ht="15.75" customHeight="1">
      <c r="C634" s="292"/>
    </row>
    <row r="635" spans="3:3" ht="15.75" customHeight="1">
      <c r="C635" s="292"/>
    </row>
    <row r="636" spans="3:3" ht="15.75" customHeight="1">
      <c r="C636" s="292"/>
    </row>
    <row r="637" spans="3:3" ht="15.75" customHeight="1">
      <c r="C637" s="292"/>
    </row>
    <row r="638" spans="3:3" ht="15.75" customHeight="1">
      <c r="C638" s="292"/>
    </row>
    <row r="639" spans="3:3" ht="15.75" customHeight="1">
      <c r="C639" s="292"/>
    </row>
    <row r="640" spans="3:3" ht="15.75" customHeight="1">
      <c r="C640" s="292"/>
    </row>
    <row r="641" spans="3:3" ht="15.75" customHeight="1">
      <c r="C641" s="292"/>
    </row>
    <row r="642" spans="3:3" ht="15.75" customHeight="1">
      <c r="C642" s="292"/>
    </row>
    <row r="643" spans="3:3" ht="15.75" customHeight="1">
      <c r="C643" s="292"/>
    </row>
    <row r="644" spans="3:3" ht="15.75" customHeight="1">
      <c r="C644" s="292"/>
    </row>
    <row r="645" spans="3:3" ht="15.75" customHeight="1">
      <c r="C645" s="292"/>
    </row>
    <row r="646" spans="3:3" ht="15.75" customHeight="1">
      <c r="C646" s="292"/>
    </row>
    <row r="647" spans="3:3" ht="15.75" customHeight="1">
      <c r="C647" s="292"/>
    </row>
    <row r="648" spans="3:3" ht="15.75" customHeight="1">
      <c r="C648" s="292"/>
    </row>
    <row r="649" spans="3:3" ht="15.75" customHeight="1">
      <c r="C649" s="292"/>
    </row>
    <row r="650" spans="3:3" ht="15.75" customHeight="1">
      <c r="C650" s="292"/>
    </row>
    <row r="651" spans="3:3" ht="15.75" customHeight="1">
      <c r="C651" s="292"/>
    </row>
    <row r="652" spans="3:3" ht="15.75" customHeight="1">
      <c r="C652" s="292"/>
    </row>
    <row r="653" spans="3:3" ht="15.75" customHeight="1">
      <c r="C653" s="292"/>
    </row>
    <row r="654" spans="3:3" ht="15.75" customHeight="1">
      <c r="C654" s="292"/>
    </row>
    <row r="655" spans="3:3" ht="15.75" customHeight="1">
      <c r="C655" s="292"/>
    </row>
    <row r="656" spans="3:3" ht="15.75" customHeight="1">
      <c r="C656" s="292"/>
    </row>
    <row r="657" spans="3:3" ht="15.75" customHeight="1">
      <c r="C657" s="292"/>
    </row>
    <row r="658" spans="3:3" ht="15.75" customHeight="1">
      <c r="C658" s="292"/>
    </row>
    <row r="659" spans="3:3" ht="15.75" customHeight="1">
      <c r="C659" s="292"/>
    </row>
    <row r="660" spans="3:3" ht="15.75" customHeight="1">
      <c r="C660" s="292"/>
    </row>
    <row r="661" spans="3:3" ht="15.75" customHeight="1">
      <c r="C661" s="292"/>
    </row>
    <row r="662" spans="3:3" ht="15.75" customHeight="1">
      <c r="C662" s="292"/>
    </row>
    <row r="663" spans="3:3" ht="15.75" customHeight="1">
      <c r="C663" s="292"/>
    </row>
    <row r="664" spans="3:3" ht="15.75" customHeight="1">
      <c r="C664" s="292"/>
    </row>
    <row r="665" spans="3:3" ht="15.75" customHeight="1">
      <c r="C665" s="292"/>
    </row>
    <row r="666" spans="3:3" ht="15.75" customHeight="1">
      <c r="C666" s="292"/>
    </row>
    <row r="667" spans="3:3" ht="15.75" customHeight="1">
      <c r="C667" s="292"/>
    </row>
    <row r="668" spans="3:3" ht="15.75" customHeight="1">
      <c r="C668" s="292"/>
    </row>
    <row r="669" spans="3:3" ht="15.75" customHeight="1">
      <c r="C669" s="292"/>
    </row>
    <row r="670" spans="3:3" ht="15.75" customHeight="1">
      <c r="C670" s="292"/>
    </row>
    <row r="671" spans="3:3" ht="15.75" customHeight="1">
      <c r="C671" s="292"/>
    </row>
    <row r="672" spans="3:3" ht="15.75" customHeight="1">
      <c r="C672" s="292"/>
    </row>
    <row r="673" spans="3:3" ht="15.75" customHeight="1">
      <c r="C673" s="292"/>
    </row>
    <row r="674" spans="3:3" ht="15.75" customHeight="1">
      <c r="C674" s="292"/>
    </row>
    <row r="675" spans="3:3" ht="15.75" customHeight="1">
      <c r="C675" s="292"/>
    </row>
    <row r="676" spans="3:3" ht="15.75" customHeight="1">
      <c r="C676" s="292"/>
    </row>
    <row r="677" spans="3:3" ht="15.75" customHeight="1">
      <c r="C677" s="292"/>
    </row>
    <row r="678" spans="3:3" ht="15.75" customHeight="1">
      <c r="C678" s="292"/>
    </row>
    <row r="679" spans="3:3" ht="15.75" customHeight="1">
      <c r="C679" s="292"/>
    </row>
    <row r="680" spans="3:3" ht="15.75" customHeight="1">
      <c r="C680" s="292"/>
    </row>
    <row r="681" spans="3:3" ht="15.75" customHeight="1">
      <c r="C681" s="292"/>
    </row>
    <row r="682" spans="3:3" ht="15.75" customHeight="1">
      <c r="C682" s="292"/>
    </row>
    <row r="683" spans="3:3" ht="15.75" customHeight="1">
      <c r="C683" s="292"/>
    </row>
    <row r="684" spans="3:3" ht="15.75" customHeight="1">
      <c r="C684" s="292"/>
    </row>
    <row r="685" spans="3:3" ht="15.75" customHeight="1">
      <c r="C685" s="292"/>
    </row>
    <row r="686" spans="3:3" ht="15.75" customHeight="1">
      <c r="C686" s="292"/>
    </row>
    <row r="687" spans="3:3" ht="15.75" customHeight="1">
      <c r="C687" s="292"/>
    </row>
    <row r="688" spans="3:3" ht="15.75" customHeight="1">
      <c r="C688" s="292"/>
    </row>
    <row r="689" spans="3:3" ht="15.75" customHeight="1">
      <c r="C689" s="292"/>
    </row>
    <row r="690" spans="3:3" ht="15.75" customHeight="1">
      <c r="C690" s="292"/>
    </row>
    <row r="691" spans="3:3" ht="15.75" customHeight="1">
      <c r="C691" s="292"/>
    </row>
    <row r="692" spans="3:3" ht="15.75" customHeight="1">
      <c r="C692" s="292"/>
    </row>
    <row r="693" spans="3:3" ht="15.75" customHeight="1">
      <c r="C693" s="292"/>
    </row>
    <row r="694" spans="3:3" ht="15.75" customHeight="1">
      <c r="C694" s="292"/>
    </row>
    <row r="695" spans="3:3" ht="15.75" customHeight="1">
      <c r="C695" s="292"/>
    </row>
    <row r="696" spans="3:3" ht="15.75" customHeight="1">
      <c r="C696" s="292"/>
    </row>
    <row r="697" spans="3:3" ht="15.75" customHeight="1">
      <c r="C697" s="292"/>
    </row>
    <row r="698" spans="3:3" ht="15.75" customHeight="1">
      <c r="C698" s="292"/>
    </row>
    <row r="699" spans="3:3" ht="15.75" customHeight="1">
      <c r="C699" s="292"/>
    </row>
    <row r="700" spans="3:3" ht="15.75" customHeight="1">
      <c r="C700" s="292"/>
    </row>
    <row r="701" spans="3:3" ht="15.75" customHeight="1">
      <c r="C701" s="292"/>
    </row>
    <row r="702" spans="3:3" ht="15.75" customHeight="1">
      <c r="C702" s="292"/>
    </row>
    <row r="703" spans="3:3" ht="15.75" customHeight="1">
      <c r="C703" s="292"/>
    </row>
    <row r="704" spans="3:3" ht="15.75" customHeight="1">
      <c r="C704" s="292"/>
    </row>
    <row r="705" spans="3:3" ht="15.75" customHeight="1">
      <c r="C705" s="292"/>
    </row>
    <row r="706" spans="3:3" ht="15.75" customHeight="1">
      <c r="C706" s="292"/>
    </row>
    <row r="707" spans="3:3" ht="15.75" customHeight="1">
      <c r="C707" s="292"/>
    </row>
    <row r="708" spans="3:3" ht="15.75" customHeight="1">
      <c r="C708" s="292"/>
    </row>
    <row r="709" spans="3:3" ht="15.75" customHeight="1">
      <c r="C709" s="292"/>
    </row>
    <row r="710" spans="3:3" ht="15.75" customHeight="1">
      <c r="C710" s="292"/>
    </row>
    <row r="711" spans="3:3" ht="15.75" customHeight="1">
      <c r="C711" s="292"/>
    </row>
    <row r="712" spans="3:3" ht="15.75" customHeight="1">
      <c r="C712" s="292"/>
    </row>
    <row r="713" spans="3:3" ht="15.75" customHeight="1">
      <c r="C713" s="292"/>
    </row>
    <row r="714" spans="3:3" ht="15.75" customHeight="1">
      <c r="C714" s="292"/>
    </row>
    <row r="715" spans="3:3" ht="15.75" customHeight="1">
      <c r="C715" s="292"/>
    </row>
    <row r="716" spans="3:3" ht="15.75" customHeight="1">
      <c r="C716" s="292"/>
    </row>
    <row r="717" spans="3:3" ht="15.75" customHeight="1">
      <c r="C717" s="292"/>
    </row>
    <row r="718" spans="3:3" ht="15.75" customHeight="1">
      <c r="C718" s="292"/>
    </row>
    <row r="719" spans="3:3" ht="15.75" customHeight="1">
      <c r="C719" s="292"/>
    </row>
    <row r="720" spans="3:3" ht="15.75" customHeight="1">
      <c r="C720" s="292"/>
    </row>
    <row r="721" spans="3:3" ht="15.75" customHeight="1">
      <c r="C721" s="292"/>
    </row>
    <row r="722" spans="3:3" ht="15.75" customHeight="1">
      <c r="C722" s="292"/>
    </row>
    <row r="723" spans="3:3" ht="15.75" customHeight="1">
      <c r="C723" s="292"/>
    </row>
    <row r="724" spans="3:3" ht="15.75" customHeight="1">
      <c r="C724" s="292"/>
    </row>
    <row r="725" spans="3:3" ht="15.75" customHeight="1">
      <c r="C725" s="292"/>
    </row>
    <row r="726" spans="3:3" ht="15.75" customHeight="1">
      <c r="C726" s="292"/>
    </row>
    <row r="727" spans="3:3" ht="15.75" customHeight="1">
      <c r="C727" s="292"/>
    </row>
    <row r="728" spans="3:3" ht="15.75" customHeight="1">
      <c r="C728" s="292"/>
    </row>
    <row r="729" spans="3:3" ht="15.75" customHeight="1">
      <c r="C729" s="292"/>
    </row>
    <row r="730" spans="3:3" ht="15.75" customHeight="1">
      <c r="C730" s="292"/>
    </row>
    <row r="731" spans="3:3" ht="15.75" customHeight="1">
      <c r="C731" s="292"/>
    </row>
    <row r="732" spans="3:3" ht="15.75" customHeight="1">
      <c r="C732" s="292"/>
    </row>
    <row r="733" spans="3:3" ht="15.75" customHeight="1">
      <c r="C733" s="292"/>
    </row>
    <row r="734" spans="3:3" ht="15.75" customHeight="1">
      <c r="C734" s="292"/>
    </row>
    <row r="735" spans="3:3" ht="15.75" customHeight="1">
      <c r="C735" s="292"/>
    </row>
    <row r="736" spans="3:3" ht="15.75" customHeight="1">
      <c r="C736" s="292"/>
    </row>
    <row r="737" spans="3:3" ht="15.75" customHeight="1">
      <c r="C737" s="292"/>
    </row>
    <row r="738" spans="3:3" ht="15.75" customHeight="1">
      <c r="C738" s="292"/>
    </row>
    <row r="739" spans="3:3" ht="15.75" customHeight="1">
      <c r="C739" s="292"/>
    </row>
    <row r="740" spans="3:3" ht="15.75" customHeight="1">
      <c r="C740" s="292"/>
    </row>
    <row r="741" spans="3:3" ht="15.75" customHeight="1">
      <c r="C741" s="292"/>
    </row>
    <row r="742" spans="3:3" ht="15.75" customHeight="1">
      <c r="C742" s="292"/>
    </row>
    <row r="743" spans="3:3" ht="15.75" customHeight="1">
      <c r="C743" s="292"/>
    </row>
    <row r="744" spans="3:3" ht="15.75" customHeight="1">
      <c r="C744" s="292"/>
    </row>
    <row r="745" spans="3:3" ht="15.75" customHeight="1">
      <c r="C745" s="292"/>
    </row>
    <row r="746" spans="3:3" ht="15.75" customHeight="1">
      <c r="C746" s="292"/>
    </row>
    <row r="747" spans="3:3" ht="15.75" customHeight="1">
      <c r="C747" s="292"/>
    </row>
    <row r="748" spans="3:3" ht="15.75" customHeight="1">
      <c r="C748" s="292"/>
    </row>
    <row r="749" spans="3:3" ht="15.75" customHeight="1">
      <c r="C749" s="292"/>
    </row>
    <row r="750" spans="3:3" ht="15.75" customHeight="1">
      <c r="C750" s="292"/>
    </row>
    <row r="751" spans="3:3" ht="15.75" customHeight="1">
      <c r="C751" s="292"/>
    </row>
    <row r="752" spans="3:3" ht="15.75" customHeight="1">
      <c r="C752" s="292"/>
    </row>
    <row r="753" spans="3:3" ht="15.75" customHeight="1">
      <c r="C753" s="292"/>
    </row>
    <row r="754" spans="3:3" ht="15.75" customHeight="1">
      <c r="C754" s="292"/>
    </row>
    <row r="755" spans="3:3" ht="15.75" customHeight="1">
      <c r="C755" s="292"/>
    </row>
    <row r="756" spans="3:3" ht="15.75" customHeight="1">
      <c r="C756" s="292"/>
    </row>
    <row r="757" spans="3:3" ht="15.75" customHeight="1">
      <c r="C757" s="292"/>
    </row>
    <row r="758" spans="3:3" ht="15.75" customHeight="1">
      <c r="C758" s="292"/>
    </row>
    <row r="759" spans="3:3" ht="15.75" customHeight="1">
      <c r="C759" s="292"/>
    </row>
    <row r="760" spans="3:3" ht="15.75" customHeight="1">
      <c r="C760" s="292"/>
    </row>
    <row r="761" spans="3:3" ht="15.75" customHeight="1">
      <c r="C761" s="292"/>
    </row>
    <row r="762" spans="3:3" ht="15.75" customHeight="1">
      <c r="C762" s="292"/>
    </row>
    <row r="763" spans="3:3" ht="15.75" customHeight="1">
      <c r="C763" s="292"/>
    </row>
    <row r="764" spans="3:3" ht="15.75" customHeight="1">
      <c r="C764" s="292"/>
    </row>
    <row r="765" spans="3:3" ht="15.75" customHeight="1">
      <c r="C765" s="292"/>
    </row>
    <row r="766" spans="3:3" ht="15.75" customHeight="1">
      <c r="C766" s="292"/>
    </row>
    <row r="767" spans="3:3" ht="15.75" customHeight="1">
      <c r="C767" s="292"/>
    </row>
    <row r="768" spans="3:3" ht="15.75" customHeight="1">
      <c r="C768" s="292"/>
    </row>
    <row r="769" spans="3:3" ht="15.75" customHeight="1">
      <c r="C769" s="292"/>
    </row>
    <row r="770" spans="3:3" ht="15.75" customHeight="1">
      <c r="C770" s="292"/>
    </row>
    <row r="771" spans="3:3" ht="15.75" customHeight="1">
      <c r="C771" s="292"/>
    </row>
    <row r="772" spans="3:3" ht="15.75" customHeight="1">
      <c r="C772" s="292"/>
    </row>
    <row r="773" spans="3:3" ht="15.75" customHeight="1">
      <c r="C773" s="292"/>
    </row>
    <row r="774" spans="3:3" ht="15.75" customHeight="1">
      <c r="C774" s="292"/>
    </row>
    <row r="775" spans="3:3" ht="15.75" customHeight="1">
      <c r="C775" s="292"/>
    </row>
    <row r="776" spans="3:3" ht="15.75" customHeight="1">
      <c r="C776" s="292"/>
    </row>
    <row r="777" spans="3:3" ht="15.75" customHeight="1">
      <c r="C777" s="292"/>
    </row>
    <row r="778" spans="3:3" ht="15.75" customHeight="1">
      <c r="C778" s="292"/>
    </row>
    <row r="779" spans="3:3" ht="15.75" customHeight="1">
      <c r="C779" s="292"/>
    </row>
    <row r="780" spans="3:3" ht="15.75" customHeight="1">
      <c r="C780" s="292"/>
    </row>
    <row r="781" spans="3:3" ht="15.75" customHeight="1">
      <c r="C781" s="292"/>
    </row>
    <row r="782" spans="3:3" ht="15.75" customHeight="1">
      <c r="C782" s="292"/>
    </row>
    <row r="783" spans="3:3" ht="15.75" customHeight="1">
      <c r="C783" s="292"/>
    </row>
    <row r="784" spans="3:3" ht="15.75" customHeight="1">
      <c r="C784" s="292"/>
    </row>
    <row r="785" spans="3:3" ht="15.75" customHeight="1">
      <c r="C785" s="292"/>
    </row>
    <row r="786" spans="3:3" ht="15.75" customHeight="1">
      <c r="C786" s="292"/>
    </row>
    <row r="787" spans="3:3" ht="15.75" customHeight="1">
      <c r="C787" s="292"/>
    </row>
    <row r="788" spans="3:3" ht="15.75" customHeight="1">
      <c r="C788" s="292"/>
    </row>
    <row r="789" spans="3:3" ht="15.75" customHeight="1">
      <c r="C789" s="292"/>
    </row>
    <row r="790" spans="3:3" ht="15.75" customHeight="1">
      <c r="C790" s="292"/>
    </row>
    <row r="791" spans="3:3" ht="15.75" customHeight="1">
      <c r="C791" s="292"/>
    </row>
    <row r="792" spans="3:3" ht="15.75" customHeight="1">
      <c r="C792" s="292"/>
    </row>
    <row r="793" spans="3:3" ht="15.75" customHeight="1">
      <c r="C793" s="292"/>
    </row>
    <row r="794" spans="3:3" ht="15.75" customHeight="1">
      <c r="C794" s="292"/>
    </row>
    <row r="795" spans="3:3" ht="15.75" customHeight="1">
      <c r="C795" s="292"/>
    </row>
    <row r="796" spans="3:3" ht="15.75" customHeight="1">
      <c r="C796" s="292"/>
    </row>
    <row r="797" spans="3:3" ht="15.75" customHeight="1">
      <c r="C797" s="292"/>
    </row>
    <row r="798" spans="3:3" ht="15.75" customHeight="1">
      <c r="C798" s="292"/>
    </row>
    <row r="799" spans="3:3" ht="15.75" customHeight="1">
      <c r="C799" s="292"/>
    </row>
    <row r="800" spans="3:3" ht="15.75" customHeight="1">
      <c r="C800" s="292"/>
    </row>
    <row r="801" spans="3:3" ht="15.75" customHeight="1">
      <c r="C801" s="292"/>
    </row>
    <row r="802" spans="3:3" ht="15.75" customHeight="1">
      <c r="C802" s="292"/>
    </row>
    <row r="803" spans="3:3" ht="15.75" customHeight="1">
      <c r="C803" s="292"/>
    </row>
    <row r="804" spans="3:3" ht="15.75" customHeight="1">
      <c r="C804" s="292"/>
    </row>
    <row r="805" spans="3:3" ht="15.75" customHeight="1">
      <c r="C805" s="292"/>
    </row>
    <row r="806" spans="3:3" ht="15.75" customHeight="1">
      <c r="C806" s="292"/>
    </row>
    <row r="807" spans="3:3" ht="15.75" customHeight="1">
      <c r="C807" s="292"/>
    </row>
    <row r="808" spans="3:3" ht="15.75" customHeight="1">
      <c r="C808" s="292"/>
    </row>
    <row r="809" spans="3:3" ht="15.75" customHeight="1">
      <c r="C809" s="292"/>
    </row>
    <row r="810" spans="3:3" ht="15.75" customHeight="1">
      <c r="C810" s="292"/>
    </row>
    <row r="811" spans="3:3" ht="15.75" customHeight="1">
      <c r="C811" s="292"/>
    </row>
    <row r="812" spans="3:3" ht="15.75" customHeight="1">
      <c r="C812" s="292"/>
    </row>
    <row r="813" spans="3:3" ht="15.75" customHeight="1">
      <c r="C813" s="292"/>
    </row>
    <row r="814" spans="3:3" ht="15.75" customHeight="1">
      <c r="C814" s="292"/>
    </row>
    <row r="815" spans="3:3" ht="15.75" customHeight="1">
      <c r="C815" s="292"/>
    </row>
    <row r="816" spans="3:3" ht="15.75" customHeight="1">
      <c r="C816" s="292"/>
    </row>
    <row r="817" spans="3:3" ht="15.75" customHeight="1">
      <c r="C817" s="292"/>
    </row>
    <row r="818" spans="3:3" ht="15.75" customHeight="1">
      <c r="C818" s="292"/>
    </row>
    <row r="819" spans="3:3" ht="15.75" customHeight="1">
      <c r="C819" s="292"/>
    </row>
    <row r="820" spans="3:3" ht="15.75" customHeight="1">
      <c r="C820" s="292"/>
    </row>
    <row r="821" spans="3:3" ht="15.75" customHeight="1">
      <c r="C821" s="292"/>
    </row>
    <row r="822" spans="3:3" ht="15.75" customHeight="1">
      <c r="C822" s="292"/>
    </row>
    <row r="823" spans="3:3" ht="15.75" customHeight="1">
      <c r="C823" s="292"/>
    </row>
    <row r="824" spans="3:3" ht="15.75" customHeight="1">
      <c r="C824" s="292"/>
    </row>
    <row r="825" spans="3:3" ht="15.75" customHeight="1">
      <c r="C825" s="292"/>
    </row>
    <row r="826" spans="3:3" ht="15.75" customHeight="1">
      <c r="C826" s="292"/>
    </row>
    <row r="827" spans="3:3" ht="15.75" customHeight="1">
      <c r="C827" s="292"/>
    </row>
    <row r="828" spans="3:3" ht="15.75" customHeight="1">
      <c r="C828" s="292"/>
    </row>
    <row r="829" spans="3:3" ht="15.75" customHeight="1">
      <c r="C829" s="292"/>
    </row>
    <row r="830" spans="3:3" ht="15.75" customHeight="1">
      <c r="C830" s="292"/>
    </row>
    <row r="831" spans="3:3" ht="15.75" customHeight="1">
      <c r="C831" s="292"/>
    </row>
    <row r="832" spans="3:3" ht="15.75" customHeight="1">
      <c r="C832" s="292"/>
    </row>
    <row r="833" spans="3:3" ht="15.75" customHeight="1">
      <c r="C833" s="292"/>
    </row>
  </sheetData>
  <mergeCells count="3">
    <mergeCell ref="C1:G1"/>
    <mergeCell ref="H1:L1"/>
    <mergeCell ref="M1:R1"/>
  </mergeCells>
  <conditionalFormatting sqref="J3:J10">
    <cfRule type="colorScale" priority="5">
      <colorScale>
        <cfvo type="min"/>
        <cfvo type="percentile" val="50"/>
        <cfvo type="max"/>
        <color rgb="FF57BB8A"/>
        <color rgb="FFFFFFFF"/>
        <color rgb="FFE67C73"/>
      </colorScale>
    </cfRule>
  </conditionalFormatting>
  <conditionalFormatting sqref="L3:L10">
    <cfRule type="colorScale" priority="6">
      <colorScale>
        <cfvo type="min"/>
        <cfvo type="max"/>
        <color rgb="FF57BB8A"/>
        <color rgb="FFFFFFFF"/>
      </colorScale>
    </cfRule>
  </conditionalFormatting>
  <conditionalFormatting sqref="M3:R10">
    <cfRule type="cellIs" dxfId="33" priority="1" operator="greaterThan">
      <formula>0</formula>
    </cfRule>
    <cfRule type="cellIs" dxfId="32" priority="2" operator="lessThanOrEqual">
      <formula>0</formula>
    </cfRule>
    <cfRule type="cellIs" dxfId="31" priority="3" operator="greaterThan">
      <formula>0</formula>
    </cfRule>
    <cfRule type="cellIs" dxfId="30" priority="4" operator="lessThanOrEqual">
      <formula>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X905"/>
  <sheetViews>
    <sheetView workbookViewId="0">
      <pane ySplit="2" topLeftCell="A22" activePane="bottomLeft" state="frozen"/>
      <selection pane="bottomLeft" activeCell="E29" sqref="E29"/>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134.88671875" customWidth="1"/>
    <col min="31" max="31" width="6.33203125" customWidth="1"/>
    <col min="32" max="32" width="8" customWidth="1"/>
    <col min="33" max="33" width="14.44140625" customWidth="1"/>
    <col min="34" max="59" width="8" customWidth="1"/>
  </cols>
  <sheetData>
    <row r="1" spans="1:76" ht="15.75" customHeight="1">
      <c r="A1" s="25"/>
      <c r="B1" s="25"/>
      <c r="C1" s="460" t="s">
        <v>24</v>
      </c>
      <c r="D1" s="461"/>
      <c r="E1" s="461"/>
      <c r="F1" s="461"/>
      <c r="G1" s="462"/>
      <c r="H1" s="463" t="s">
        <v>25</v>
      </c>
      <c r="I1" s="461"/>
      <c r="J1" s="461"/>
      <c r="K1" s="461"/>
      <c r="L1" s="461"/>
      <c r="M1" s="461"/>
      <c r="N1" s="461"/>
      <c r="O1" s="461"/>
      <c r="P1" s="461"/>
      <c r="Q1" s="461"/>
      <c r="R1" s="461"/>
      <c r="S1" s="462"/>
      <c r="T1" s="460" t="s">
        <v>26</v>
      </c>
      <c r="U1" s="461"/>
      <c r="V1" s="461"/>
      <c r="W1" s="461"/>
      <c r="X1" s="461"/>
      <c r="Y1" s="462"/>
      <c r="Z1" s="464" t="s">
        <v>27</v>
      </c>
      <c r="AA1" s="465"/>
      <c r="AB1" s="466"/>
      <c r="AC1" s="29"/>
      <c r="AD1" s="31"/>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row>
    <row r="2" spans="1:76" ht="48">
      <c r="A2" s="32"/>
      <c r="B2" s="33" t="s">
        <v>0</v>
      </c>
      <c r="C2" s="34" t="s">
        <v>1</v>
      </c>
      <c r="D2" s="33" t="s">
        <v>29</v>
      </c>
      <c r="E2" s="33" t="s">
        <v>2</v>
      </c>
      <c r="F2" s="33" t="s">
        <v>30</v>
      </c>
      <c r="G2" s="33" t="s">
        <v>31</v>
      </c>
      <c r="H2" s="35" t="s">
        <v>3</v>
      </c>
      <c r="I2" s="35" t="s">
        <v>34</v>
      </c>
      <c r="J2" s="35" t="s">
        <v>35</v>
      </c>
      <c r="K2" s="35" t="s">
        <v>36</v>
      </c>
      <c r="L2" s="35" t="s">
        <v>37</v>
      </c>
      <c r="M2" s="35" t="s">
        <v>38</v>
      </c>
      <c r="N2" s="35" t="s">
        <v>39</v>
      </c>
      <c r="O2" s="35" t="s">
        <v>40</v>
      </c>
      <c r="P2" s="35" t="s">
        <v>41</v>
      </c>
      <c r="Q2" s="36" t="s">
        <v>42</v>
      </c>
      <c r="R2" s="36" t="s">
        <v>43</v>
      </c>
      <c r="S2" s="36" t="s">
        <v>44</v>
      </c>
      <c r="T2" s="37" t="s">
        <v>4</v>
      </c>
      <c r="U2" s="33" t="s">
        <v>45</v>
      </c>
      <c r="V2" s="33" t="s">
        <v>46</v>
      </c>
      <c r="W2" s="33" t="s">
        <v>47</v>
      </c>
      <c r="X2" s="33" t="s">
        <v>48</v>
      </c>
      <c r="Y2" s="33" t="s">
        <v>49</v>
      </c>
      <c r="Z2" s="38" t="s">
        <v>50</v>
      </c>
      <c r="AA2" s="38" t="s">
        <v>172</v>
      </c>
      <c r="AB2" s="38" t="s">
        <v>173</v>
      </c>
      <c r="AC2" s="38" t="s">
        <v>55</v>
      </c>
      <c r="AD2" s="39" t="s">
        <v>57</v>
      </c>
      <c r="AE2" s="40"/>
      <c r="AF2" s="40"/>
      <c r="AG2" s="40"/>
      <c r="AH2" s="40"/>
      <c r="AI2" s="40"/>
      <c r="AJ2" s="40"/>
      <c r="AK2" s="40"/>
      <c r="AL2" s="40"/>
      <c r="AM2" s="40"/>
      <c r="AN2" s="40"/>
      <c r="AO2" s="40"/>
      <c r="AP2" s="40"/>
      <c r="AQ2" s="40"/>
      <c r="AR2" s="40"/>
      <c r="AS2" s="40"/>
      <c r="AT2" s="40"/>
      <c r="AU2" s="40"/>
      <c r="AV2" s="40"/>
      <c r="AW2" s="40"/>
      <c r="AX2" s="40"/>
      <c r="AY2" s="40"/>
      <c r="AZ2" s="40"/>
      <c r="BA2" s="32"/>
      <c r="BB2" s="32"/>
      <c r="BC2" s="32"/>
      <c r="BD2" s="32"/>
      <c r="BE2" s="32"/>
      <c r="BF2" s="32"/>
      <c r="BG2" s="32"/>
      <c r="BH2" s="32"/>
      <c r="BI2" s="32"/>
      <c r="BJ2" s="32"/>
      <c r="BK2" s="32"/>
      <c r="BL2" s="32"/>
      <c r="BM2" s="32"/>
    </row>
    <row r="3" spans="1:76" ht="14.25" customHeight="1">
      <c r="A3" s="167"/>
      <c r="B3" s="302" t="s">
        <v>174</v>
      </c>
      <c r="C3" s="303"/>
      <c r="D3" s="304"/>
      <c r="E3" s="305"/>
      <c r="F3" s="305"/>
      <c r="G3" s="306"/>
      <c r="H3" s="306"/>
      <c r="I3" s="306"/>
      <c r="J3" s="306"/>
      <c r="K3" s="306"/>
      <c r="L3" s="306"/>
      <c r="M3" s="306"/>
      <c r="N3" s="306"/>
      <c r="O3" s="306"/>
      <c r="P3" s="306"/>
      <c r="Q3" s="306"/>
      <c r="R3" s="306"/>
      <c r="S3" s="306"/>
      <c r="T3" s="306"/>
      <c r="U3" s="306"/>
      <c r="V3" s="306"/>
      <c r="W3" s="306"/>
      <c r="X3" s="306"/>
      <c r="Y3" s="306"/>
      <c r="Z3" s="306"/>
      <c r="AA3" s="306"/>
      <c r="AB3" s="306"/>
      <c r="AC3" s="306"/>
      <c r="AD3" s="306"/>
      <c r="AE3" s="20"/>
      <c r="AF3" s="20"/>
      <c r="AG3" s="20"/>
      <c r="AH3" s="20"/>
      <c r="AI3" s="25"/>
      <c r="AJ3" s="20"/>
      <c r="AK3" s="25"/>
      <c r="AL3" s="20"/>
      <c r="AM3" s="25"/>
      <c r="AN3" s="20"/>
      <c r="AO3" s="25"/>
      <c r="AP3" s="20"/>
      <c r="AQ3" s="25"/>
      <c r="AR3" s="22"/>
      <c r="AS3" s="22"/>
      <c r="AT3" s="22"/>
      <c r="AU3" s="22"/>
      <c r="AX3" s="22"/>
      <c r="BD3" s="22"/>
      <c r="BE3" s="22"/>
      <c r="BF3" s="22"/>
      <c r="BG3" s="22"/>
      <c r="BH3" s="22"/>
      <c r="BI3" s="22"/>
      <c r="BJ3" s="22"/>
      <c r="BK3" s="22"/>
      <c r="BL3" s="22"/>
      <c r="BM3" s="22"/>
    </row>
    <row r="4" spans="1:76" ht="13.2">
      <c r="A4" s="41">
        <v>1</v>
      </c>
      <c r="B4" s="1" t="s">
        <v>175</v>
      </c>
      <c r="C4" s="307" t="str">
        <f ca="1">IFERROR(__xludf.DUMMYFUNCTION("GoogleFinance(B4,""name"")"),"Grupo Financiero Galicia S.A.")</f>
        <v>Grupo Financiero Galicia S.A.</v>
      </c>
      <c r="D4" s="308">
        <f ca="1">IFERROR(__xludf.DUMMYFUNCTION("GoogleFinance(B4,""marketcap"")/1000000"),3165.511094)</f>
        <v>3165.511094</v>
      </c>
      <c r="E4" s="308" t="s">
        <v>13</v>
      </c>
      <c r="F4" s="309" t="s">
        <v>18</v>
      </c>
      <c r="G4" s="310">
        <v>45238</v>
      </c>
      <c r="H4" s="311">
        <v>17.190000000000001</v>
      </c>
      <c r="I4" s="312">
        <v>11.73</v>
      </c>
      <c r="J4" s="313">
        <v>170.50298380221653</v>
      </c>
      <c r="K4" s="314">
        <v>2000</v>
      </c>
      <c r="L4" s="314">
        <v>2930.9462915601025</v>
      </c>
      <c r="M4" s="315">
        <v>930.94629156010251</v>
      </c>
      <c r="N4" s="316">
        <v>0.46547314578005117</v>
      </c>
      <c r="O4" s="317">
        <v>74</v>
      </c>
      <c r="P4" s="53">
        <v>9</v>
      </c>
      <c r="Q4" s="129">
        <f>P4/H4-1</f>
        <v>-0.47643979057591623</v>
      </c>
      <c r="R4" s="318">
        <v>13</v>
      </c>
      <c r="S4" s="128">
        <f>R4/H4-1</f>
        <v>-0.24374636416521234</v>
      </c>
      <c r="T4" s="128">
        <f ca="1">IFERROR(__xludf.DUMMYFUNCTION("GoogleFinance(B4,""changepct"")/100"),0.0312)</f>
        <v>3.1199999999999999E-2</v>
      </c>
      <c r="U4" s="319" t="e">
        <f>H4/AI5-1</f>
        <v>#DIV/0!</v>
      </c>
      <c r="V4" s="320" t="e">
        <f>H4/AK5-1</f>
        <v>#DIV/0!</v>
      </c>
      <c r="W4" s="321" t="e">
        <f>H4/AM5-1</f>
        <v>#DIV/0!</v>
      </c>
      <c r="X4" s="321" t="e">
        <f>H4/AO5-1</f>
        <v>#DIV/0!</v>
      </c>
      <c r="Y4" s="320">
        <f ca="1">H4/AQ5-1</f>
        <v>-4.6323103647943897E-3</v>
      </c>
      <c r="Z4" s="320" t="s">
        <v>72</v>
      </c>
      <c r="AA4" s="321" t="s">
        <v>73</v>
      </c>
      <c r="AB4" s="322" t="s">
        <v>63</v>
      </c>
      <c r="AC4" s="322" t="s">
        <v>74</v>
      </c>
      <c r="AD4" s="323" t="s">
        <v>176</v>
      </c>
      <c r="AE4" s="324"/>
      <c r="AF4" s="325"/>
      <c r="AG4" s="123"/>
      <c r="AH4" s="123" t="str">
        <f ca="1">IFERROR(__xludf.DUMMYFUNCTION("GoogleFinance(B4,""price"",today()-7)"),"#N/A")</f>
        <v>#N/A</v>
      </c>
      <c r="AI4" s="123"/>
      <c r="AJ4" s="128" t="str">
        <f ca="1">IFERROR(__xludf.DUMMYFUNCTION("GoogleFinance(B4,""price"",today()-31)"),"#N/A")</f>
        <v>#N/A</v>
      </c>
      <c r="AK4" s="86"/>
      <c r="AL4" s="128" t="str">
        <f ca="1">IFERROR(__xludf.DUMMYFUNCTION("GoogleFinance(B4,""price"",today()-91)"),"#N/A")</f>
        <v>#N/A</v>
      </c>
      <c r="AM4" s="86"/>
      <c r="AN4" s="128" t="str">
        <f ca="1">IFERROR(__xludf.DUMMYFUNCTION("GoogleFinance(B4,""price"",today()-182)"),"#N/A")</f>
        <v>#N/A</v>
      </c>
      <c r="AO4" s="86"/>
      <c r="AP4" s="128" t="str">
        <f ca="1">IFERROR(__xludf.DUMMYFUNCTION("GoogleFinance(B4,""price"",DATE(2023,12,29))"),"Date")</f>
        <v>Date</v>
      </c>
      <c r="AQ4" s="86" t="str">
        <f ca="1">IFERROR(__xludf.DUMMYFUNCTION("""COMPUTED_VALUE"""),"Close")</f>
        <v>Close</v>
      </c>
      <c r="AR4" s="128"/>
      <c r="AS4" s="86"/>
      <c r="AT4" s="120"/>
      <c r="AU4" s="120"/>
      <c r="AV4" s="120"/>
      <c r="AW4" s="120"/>
      <c r="AX4" s="132"/>
      <c r="AY4" s="132"/>
      <c r="AZ4" s="120"/>
      <c r="BA4" s="132"/>
      <c r="BB4" s="132"/>
      <c r="BC4" s="132"/>
      <c r="BD4" s="132"/>
      <c r="BE4" s="132"/>
      <c r="BF4" s="120"/>
      <c r="BG4" s="120"/>
      <c r="BH4" s="120"/>
      <c r="BI4" s="120"/>
      <c r="BJ4" s="120"/>
      <c r="BK4" s="120"/>
      <c r="BL4" s="120"/>
      <c r="BM4" s="120"/>
      <c r="BN4" s="120"/>
      <c r="BO4" s="120"/>
      <c r="BP4" s="132"/>
      <c r="BQ4" s="132"/>
      <c r="BR4" s="132"/>
      <c r="BS4" s="132"/>
      <c r="BT4" s="132"/>
      <c r="BU4" s="132"/>
      <c r="BV4" s="132"/>
      <c r="BW4" s="132"/>
      <c r="BX4" s="132"/>
    </row>
    <row r="5" spans="1:76" ht="13.2" hidden="1">
      <c r="A5" s="41" t="e">
        <f>#REF!+1</f>
        <v>#REF!</v>
      </c>
      <c r="B5" s="297"/>
      <c r="C5" s="298"/>
      <c r="D5" s="297"/>
      <c r="E5" s="297"/>
      <c r="F5" s="297"/>
      <c r="G5" s="297"/>
      <c r="H5" s="299"/>
      <c r="I5" s="299"/>
      <c r="J5" s="299"/>
      <c r="K5" s="299"/>
      <c r="L5" s="299"/>
      <c r="M5" s="50"/>
      <c r="N5" s="326"/>
      <c r="O5" s="299"/>
      <c r="P5" s="299"/>
      <c r="Q5" s="300"/>
      <c r="R5" s="300"/>
      <c r="S5" s="300"/>
      <c r="T5" s="301"/>
      <c r="U5" s="297"/>
      <c r="V5" s="297"/>
      <c r="W5" s="297"/>
      <c r="X5" s="297"/>
      <c r="Y5" s="297"/>
      <c r="Z5" s="327"/>
      <c r="AA5" s="327"/>
      <c r="AB5" s="327"/>
      <c r="AC5" s="327"/>
      <c r="AD5" s="328"/>
      <c r="AE5" s="20"/>
      <c r="AF5" s="20"/>
      <c r="AG5" s="20"/>
      <c r="AH5" s="20"/>
      <c r="AI5" s="19"/>
      <c r="AJ5" s="20"/>
      <c r="AK5" s="19"/>
      <c r="AL5" s="20"/>
      <c r="AM5" s="19"/>
      <c r="AN5" s="20"/>
      <c r="AO5" s="19"/>
      <c r="AP5" s="20">
        <f ca="1">IFERROR(__xludf.DUMMYFUNCTION("""COMPUTED_VALUE"""),45289.6666666666)</f>
        <v>45289.666666666599</v>
      </c>
      <c r="AQ5" s="19">
        <f ca="1">IFERROR(__xludf.DUMMYFUNCTION("""COMPUTED_VALUE"""),17.27)</f>
        <v>17.27</v>
      </c>
      <c r="AR5" s="22"/>
      <c r="AS5" s="22"/>
      <c r="AT5" s="22"/>
      <c r="AU5" s="22"/>
      <c r="AV5" s="296"/>
      <c r="AW5" s="296"/>
      <c r="AX5" s="22"/>
      <c r="AY5" s="296"/>
      <c r="AZ5" s="296"/>
      <c r="BA5" s="296"/>
      <c r="BB5" s="296"/>
      <c r="BC5" s="296"/>
      <c r="BD5" s="22"/>
      <c r="BE5" s="22"/>
      <c r="BF5" s="22"/>
      <c r="BG5" s="22"/>
      <c r="BH5" s="22"/>
      <c r="BI5" s="22"/>
      <c r="BJ5" s="22"/>
      <c r="BK5" s="22"/>
      <c r="BL5" s="22"/>
      <c r="BM5" s="22"/>
      <c r="BN5" s="296"/>
      <c r="BO5" s="296"/>
      <c r="BP5" s="296"/>
      <c r="BQ5" s="296"/>
      <c r="BR5" s="296"/>
      <c r="BS5" s="296"/>
      <c r="BT5" s="296"/>
      <c r="BU5" s="296"/>
      <c r="BV5" s="296"/>
      <c r="BW5" s="296"/>
      <c r="BX5" s="296"/>
    </row>
    <row r="6" spans="1:76" ht="13.2">
      <c r="A6" s="41">
        <f>A4+1</f>
        <v>2</v>
      </c>
      <c r="B6" s="1" t="s">
        <v>177</v>
      </c>
      <c r="C6" s="42" t="str">
        <f ca="1">IFERROR(__xludf.DUMMYFUNCTION("GoogleFinance(B6,""name"")"),"Apple Inc")</f>
        <v>Apple Inc</v>
      </c>
      <c r="D6" s="43">
        <f ca="1">IFERROR(__xludf.DUMMYFUNCTION("GoogleFinance(B6,""marketcap"")/1000000"),2961879.610651)</f>
        <v>2961879.6106509999</v>
      </c>
      <c r="E6" s="44" t="s">
        <v>7</v>
      </c>
      <c r="F6" s="44" t="s">
        <v>120</v>
      </c>
      <c r="G6" s="45">
        <v>45296</v>
      </c>
      <c r="H6" s="46">
        <v>191.56</v>
      </c>
      <c r="I6" s="47">
        <v>182.5</v>
      </c>
      <c r="J6" s="48">
        <v>109.58904109589041</v>
      </c>
      <c r="K6" s="49">
        <v>20000</v>
      </c>
      <c r="L6" s="50">
        <v>20992.876712328765</v>
      </c>
      <c r="M6" s="50">
        <v>992.87671232876528</v>
      </c>
      <c r="N6" s="51">
        <v>4.964383561643837E-2</v>
      </c>
      <c r="O6" s="52">
        <v>16</v>
      </c>
      <c r="P6" s="53">
        <v>175</v>
      </c>
      <c r="Q6" s="51">
        <f>P6/H6-1</f>
        <v>-8.6448110252662413E-2</v>
      </c>
      <c r="R6" s="44">
        <v>201</v>
      </c>
      <c r="S6" s="95">
        <f>R6/H6-1</f>
        <v>4.927959908122781E-2</v>
      </c>
      <c r="T6" s="8">
        <f ca="1">IFERROR(__xludf.DUMMYFUNCTION("GoogleFinance(B6,""changepct"")/100"),0.0155)</f>
        <v>1.55E-2</v>
      </c>
      <c r="U6" s="8" t="e">
        <f>H6/AI7-1</f>
        <v>#DIV/0!</v>
      </c>
      <c r="V6" s="8" t="e">
        <f>H6/AK7-1</f>
        <v>#DIV/0!</v>
      </c>
      <c r="W6" s="8" t="e">
        <f>H6/AM7-1</f>
        <v>#DIV/0!</v>
      </c>
      <c r="X6" s="8" t="e">
        <f>H6/AO7-1</f>
        <v>#DIV/0!</v>
      </c>
      <c r="Y6" s="8">
        <f ca="1">H6/AQ7-1</f>
        <v>-5.0381758686958156E-3</v>
      </c>
      <c r="Z6" s="54" t="s">
        <v>72</v>
      </c>
      <c r="AA6" s="55" t="s">
        <v>73</v>
      </c>
      <c r="AB6" s="55" t="s">
        <v>84</v>
      </c>
      <c r="AC6" s="56" t="s">
        <v>74</v>
      </c>
      <c r="AD6" s="329" t="s">
        <v>176</v>
      </c>
      <c r="AE6" s="2"/>
      <c r="AF6" s="2"/>
      <c r="AG6" s="2"/>
      <c r="AH6" s="2" t="str">
        <f ca="1">IFERROR(__xludf.DUMMYFUNCTION("GoogleFinance(B6,""price"",today()-7)"),"#N/A")</f>
        <v>#N/A</v>
      </c>
      <c r="AI6" s="25"/>
      <c r="AJ6" s="2" t="str">
        <f ca="1">IFERROR(__xludf.DUMMYFUNCTION("GoogleFinance(B6,""price"",today()-31)"),"#N/A")</f>
        <v>#N/A</v>
      </c>
      <c r="AK6" s="25"/>
      <c r="AL6" s="2" t="str">
        <f ca="1">IFERROR(__xludf.DUMMYFUNCTION("GoogleFinance(B6,""price"",today()-91)"),"#N/A")</f>
        <v>#N/A</v>
      </c>
      <c r="AM6" s="25"/>
      <c r="AN6" s="2" t="str">
        <f ca="1">IFERROR(__xludf.DUMMYFUNCTION("GoogleFinance(B6,""price"",today()-182)"),"#N/A")</f>
        <v>#N/A</v>
      </c>
      <c r="AO6" s="25"/>
      <c r="AP6" s="2" t="str">
        <f ca="1">IFERROR(__xludf.DUMMYFUNCTION("GoogleFinance(B6,""price"",DATE(2023,12,29))"),"Date")</f>
        <v>Date</v>
      </c>
      <c r="AQ6" s="25" t="str">
        <f ca="1">IFERROR(__xludf.DUMMYFUNCTION("""COMPUTED_VALUE"""),"Close")</f>
        <v>Close</v>
      </c>
      <c r="AR6" s="5"/>
      <c r="AS6" s="5"/>
      <c r="AT6" s="5"/>
      <c r="AU6" s="5"/>
      <c r="AX6" s="5"/>
      <c r="BD6" s="5"/>
      <c r="BE6" s="5"/>
      <c r="BF6" s="5"/>
      <c r="BG6" s="5"/>
      <c r="BH6" s="5"/>
      <c r="BI6" s="5"/>
      <c r="BJ6" s="5"/>
      <c r="BK6" s="5"/>
      <c r="BL6" s="5"/>
      <c r="BM6" s="5"/>
    </row>
    <row r="7" spans="1:76" ht="13.2" hidden="1">
      <c r="A7" s="41" t="e">
        <f>#REF!+1</f>
        <v>#REF!</v>
      </c>
      <c r="B7" s="297"/>
      <c r="C7" s="298"/>
      <c r="D7" s="297"/>
      <c r="E7" s="297"/>
      <c r="F7" s="297"/>
      <c r="G7" s="297"/>
      <c r="H7" s="299"/>
      <c r="I7" s="299"/>
      <c r="J7" s="299"/>
      <c r="K7" s="299"/>
      <c r="L7" s="299"/>
      <c r="M7" s="50"/>
      <c r="N7" s="326"/>
      <c r="O7" s="299"/>
      <c r="P7" s="299"/>
      <c r="Q7" s="300"/>
      <c r="R7" s="300"/>
      <c r="S7" s="300"/>
      <c r="T7" s="301"/>
      <c r="U7" s="297"/>
      <c r="V7" s="297"/>
      <c r="W7" s="297"/>
      <c r="X7" s="297"/>
      <c r="Y7" s="297"/>
      <c r="Z7" s="327"/>
      <c r="AA7" s="327"/>
      <c r="AB7" s="327"/>
      <c r="AC7" s="327"/>
      <c r="AD7" s="328"/>
      <c r="AE7" s="20"/>
      <c r="AF7" s="20"/>
      <c r="AG7" s="20"/>
      <c r="AH7" s="20"/>
      <c r="AI7" s="19"/>
      <c r="AJ7" s="20"/>
      <c r="AK7" s="19"/>
      <c r="AL7" s="20"/>
      <c r="AM7" s="19"/>
      <c r="AN7" s="20"/>
      <c r="AO7" s="19"/>
      <c r="AP7" s="20">
        <f ca="1">IFERROR(__xludf.DUMMYFUNCTION("""COMPUTED_VALUE"""),45289.6666666666)</f>
        <v>45289.666666666599</v>
      </c>
      <c r="AQ7" s="19">
        <f ca="1">IFERROR(__xludf.DUMMYFUNCTION("""COMPUTED_VALUE"""),192.53)</f>
        <v>192.53</v>
      </c>
      <c r="AR7" s="22"/>
      <c r="AS7" s="22"/>
      <c r="AT7" s="22"/>
      <c r="AU7" s="22"/>
      <c r="AV7" s="296"/>
      <c r="AW7" s="296"/>
      <c r="AX7" s="22"/>
      <c r="AY7" s="296"/>
      <c r="AZ7" s="296"/>
      <c r="BA7" s="296"/>
      <c r="BB7" s="296"/>
      <c r="BC7" s="296"/>
      <c r="BD7" s="22"/>
      <c r="BE7" s="22"/>
      <c r="BF7" s="22"/>
      <c r="BG7" s="22"/>
      <c r="BH7" s="22"/>
      <c r="BI7" s="22"/>
      <c r="BJ7" s="22"/>
      <c r="BK7" s="22"/>
      <c r="BL7" s="22"/>
      <c r="BM7" s="22"/>
      <c r="BN7" s="296"/>
      <c r="BO7" s="296"/>
      <c r="BP7" s="296"/>
      <c r="BQ7" s="296"/>
      <c r="BR7" s="296"/>
      <c r="BS7" s="296"/>
      <c r="BT7" s="296"/>
      <c r="BU7" s="296"/>
      <c r="BV7" s="296"/>
      <c r="BW7" s="296"/>
      <c r="BX7" s="296"/>
    </row>
    <row r="8" spans="1:76" ht="13.2">
      <c r="A8" s="330">
        <f t="shared" ref="A8:A14" si="0">A6+1</f>
        <v>3</v>
      </c>
      <c r="B8" s="331" t="s">
        <v>178</v>
      </c>
      <c r="C8" s="332" t="str">
        <f ca="1">IFERROR(__xludf.DUMMYFUNCTION("GoogleFinance(B8,""name"")"),"ProShares Short Bitcoin Strategy ETF")</f>
        <v>ProShares Short Bitcoin Strategy ETF</v>
      </c>
      <c r="D8" s="333" t="str">
        <f ca="1">IFERROR(__xludf.DUMMYFUNCTION("GoogleFinance(B8,""marketcap"")/1000000"),"#N/A")</f>
        <v>#N/A</v>
      </c>
      <c r="E8" s="334" t="s">
        <v>179</v>
      </c>
      <c r="F8" s="334"/>
      <c r="G8" s="335">
        <v>45307</v>
      </c>
      <c r="H8" s="336">
        <v>13.19</v>
      </c>
      <c r="I8" s="337">
        <v>12.68</v>
      </c>
      <c r="J8" s="338">
        <v>66.593059936908531</v>
      </c>
      <c r="K8" s="339">
        <v>844</v>
      </c>
      <c r="L8" s="340">
        <v>878.36246056782352</v>
      </c>
      <c r="M8" s="340">
        <v>34.362460567823518</v>
      </c>
      <c r="N8" s="341">
        <v>4.022082018927442E-2</v>
      </c>
      <c r="O8" s="342">
        <v>5</v>
      </c>
      <c r="P8" s="343">
        <v>12</v>
      </c>
      <c r="Q8" s="341">
        <f>P8/H8-1</f>
        <v>-9.0219863532979505E-2</v>
      </c>
      <c r="R8" s="334">
        <v>16</v>
      </c>
      <c r="S8" s="344">
        <f>R8/H8-1</f>
        <v>0.21304018195602725</v>
      </c>
      <c r="T8" s="345">
        <f ca="1">IFERROR(__xludf.DUMMYFUNCTION("GoogleFinance(B8,""changepct"")/100"),-0.0192999999999999)</f>
        <v>-1.9299999999999901E-2</v>
      </c>
      <c r="U8" s="345" t="e">
        <f>H8/AI9-1</f>
        <v>#DIV/0!</v>
      </c>
      <c r="V8" s="345" t="e">
        <f>H8/AK9-1</f>
        <v>#DIV/0!</v>
      </c>
      <c r="W8" s="345" t="e">
        <f>H8/AM9-1</f>
        <v>#DIV/0!</v>
      </c>
      <c r="X8" s="345" t="e">
        <f>H8/AO9-1</f>
        <v>#DIV/0!</v>
      </c>
      <c r="Y8" s="345">
        <f ca="1">H8/AQ9-1</f>
        <v>3.0418250950570158E-3</v>
      </c>
      <c r="Z8" s="346" t="s">
        <v>72</v>
      </c>
      <c r="AA8" s="347" t="s">
        <v>73</v>
      </c>
      <c r="AB8" s="347" t="s">
        <v>84</v>
      </c>
      <c r="AC8" s="348" t="s">
        <v>74</v>
      </c>
      <c r="AD8" s="349" t="s">
        <v>176</v>
      </c>
      <c r="AE8" s="350"/>
      <c r="AF8" s="350"/>
      <c r="AG8" s="350"/>
      <c r="AH8" s="350" t="str">
        <f ca="1">IFERROR(__xludf.DUMMYFUNCTION("GoogleFinance(B8,""price"",today()-7)"),"#N/A")</f>
        <v>#N/A</v>
      </c>
      <c r="AI8" s="351"/>
      <c r="AJ8" s="350" t="str">
        <f ca="1">IFERROR(__xludf.DUMMYFUNCTION("GoogleFinance(B8,""price"",today()-31)"),"#N/A")</f>
        <v>#N/A</v>
      </c>
      <c r="AK8" s="351"/>
      <c r="AL8" s="350" t="str">
        <f ca="1">IFERROR(__xludf.DUMMYFUNCTION("GoogleFinance(B8,""price"",today()-91)"),"#N/A")</f>
        <v>#N/A</v>
      </c>
      <c r="AM8" s="351"/>
      <c r="AN8" s="350" t="str">
        <f ca="1">IFERROR(__xludf.DUMMYFUNCTION("GoogleFinance(B8,""price"",today()-182)"),"#N/A")</f>
        <v>#N/A</v>
      </c>
      <c r="AO8" s="351"/>
      <c r="AP8" s="350" t="str">
        <f ca="1">IFERROR(__xludf.DUMMYFUNCTION("GoogleFinance(B8,""price"",DATE(2023,12,29))"),"Date")</f>
        <v>Date</v>
      </c>
      <c r="AQ8" s="351" t="str">
        <f ca="1">IFERROR(__xludf.DUMMYFUNCTION("""COMPUTED_VALUE"""),"Close")</f>
        <v>Close</v>
      </c>
      <c r="AR8" s="352"/>
      <c r="AS8" s="352"/>
      <c r="AT8" s="352"/>
      <c r="AU8" s="352"/>
      <c r="AV8" s="353"/>
      <c r="AW8" s="353"/>
      <c r="AX8" s="352"/>
      <c r="AY8" s="353"/>
      <c r="AZ8" s="353"/>
      <c r="BA8" s="353"/>
      <c r="BB8" s="353"/>
      <c r="BC8" s="353"/>
      <c r="BD8" s="352"/>
      <c r="BE8" s="352"/>
      <c r="BF8" s="352"/>
      <c r="BG8" s="352"/>
      <c r="BH8" s="352"/>
      <c r="BI8" s="352"/>
      <c r="BJ8" s="352"/>
      <c r="BK8" s="352"/>
      <c r="BL8" s="352"/>
      <c r="BM8" s="352"/>
      <c r="BN8" s="353"/>
      <c r="BO8" s="353"/>
      <c r="BP8" s="353"/>
      <c r="BQ8" s="353"/>
      <c r="BR8" s="353"/>
      <c r="BS8" s="353"/>
      <c r="BT8" s="353"/>
      <c r="BU8" s="353"/>
      <c r="BV8" s="353"/>
      <c r="BW8" s="353"/>
      <c r="BX8" s="353"/>
    </row>
    <row r="9" spans="1:76" ht="13.2" hidden="1">
      <c r="A9" s="330" t="e">
        <f t="shared" si="0"/>
        <v>#REF!</v>
      </c>
      <c r="B9" s="297"/>
      <c r="C9" s="298"/>
      <c r="D9" s="297"/>
      <c r="E9" s="297"/>
      <c r="F9" s="297"/>
      <c r="G9" s="297"/>
      <c r="H9" s="299"/>
      <c r="I9" s="299"/>
      <c r="J9" s="299"/>
      <c r="K9" s="299"/>
      <c r="L9" s="299"/>
      <c r="M9" s="50"/>
      <c r="N9" s="326"/>
      <c r="O9" s="299"/>
      <c r="P9" s="299"/>
      <c r="Q9" s="300"/>
      <c r="R9" s="300"/>
      <c r="S9" s="300"/>
      <c r="T9" s="301"/>
      <c r="U9" s="297"/>
      <c r="V9" s="297"/>
      <c r="W9" s="297"/>
      <c r="X9" s="297"/>
      <c r="Y9" s="297"/>
      <c r="Z9" s="327"/>
      <c r="AA9" s="327"/>
      <c r="AB9" s="327"/>
      <c r="AC9" s="327"/>
      <c r="AD9" s="328"/>
      <c r="AE9" s="20"/>
      <c r="AF9" s="20"/>
      <c r="AG9" s="20"/>
      <c r="AH9" s="20"/>
      <c r="AI9" s="19"/>
      <c r="AJ9" s="20"/>
      <c r="AK9" s="19"/>
      <c r="AL9" s="20"/>
      <c r="AM9" s="19"/>
      <c r="AN9" s="20"/>
      <c r="AO9" s="19"/>
      <c r="AP9" s="20">
        <f ca="1">IFERROR(__xludf.DUMMYFUNCTION("""COMPUTED_VALUE"""),45289.6666666666)</f>
        <v>45289.666666666599</v>
      </c>
      <c r="AQ9" s="19">
        <f ca="1">IFERROR(__xludf.DUMMYFUNCTION("""COMPUTED_VALUE"""),13.15)</f>
        <v>13.15</v>
      </c>
      <c r="AR9" s="22"/>
      <c r="AS9" s="22"/>
      <c r="AT9" s="22"/>
      <c r="AU9" s="22"/>
      <c r="AV9" s="296"/>
      <c r="AW9" s="296"/>
      <c r="AX9" s="22"/>
      <c r="AY9" s="296"/>
      <c r="AZ9" s="296"/>
      <c r="BA9" s="296"/>
      <c r="BB9" s="296"/>
      <c r="BC9" s="296"/>
      <c r="BD9" s="22"/>
      <c r="BE9" s="22"/>
      <c r="BF9" s="22"/>
      <c r="BG9" s="22"/>
      <c r="BH9" s="22"/>
      <c r="BI9" s="22"/>
      <c r="BJ9" s="22"/>
      <c r="BK9" s="22"/>
      <c r="BL9" s="22"/>
      <c r="BM9" s="22"/>
      <c r="BN9" s="296"/>
      <c r="BO9" s="296"/>
      <c r="BP9" s="296"/>
      <c r="BQ9" s="296"/>
      <c r="BR9" s="296"/>
      <c r="BS9" s="296"/>
      <c r="BT9" s="296"/>
      <c r="BU9" s="296"/>
      <c r="BV9" s="296"/>
      <c r="BW9" s="296"/>
      <c r="BX9" s="296"/>
    </row>
    <row r="10" spans="1:76" ht="13.2">
      <c r="A10" s="330">
        <f t="shared" si="0"/>
        <v>4</v>
      </c>
      <c r="B10" s="24" t="s">
        <v>180</v>
      </c>
      <c r="C10" s="67" t="str">
        <f ca="1">IFERROR(__xludf.DUMMYFUNCTION("GoogleFinance(B10,""name"")"),"Marathon Digital Holdings Inc")</f>
        <v>Marathon Digital Holdings Inc</v>
      </c>
      <c r="D10" s="68">
        <f ca="1">IFERROR(__xludf.DUMMYFUNCTION("GoogleFinance(B10,""marketcap"")/1000000"),3590.941063)</f>
        <v>3590.9410630000002</v>
      </c>
      <c r="E10" s="69" t="s">
        <v>181</v>
      </c>
      <c r="F10" s="69" t="s">
        <v>182</v>
      </c>
      <c r="G10" s="70">
        <v>45310</v>
      </c>
      <c r="H10" s="73">
        <v>16.13</v>
      </c>
      <c r="I10" s="74">
        <v>14.86</v>
      </c>
      <c r="J10" s="75">
        <v>269.17900403768505</v>
      </c>
      <c r="K10" s="76">
        <v>4000</v>
      </c>
      <c r="L10" s="77">
        <v>4341.8573351278592</v>
      </c>
      <c r="M10" s="77">
        <v>341.85733512785919</v>
      </c>
      <c r="N10" s="78">
        <v>8.5464333781964941E-2</v>
      </c>
      <c r="O10" s="79">
        <v>2</v>
      </c>
      <c r="P10" s="80">
        <v>12.8</v>
      </c>
      <c r="Q10" s="78">
        <f>P10/H10-1</f>
        <v>-0.20644761314321136</v>
      </c>
      <c r="R10" s="69">
        <v>18.899999999999999</v>
      </c>
      <c r="S10" s="144">
        <f>R10/H10-1</f>
        <v>0.17172969621822687</v>
      </c>
      <c r="T10" s="81">
        <f ca="1">IFERROR(__xludf.DUMMYFUNCTION("GoogleFinance(B10,""changepct"")/100"),0.0037)</f>
        <v>3.7000000000000002E-3</v>
      </c>
      <c r="U10" s="81" t="e">
        <f>H10/AI11-1</f>
        <v>#DIV/0!</v>
      </c>
      <c r="V10" s="81" t="e">
        <f>H10/AK11-1</f>
        <v>#DIV/0!</v>
      </c>
      <c r="W10" s="81" t="e">
        <f>H10/AM11-1</f>
        <v>#DIV/0!</v>
      </c>
      <c r="X10" s="81" t="e">
        <f>H10/AO11-1</f>
        <v>#DIV/0!</v>
      </c>
      <c r="Y10" s="81">
        <f ca="1">H10/AQ11-1</f>
        <v>-0.31332481907194554</v>
      </c>
      <c r="Z10" s="82" t="s">
        <v>72</v>
      </c>
      <c r="AA10" s="83" t="s">
        <v>73</v>
      </c>
      <c r="AB10" s="83" t="s">
        <v>84</v>
      </c>
      <c r="AC10" s="84" t="s">
        <v>74</v>
      </c>
      <c r="AD10" s="354" t="s">
        <v>176</v>
      </c>
      <c r="AE10" s="71"/>
      <c r="AF10" s="71"/>
      <c r="AG10" s="71"/>
      <c r="AH10" s="71" t="str">
        <f ca="1">IFERROR(__xludf.DUMMYFUNCTION("GoogleFinance(B10,""price"",today()-7)"),"#N/A")</f>
        <v>#N/A</v>
      </c>
      <c r="AI10" s="86"/>
      <c r="AJ10" s="71" t="str">
        <f ca="1">IFERROR(__xludf.DUMMYFUNCTION("GoogleFinance(B10,""price"",today()-31)"),"#N/A")</f>
        <v>#N/A</v>
      </c>
      <c r="AK10" s="86"/>
      <c r="AL10" s="71" t="str">
        <f ca="1">IFERROR(__xludf.DUMMYFUNCTION("GoogleFinance(B10,""price"",today()-91)"),"#N/A")</f>
        <v>#N/A</v>
      </c>
      <c r="AM10" s="86"/>
      <c r="AN10" s="71" t="str">
        <f ca="1">IFERROR(__xludf.DUMMYFUNCTION("GoogleFinance(B10,""price"",today()-182)"),"#N/A")</f>
        <v>#N/A</v>
      </c>
      <c r="AO10" s="86"/>
      <c r="AP10" s="71" t="str">
        <f ca="1">IFERROR(__xludf.DUMMYFUNCTION("GoogleFinance(B10,""price"",DATE(2023,12,29))"),"Date")</f>
        <v>Date</v>
      </c>
      <c r="AQ10" s="86" t="str">
        <f ca="1">IFERROR(__xludf.DUMMYFUNCTION("""COMPUTED_VALUE"""),"Close")</f>
        <v>Close</v>
      </c>
      <c r="AR10" s="87"/>
      <c r="AS10" s="87"/>
      <c r="AT10" s="87"/>
      <c r="AU10" s="87"/>
      <c r="AV10" s="88"/>
      <c r="AW10" s="88"/>
      <c r="AX10" s="87"/>
      <c r="AY10" s="88"/>
      <c r="AZ10" s="88"/>
      <c r="BA10" s="88"/>
      <c r="BB10" s="88"/>
      <c r="BC10" s="88"/>
      <c r="BD10" s="87"/>
      <c r="BE10" s="87"/>
      <c r="BF10" s="87"/>
      <c r="BG10" s="87"/>
      <c r="BH10" s="87"/>
      <c r="BI10" s="87"/>
      <c r="BJ10" s="87"/>
      <c r="BK10" s="87"/>
      <c r="BL10" s="87"/>
      <c r="BM10" s="87"/>
      <c r="BN10" s="88"/>
      <c r="BO10" s="88"/>
      <c r="BP10" s="88"/>
      <c r="BQ10" s="88"/>
      <c r="BR10" s="88"/>
      <c r="BS10" s="88"/>
      <c r="BT10" s="88"/>
      <c r="BU10" s="88"/>
      <c r="BV10" s="88"/>
      <c r="BW10" s="88"/>
      <c r="BX10" s="88"/>
    </row>
    <row r="11" spans="1:76" ht="13.2" hidden="1">
      <c r="A11" s="330" t="e">
        <f t="shared" si="0"/>
        <v>#REF!</v>
      </c>
      <c r="B11" s="297"/>
      <c r="C11" s="298"/>
      <c r="D11" s="297"/>
      <c r="E11" s="297"/>
      <c r="F11" s="297"/>
      <c r="G11" s="297"/>
      <c r="H11" s="299"/>
      <c r="I11" s="299"/>
      <c r="J11" s="299"/>
      <c r="K11" s="299"/>
      <c r="L11" s="299"/>
      <c r="M11" s="50"/>
      <c r="N11" s="326"/>
      <c r="O11" s="299"/>
      <c r="P11" s="299"/>
      <c r="Q11" s="300"/>
      <c r="R11" s="300"/>
      <c r="S11" s="300"/>
      <c r="T11" s="301"/>
      <c r="U11" s="297"/>
      <c r="V11" s="297"/>
      <c r="W11" s="297"/>
      <c r="X11" s="297"/>
      <c r="Y11" s="297"/>
      <c r="Z11" s="327"/>
      <c r="AA11" s="327"/>
      <c r="AB11" s="327"/>
      <c r="AC11" s="327"/>
      <c r="AD11" s="328"/>
      <c r="AE11" s="20"/>
      <c r="AF11" s="20"/>
      <c r="AG11" s="20"/>
      <c r="AH11" s="20"/>
      <c r="AI11" s="19"/>
      <c r="AJ11" s="20"/>
      <c r="AK11" s="19"/>
      <c r="AL11" s="20"/>
      <c r="AM11" s="19"/>
      <c r="AN11" s="20"/>
      <c r="AO11" s="19"/>
      <c r="AP11" s="20">
        <f ca="1">IFERROR(__xludf.DUMMYFUNCTION("""COMPUTED_VALUE"""),45289.6666666666)</f>
        <v>45289.666666666599</v>
      </c>
      <c r="AQ11" s="19">
        <f ca="1">IFERROR(__xludf.DUMMYFUNCTION("""COMPUTED_VALUE"""),23.49)</f>
        <v>23.49</v>
      </c>
      <c r="AR11" s="22"/>
      <c r="AS11" s="22"/>
      <c r="AT11" s="22"/>
      <c r="AU11" s="22"/>
      <c r="AV11" s="296"/>
      <c r="AW11" s="296"/>
      <c r="AX11" s="22"/>
      <c r="AY11" s="296"/>
      <c r="AZ11" s="296"/>
      <c r="BA11" s="296"/>
      <c r="BB11" s="296"/>
      <c r="BC11" s="296"/>
      <c r="BD11" s="22"/>
      <c r="BE11" s="22"/>
      <c r="BF11" s="22"/>
      <c r="BG11" s="22"/>
      <c r="BH11" s="22"/>
      <c r="BI11" s="22"/>
      <c r="BJ11" s="22"/>
      <c r="BK11" s="22"/>
      <c r="BL11" s="22"/>
      <c r="BM11" s="22"/>
      <c r="BN11" s="296"/>
      <c r="BO11" s="296"/>
      <c r="BP11" s="296"/>
      <c r="BQ11" s="296"/>
      <c r="BR11" s="296"/>
      <c r="BS11" s="296"/>
      <c r="BT11" s="296"/>
      <c r="BU11" s="296"/>
      <c r="BV11" s="296"/>
      <c r="BW11" s="296"/>
      <c r="BX11" s="296"/>
    </row>
    <row r="12" spans="1:76" ht="13.2">
      <c r="A12" s="330">
        <f t="shared" si="0"/>
        <v>5</v>
      </c>
      <c r="B12" s="24" t="s">
        <v>183</v>
      </c>
      <c r="C12" s="67" t="str">
        <f ca="1">IFERROR(__xludf.DUMMYFUNCTION("GoogleFinance(B12,""name"")"),"Tesla Inc")</f>
        <v>Tesla Inc</v>
      </c>
      <c r="D12" s="68">
        <f ca="1">IFERROR(__xludf.DUMMYFUNCTION("GoogleFinance(B12,""marketcap"")/1000000"),664891.00695)</f>
        <v>664891.00694999995</v>
      </c>
      <c r="E12" s="69" t="s">
        <v>9</v>
      </c>
      <c r="F12" s="69" t="s">
        <v>184</v>
      </c>
      <c r="G12" s="70">
        <v>45310</v>
      </c>
      <c r="H12" s="73">
        <v>212.19</v>
      </c>
      <c r="I12" s="74">
        <v>210.8</v>
      </c>
      <c r="J12" s="75">
        <v>18.975332068311193</v>
      </c>
      <c r="K12" s="76">
        <v>4000</v>
      </c>
      <c r="L12" s="77">
        <v>4026.3757115749522</v>
      </c>
      <c r="M12" s="77">
        <v>26.37571157495222</v>
      </c>
      <c r="N12" s="78">
        <v>6.5939278937381385E-3</v>
      </c>
      <c r="O12" s="79">
        <v>2</v>
      </c>
      <c r="P12" s="80">
        <v>12.8</v>
      </c>
      <c r="Q12" s="78">
        <f>P12/H12-1</f>
        <v>-0.93967670484000188</v>
      </c>
      <c r="R12" s="69">
        <v>18.899999999999999</v>
      </c>
      <c r="S12" s="144">
        <f>R12/H12-1</f>
        <v>-0.91092888449031528</v>
      </c>
      <c r="T12" s="81">
        <f ca="1">IFERROR(__xludf.DUMMYFUNCTION("GoogleFinance(B12,""changepct"")/100"),0.0015)</f>
        <v>1.5E-3</v>
      </c>
      <c r="U12" s="81" t="e">
        <f>H12/AI13-1</f>
        <v>#DIV/0!</v>
      </c>
      <c r="V12" s="81" t="e">
        <f>H12/AK13-1</f>
        <v>#DIV/0!</v>
      </c>
      <c r="W12" s="81" t="e">
        <f>H12/AM13-1</f>
        <v>#DIV/0!</v>
      </c>
      <c r="X12" s="81" t="e">
        <f>H12/AO13-1</f>
        <v>#DIV/0!</v>
      </c>
      <c r="Y12" s="81">
        <f ca="1">H12/AQ13-1</f>
        <v>-0.14604797166773986</v>
      </c>
      <c r="Z12" s="82" t="s">
        <v>72</v>
      </c>
      <c r="AA12" s="83" t="s">
        <v>73</v>
      </c>
      <c r="AB12" s="83" t="s">
        <v>84</v>
      </c>
      <c r="AC12" s="84" t="s">
        <v>74</v>
      </c>
      <c r="AD12" s="354" t="s">
        <v>176</v>
      </c>
      <c r="AE12" s="71"/>
      <c r="AF12" s="71"/>
      <c r="AG12" s="71"/>
      <c r="AH12" s="71" t="str">
        <f ca="1">IFERROR(__xludf.DUMMYFUNCTION("GoogleFinance(B12,""price"",today()-7)"),"#N/A")</f>
        <v>#N/A</v>
      </c>
      <c r="AI12" s="86"/>
      <c r="AJ12" s="71" t="str">
        <f ca="1">IFERROR(__xludf.DUMMYFUNCTION("GoogleFinance(B12,""price"",today()-31)"),"#N/A")</f>
        <v>#N/A</v>
      </c>
      <c r="AK12" s="86"/>
      <c r="AL12" s="71" t="str">
        <f ca="1">IFERROR(__xludf.DUMMYFUNCTION("GoogleFinance(B12,""price"",today()-91)"),"#N/A")</f>
        <v>#N/A</v>
      </c>
      <c r="AM12" s="86"/>
      <c r="AN12" s="71" t="str">
        <f ca="1">IFERROR(__xludf.DUMMYFUNCTION("GoogleFinance(B12,""price"",today()-182)"),"#N/A")</f>
        <v>#N/A</v>
      </c>
      <c r="AO12" s="86"/>
      <c r="AP12" s="71" t="str">
        <f ca="1">IFERROR(__xludf.DUMMYFUNCTION("GoogleFinance(B12,""price"",DATE(2023,12,29))"),"Date")</f>
        <v>Date</v>
      </c>
      <c r="AQ12" s="86" t="str">
        <f ca="1">IFERROR(__xludf.DUMMYFUNCTION("""COMPUTED_VALUE"""),"Close")</f>
        <v>Close</v>
      </c>
      <c r="AR12" s="87"/>
      <c r="AS12" s="87"/>
      <c r="AT12" s="87"/>
      <c r="AU12" s="87"/>
      <c r="AV12" s="88"/>
      <c r="AW12" s="88"/>
      <c r="AX12" s="87"/>
      <c r="AY12" s="88"/>
      <c r="AZ12" s="88"/>
      <c r="BA12" s="88"/>
      <c r="BB12" s="88"/>
      <c r="BC12" s="88"/>
      <c r="BD12" s="87"/>
      <c r="BE12" s="87"/>
      <c r="BF12" s="87"/>
      <c r="BG12" s="87"/>
      <c r="BH12" s="87"/>
      <c r="BI12" s="87"/>
      <c r="BJ12" s="87"/>
      <c r="BK12" s="87"/>
      <c r="BL12" s="87"/>
      <c r="BM12" s="87"/>
      <c r="BN12" s="88"/>
      <c r="BO12" s="88"/>
      <c r="BP12" s="88"/>
      <c r="BQ12" s="88"/>
      <c r="BR12" s="88"/>
      <c r="BS12" s="88"/>
      <c r="BT12" s="88"/>
      <c r="BU12" s="88"/>
      <c r="BV12" s="88"/>
      <c r="BW12" s="88"/>
      <c r="BX12" s="88"/>
    </row>
    <row r="13" spans="1:76" ht="13.2" hidden="1">
      <c r="A13" s="330" t="e">
        <f t="shared" si="0"/>
        <v>#REF!</v>
      </c>
      <c r="B13" s="297"/>
      <c r="C13" s="298"/>
      <c r="D13" s="297"/>
      <c r="E13" s="297"/>
      <c r="F13" s="297"/>
      <c r="G13" s="297"/>
      <c r="H13" s="299"/>
      <c r="I13" s="299"/>
      <c r="J13" s="299"/>
      <c r="K13" s="299"/>
      <c r="L13" s="299"/>
      <c r="M13" s="50"/>
      <c r="N13" s="326"/>
      <c r="O13" s="299"/>
      <c r="P13" s="299"/>
      <c r="Q13" s="300"/>
      <c r="R13" s="300"/>
      <c r="S13" s="300"/>
      <c r="T13" s="301"/>
      <c r="U13" s="297"/>
      <c r="V13" s="297"/>
      <c r="W13" s="297"/>
      <c r="X13" s="297"/>
      <c r="Y13" s="297"/>
      <c r="Z13" s="327"/>
      <c r="AA13" s="327"/>
      <c r="AB13" s="327"/>
      <c r="AC13" s="327"/>
      <c r="AD13" s="328"/>
      <c r="AE13" s="20"/>
      <c r="AF13" s="20"/>
      <c r="AG13" s="20"/>
      <c r="AH13" s="20"/>
      <c r="AI13" s="19"/>
      <c r="AJ13" s="20"/>
      <c r="AK13" s="19"/>
      <c r="AL13" s="20"/>
      <c r="AM13" s="19"/>
      <c r="AN13" s="20"/>
      <c r="AO13" s="19"/>
      <c r="AP13" s="20">
        <f ca="1">IFERROR(__xludf.DUMMYFUNCTION("""COMPUTED_VALUE"""),45289.6666666666)</f>
        <v>45289.666666666599</v>
      </c>
      <c r="AQ13" s="19">
        <f ca="1">IFERROR(__xludf.DUMMYFUNCTION("""COMPUTED_VALUE"""),248.48)</f>
        <v>248.48</v>
      </c>
      <c r="AR13" s="22"/>
      <c r="AS13" s="22"/>
      <c r="AT13" s="22"/>
      <c r="AU13" s="22"/>
      <c r="AV13" s="296"/>
      <c r="AW13" s="296"/>
      <c r="AX13" s="22"/>
      <c r="AY13" s="296"/>
      <c r="AZ13" s="296"/>
      <c r="BA13" s="296"/>
      <c r="BB13" s="296"/>
      <c r="BC13" s="296"/>
      <c r="BD13" s="22"/>
      <c r="BE13" s="22"/>
      <c r="BF13" s="22"/>
      <c r="BG13" s="22"/>
      <c r="BH13" s="22"/>
      <c r="BI13" s="22"/>
      <c r="BJ13" s="22"/>
      <c r="BK13" s="22"/>
      <c r="BL13" s="22"/>
      <c r="BM13" s="22"/>
      <c r="BN13" s="296"/>
      <c r="BO13" s="296"/>
      <c r="BP13" s="296"/>
      <c r="BQ13" s="296"/>
      <c r="BR13" s="296"/>
      <c r="BS13" s="296"/>
      <c r="BT13" s="296"/>
      <c r="BU13" s="296"/>
      <c r="BV13" s="296"/>
      <c r="BW13" s="296"/>
      <c r="BX13" s="296"/>
    </row>
    <row r="14" spans="1:76" ht="13.2">
      <c r="A14" s="330">
        <f t="shared" si="0"/>
        <v>6</v>
      </c>
      <c r="B14" s="24" t="s">
        <v>5</v>
      </c>
      <c r="C14" s="67" t="str">
        <f ca="1">IFERROR(__xludf.DUMMYFUNCTION("GoogleFinance(B14,""name"")"),"SPDR S&amp;P 500 ETF Trust")</f>
        <v>SPDR S&amp;P 500 ETF Trust</v>
      </c>
      <c r="D14" s="68">
        <f ca="1">IFERROR(__xludf.DUMMYFUNCTION("GoogleFinance(B14,""marketcap"")/1000000"),435441.745576)</f>
        <v>435441.74557600002</v>
      </c>
      <c r="E14" s="69" t="s">
        <v>59</v>
      </c>
      <c r="F14" s="69" t="s">
        <v>185</v>
      </c>
      <c r="G14" s="70">
        <v>45309</v>
      </c>
      <c r="H14" s="73">
        <v>482.43</v>
      </c>
      <c r="I14" s="74">
        <v>473.25</v>
      </c>
      <c r="J14" s="75">
        <v>140</v>
      </c>
      <c r="K14" s="76">
        <v>66255</v>
      </c>
      <c r="L14" s="77">
        <v>67540.2</v>
      </c>
      <c r="M14" s="77">
        <v>1285.1999999999971</v>
      </c>
      <c r="N14" s="78">
        <v>1.9397781299524519E-2</v>
      </c>
      <c r="O14" s="79">
        <v>3</v>
      </c>
      <c r="P14" s="80">
        <v>465</v>
      </c>
      <c r="Q14" s="78">
        <f>P14/H14-1</f>
        <v>-3.6129593930725679E-2</v>
      </c>
      <c r="R14" s="69">
        <v>482</v>
      </c>
      <c r="S14" s="144">
        <f>R14/H14-1</f>
        <v>-8.9132102066624697E-4</v>
      </c>
      <c r="T14" s="81">
        <f ca="1">IFERROR(__xludf.DUMMYFUNCTION("GoogleFinance(B14,""changepct"")/100"),0.0125)</f>
        <v>1.2500000000000001E-2</v>
      </c>
      <c r="U14" s="81" t="e">
        <f>H14/AI15-1</f>
        <v>#DIV/0!</v>
      </c>
      <c r="V14" s="81" t="e">
        <f>H14/AK15-1</f>
        <v>#DIV/0!</v>
      </c>
      <c r="W14" s="81" t="e">
        <f>H14/AM15-1</f>
        <v>#DIV/0!</v>
      </c>
      <c r="X14" s="81" t="e">
        <f>H14/AO15-1</f>
        <v>#DIV/0!</v>
      </c>
      <c r="Y14" s="81" t="e">
        <f>H14/AQ15-1</f>
        <v>#DIV/0!</v>
      </c>
      <c r="Z14" s="82" t="s">
        <v>72</v>
      </c>
      <c r="AA14" s="83" t="s">
        <v>73</v>
      </c>
      <c r="AB14" s="83" t="s">
        <v>84</v>
      </c>
      <c r="AC14" s="84" t="s">
        <v>74</v>
      </c>
      <c r="AD14" s="354" t="s">
        <v>176</v>
      </c>
      <c r="AE14" s="71"/>
      <c r="AF14" s="71"/>
      <c r="AG14" s="71"/>
      <c r="AH14" s="71" t="str">
        <f ca="1">IFERROR(__xludf.DUMMYFUNCTION("GoogleFinance(B14,""price"",today()-7)"),"#N/A")</f>
        <v>#N/A</v>
      </c>
      <c r="AI14" s="86"/>
      <c r="AJ14" s="71" t="str">
        <f ca="1">IFERROR(__xludf.DUMMYFUNCTION("GoogleFinance(B14,""price"",today()-31)"),"#N/A")</f>
        <v>#N/A</v>
      </c>
      <c r="AK14" s="86"/>
      <c r="AL14" s="71" t="str">
        <f ca="1">IFERROR(__xludf.DUMMYFUNCTION("GoogleFinance(B14,""price"",today()-91)"),"#N/A")</f>
        <v>#N/A</v>
      </c>
      <c r="AM14" s="86"/>
      <c r="AN14" s="71" t="str">
        <f ca="1">IFERROR(__xludf.DUMMYFUNCTION("GoogleFinance(B14,""price"",today()-182)"),"#N/A")</f>
        <v>#N/A</v>
      </c>
      <c r="AO14" s="86"/>
      <c r="AP14" s="71" t="str">
        <f ca="1">IFERROR(__xludf.DUMMYFUNCTION("GoogleFinance(B14,""price"",DATE(2023,12,29))"),"#N/A")</f>
        <v>#N/A</v>
      </c>
      <c r="AQ14" s="86"/>
      <c r="AR14" s="87"/>
      <c r="AS14" s="87"/>
      <c r="AT14" s="87"/>
      <c r="AU14" s="87"/>
      <c r="AV14" s="88"/>
      <c r="AW14" s="88"/>
      <c r="AX14" s="87"/>
      <c r="AY14" s="88"/>
      <c r="AZ14" s="88"/>
      <c r="BA14" s="88"/>
      <c r="BB14" s="88"/>
      <c r="BC14" s="88"/>
      <c r="BD14" s="87"/>
      <c r="BE14" s="87"/>
      <c r="BF14" s="87"/>
      <c r="BG14" s="87"/>
      <c r="BH14" s="87"/>
      <c r="BI14" s="87"/>
      <c r="BJ14" s="87"/>
      <c r="BK14" s="87"/>
      <c r="BL14" s="87"/>
      <c r="BM14" s="87"/>
      <c r="BN14" s="88"/>
      <c r="BO14" s="88"/>
      <c r="BP14" s="88"/>
      <c r="BQ14" s="88"/>
      <c r="BR14" s="88"/>
      <c r="BS14" s="88"/>
      <c r="BT14" s="88"/>
      <c r="BU14" s="88"/>
      <c r="BV14" s="88"/>
      <c r="BW14" s="88"/>
      <c r="BX14" s="88"/>
    </row>
    <row r="15" spans="1:76" ht="13.2" hidden="1">
      <c r="A15" s="41" t="e">
        <f>#REF!+1</f>
        <v>#REF!</v>
      </c>
      <c r="B15" s="297"/>
      <c r="C15" s="298"/>
      <c r="D15" s="297"/>
      <c r="E15" s="297"/>
      <c r="F15" s="297"/>
      <c r="G15" s="297"/>
      <c r="H15" s="299"/>
      <c r="I15" s="299"/>
      <c r="J15" s="299"/>
      <c r="K15" s="299"/>
      <c r="L15" s="299"/>
      <c r="M15" s="50"/>
      <c r="N15" s="326"/>
      <c r="O15" s="299"/>
      <c r="P15" s="299"/>
      <c r="Q15" s="300"/>
      <c r="R15" s="300"/>
      <c r="S15" s="300"/>
      <c r="T15" s="301"/>
      <c r="U15" s="297"/>
      <c r="V15" s="297"/>
      <c r="W15" s="297"/>
      <c r="X15" s="297"/>
      <c r="Y15" s="297"/>
      <c r="Z15" s="327"/>
      <c r="AA15" s="327"/>
      <c r="AB15" s="327"/>
      <c r="AC15" s="327"/>
      <c r="AD15" s="328"/>
      <c r="AE15" s="20"/>
      <c r="AF15" s="20"/>
      <c r="AG15" s="20"/>
      <c r="AH15" s="20"/>
      <c r="AI15" s="19"/>
      <c r="AJ15" s="20"/>
      <c r="AK15" s="19"/>
      <c r="AL15" s="20"/>
      <c r="AM15" s="19"/>
      <c r="AN15" s="20"/>
      <c r="AO15" s="19"/>
      <c r="AP15" s="20"/>
      <c r="AQ15" s="19"/>
      <c r="AR15" s="22"/>
      <c r="AS15" s="22"/>
      <c r="AT15" s="22"/>
      <c r="AU15" s="22"/>
      <c r="AV15" s="296"/>
      <c r="AW15" s="296"/>
      <c r="AX15" s="22"/>
      <c r="AY15" s="296"/>
      <c r="AZ15" s="296"/>
      <c r="BA15" s="296"/>
      <c r="BB15" s="296"/>
      <c r="BC15" s="296"/>
      <c r="BD15" s="22"/>
      <c r="BE15" s="22"/>
      <c r="BF15" s="22"/>
      <c r="BG15" s="22"/>
      <c r="BH15" s="22"/>
      <c r="BI15" s="22"/>
      <c r="BJ15" s="22"/>
      <c r="BK15" s="22"/>
      <c r="BL15" s="22"/>
      <c r="BM15" s="22"/>
      <c r="BN15" s="296"/>
      <c r="BO15" s="296"/>
      <c r="BP15" s="296"/>
      <c r="BQ15" s="296"/>
      <c r="BR15" s="296"/>
      <c r="BS15" s="296"/>
      <c r="BT15" s="296"/>
      <c r="BU15" s="296"/>
      <c r="BV15" s="296"/>
      <c r="BW15" s="296"/>
      <c r="BX15" s="296"/>
    </row>
    <row r="16" spans="1:76" ht="5.25" customHeight="1">
      <c r="A16" s="167"/>
      <c r="B16" s="355"/>
      <c r="C16" s="356"/>
      <c r="D16" s="355"/>
      <c r="E16" s="355"/>
      <c r="F16" s="355"/>
      <c r="G16" s="355"/>
      <c r="H16" s="355"/>
      <c r="I16" s="355"/>
      <c r="J16" s="355"/>
      <c r="K16" s="355"/>
      <c r="L16" s="355"/>
      <c r="M16" s="357"/>
      <c r="N16" s="358"/>
      <c r="O16" s="359"/>
      <c r="P16" s="355"/>
      <c r="Q16" s="360"/>
      <c r="R16" s="360"/>
      <c r="S16" s="360"/>
      <c r="T16" s="359"/>
      <c r="U16" s="355"/>
      <c r="V16" s="355"/>
      <c r="W16" s="355"/>
      <c r="X16" s="355"/>
      <c r="Y16" s="355"/>
      <c r="Z16" s="361"/>
      <c r="AA16" s="361"/>
      <c r="AB16" s="361"/>
      <c r="AC16" s="361"/>
      <c r="AD16" s="362"/>
      <c r="AE16" s="20"/>
      <c r="AF16" s="20"/>
      <c r="AG16" s="20"/>
      <c r="AH16" s="20"/>
      <c r="AI16" s="25"/>
      <c r="AJ16" s="20"/>
      <c r="AK16" s="25"/>
      <c r="AL16" s="20"/>
      <c r="AM16" s="25"/>
      <c r="AN16" s="20"/>
      <c r="AO16" s="25"/>
      <c r="AP16" s="20"/>
      <c r="AQ16" s="25"/>
      <c r="AR16" s="22"/>
      <c r="AS16" s="22"/>
      <c r="AT16" s="22"/>
      <c r="AU16" s="22"/>
      <c r="AX16" s="22"/>
      <c r="BD16" s="22"/>
      <c r="BE16" s="22"/>
      <c r="BF16" s="22"/>
      <c r="BG16" s="22"/>
      <c r="BH16" s="22"/>
      <c r="BI16" s="22"/>
      <c r="BJ16" s="22"/>
      <c r="BK16" s="22"/>
      <c r="BL16" s="22"/>
      <c r="BM16" s="22"/>
    </row>
    <row r="17" spans="1:76" ht="48">
      <c r="A17" s="167"/>
      <c r="B17" s="33" t="s">
        <v>0</v>
      </c>
      <c r="C17" s="34" t="s">
        <v>1</v>
      </c>
      <c r="D17" s="33" t="s">
        <v>29</v>
      </c>
      <c r="E17" s="33" t="s">
        <v>2</v>
      </c>
      <c r="F17" s="33" t="s">
        <v>30</v>
      </c>
      <c r="G17" s="33" t="s">
        <v>31</v>
      </c>
      <c r="H17" s="35" t="s">
        <v>3</v>
      </c>
      <c r="I17" s="35" t="s">
        <v>186</v>
      </c>
      <c r="J17" s="35" t="s">
        <v>35</v>
      </c>
      <c r="K17" s="35" t="s">
        <v>187</v>
      </c>
      <c r="L17" s="35" t="s">
        <v>37</v>
      </c>
      <c r="M17" s="35" t="s">
        <v>38</v>
      </c>
      <c r="N17" s="35" t="s">
        <v>39</v>
      </c>
      <c r="O17" s="35" t="s">
        <v>40</v>
      </c>
      <c r="P17" s="35" t="s">
        <v>41</v>
      </c>
      <c r="Q17" s="36" t="s">
        <v>42</v>
      </c>
      <c r="R17" s="36" t="s">
        <v>43</v>
      </c>
      <c r="S17" s="36" t="s">
        <v>44</v>
      </c>
      <c r="T17" s="37" t="s">
        <v>4</v>
      </c>
      <c r="U17" s="33" t="s">
        <v>45</v>
      </c>
      <c r="V17" s="33" t="s">
        <v>46</v>
      </c>
      <c r="W17" s="33" t="s">
        <v>47</v>
      </c>
      <c r="X17" s="33" t="s">
        <v>48</v>
      </c>
      <c r="Y17" s="33" t="s">
        <v>49</v>
      </c>
      <c r="Z17" s="38" t="s">
        <v>188</v>
      </c>
      <c r="AA17" s="38" t="s">
        <v>172</v>
      </c>
      <c r="AB17" s="38" t="s">
        <v>173</v>
      </c>
      <c r="AC17" s="38" t="s">
        <v>55</v>
      </c>
      <c r="AD17" s="39" t="s">
        <v>57</v>
      </c>
      <c r="AE17" s="20"/>
      <c r="AF17" s="20"/>
      <c r="AG17" s="20"/>
      <c r="AH17" s="20"/>
      <c r="AI17" s="25"/>
      <c r="AJ17" s="20"/>
      <c r="AK17" s="25"/>
      <c r="AL17" s="20"/>
      <c r="AM17" s="25"/>
      <c r="AN17" s="20"/>
      <c r="AO17" s="25"/>
      <c r="AP17" s="20"/>
      <c r="AQ17" s="25"/>
      <c r="AR17" s="22"/>
      <c r="AS17" s="22"/>
      <c r="AT17" s="22"/>
      <c r="AU17" s="22"/>
      <c r="AX17" s="22"/>
      <c r="BD17" s="22"/>
      <c r="BE17" s="22"/>
      <c r="BF17" s="22"/>
      <c r="BG17" s="22"/>
      <c r="BH17" s="22"/>
      <c r="BI17" s="22"/>
      <c r="BJ17" s="22"/>
      <c r="BK17" s="22"/>
      <c r="BL17" s="22"/>
      <c r="BM17" s="22"/>
    </row>
    <row r="18" spans="1:76" ht="13.2">
      <c r="A18" s="167"/>
      <c r="B18" s="363" t="s">
        <v>189</v>
      </c>
      <c r="C18" s="364"/>
      <c r="D18" s="365"/>
      <c r="E18" s="366"/>
      <c r="F18" s="366"/>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20"/>
      <c r="AF18" s="20"/>
      <c r="AG18" s="20"/>
      <c r="AH18" s="20"/>
      <c r="AI18" s="25"/>
      <c r="AJ18" s="20"/>
      <c r="AK18" s="25"/>
      <c r="AL18" s="20"/>
      <c r="AM18" s="25"/>
      <c r="AN18" s="20"/>
      <c r="AO18" s="25"/>
      <c r="AP18" s="20"/>
      <c r="AQ18" s="25"/>
      <c r="AR18" s="22"/>
      <c r="AS18" s="22"/>
      <c r="AT18" s="22"/>
      <c r="AU18" s="22"/>
      <c r="AX18" s="22"/>
      <c r="BD18" s="22"/>
      <c r="BE18" s="22"/>
      <c r="BF18" s="22"/>
      <c r="BG18" s="22"/>
      <c r="BH18" s="22"/>
      <c r="BI18" s="22"/>
      <c r="BJ18" s="22"/>
      <c r="BK18" s="22"/>
      <c r="BL18" s="22"/>
      <c r="BM18" s="22"/>
    </row>
    <row r="19" spans="1:76" ht="13.2">
      <c r="A19" s="41">
        <v>1</v>
      </c>
      <c r="B19" s="1" t="s">
        <v>190</v>
      </c>
      <c r="C19" s="42" t="str">
        <f ca="1">IFERROR(__xludf.DUMMYFUNCTION("GoogleFinance(B19,""name"")"),"Block Inc")</f>
        <v>Block Inc</v>
      </c>
      <c r="D19" s="43">
        <f ca="1">IFERROR(__xludf.DUMMYFUNCTION("GoogleFinance(B19,""marketcap"")/1000000"),40438.016527)</f>
        <v>40438.016527</v>
      </c>
      <c r="E19" s="44" t="s">
        <v>7</v>
      </c>
      <c r="F19" s="44" t="s">
        <v>7</v>
      </c>
      <c r="G19" s="45">
        <v>45266</v>
      </c>
      <c r="H19" s="46">
        <v>65.849999999999994</v>
      </c>
      <c r="I19" s="47">
        <v>68.739999999999995</v>
      </c>
      <c r="J19" s="48">
        <v>58.190282222868788</v>
      </c>
      <c r="K19" s="49">
        <v>4000</v>
      </c>
      <c r="L19" s="50">
        <v>3831.8300843759093</v>
      </c>
      <c r="M19" s="50">
        <v>168.16991562409066</v>
      </c>
      <c r="N19" s="51">
        <v>4.3887623386484442E-2</v>
      </c>
      <c r="O19" s="52">
        <v>46</v>
      </c>
      <c r="P19" s="53">
        <v>82</v>
      </c>
      <c r="Q19" s="51">
        <f>H19/P19-1</f>
        <v>-0.19695121951219519</v>
      </c>
      <c r="R19" s="44">
        <v>56</v>
      </c>
      <c r="S19" s="95">
        <f>I19/R19-1</f>
        <v>0.22749999999999981</v>
      </c>
      <c r="T19" s="8">
        <f ca="1">IFERROR(__xludf.DUMMYFUNCTION("GoogleFinance(B19,""changepct"")/100"),0.0214)</f>
        <v>2.1399999999999999E-2</v>
      </c>
      <c r="U19" s="8" t="e">
        <f>H19/AI20-1</f>
        <v>#DIV/0!</v>
      </c>
      <c r="V19" s="8" t="e">
        <f>H19/AK20-1</f>
        <v>#DIV/0!</v>
      </c>
      <c r="W19" s="8" t="e">
        <f>H19/AM20-1</f>
        <v>#DIV/0!</v>
      </c>
      <c r="X19" s="8" t="e">
        <f>H19/AO20-1</f>
        <v>#DIV/0!</v>
      </c>
      <c r="Y19" s="8">
        <f ca="1">H19/AQ20-1</f>
        <v>-0.14867485455720753</v>
      </c>
      <c r="Z19" s="54" t="s">
        <v>72</v>
      </c>
      <c r="AA19" s="55" t="s">
        <v>84</v>
      </c>
      <c r="AB19" s="55" t="s">
        <v>84</v>
      </c>
      <c r="AC19" s="56" t="s">
        <v>125</v>
      </c>
      <c r="AD19" s="329" t="s">
        <v>191</v>
      </c>
      <c r="AE19" s="2"/>
      <c r="AF19" s="2"/>
      <c r="AG19" s="2"/>
      <c r="AH19" s="2" t="str">
        <f ca="1">IFERROR(__xludf.DUMMYFUNCTION("GoogleFinance(B19,""price"",today()-7)"),"#N/A")</f>
        <v>#N/A</v>
      </c>
      <c r="AI19" s="25"/>
      <c r="AJ19" s="2" t="str">
        <f ca="1">IFERROR(__xludf.DUMMYFUNCTION("GoogleFinance(B19,""price"",today()-31)"),"#N/A")</f>
        <v>#N/A</v>
      </c>
      <c r="AK19" s="25"/>
      <c r="AL19" s="2" t="str">
        <f ca="1">IFERROR(__xludf.DUMMYFUNCTION("GoogleFinance(B19,""price"",today()-91)"),"#N/A")</f>
        <v>#N/A</v>
      </c>
      <c r="AM19" s="25"/>
      <c r="AN19" s="2" t="str">
        <f ca="1">IFERROR(__xludf.DUMMYFUNCTION("GoogleFinance(B19,""price"",today()-182)"),"#N/A")</f>
        <v>#N/A</v>
      </c>
      <c r="AO19" s="25"/>
      <c r="AP19" s="2" t="str">
        <f ca="1">IFERROR(__xludf.DUMMYFUNCTION("GoogleFinance(B19,""price"",DATE(2023,12,29))"),"Date")</f>
        <v>Date</v>
      </c>
      <c r="AQ19" s="25" t="str">
        <f ca="1">IFERROR(__xludf.DUMMYFUNCTION("""COMPUTED_VALUE"""),"Close")</f>
        <v>Close</v>
      </c>
      <c r="AR19" s="5"/>
      <c r="AS19" s="5"/>
      <c r="AT19" s="5"/>
      <c r="AU19" s="5"/>
      <c r="AX19" s="5"/>
      <c r="BD19" s="5"/>
      <c r="BE19" s="5"/>
      <c r="BF19" s="5"/>
      <c r="BG19" s="5"/>
      <c r="BH19" s="5"/>
      <c r="BI19" s="5"/>
      <c r="BJ19" s="5"/>
      <c r="BK19" s="5"/>
      <c r="BL19" s="5"/>
      <c r="BM19" s="5"/>
    </row>
    <row r="20" spans="1:76" ht="13.2" hidden="1">
      <c r="A20" s="368" t="e">
        <f>1+#REF!</f>
        <v>#REF!</v>
      </c>
      <c r="B20" s="19"/>
      <c r="C20" s="308"/>
      <c r="D20" s="309"/>
      <c r="E20" s="21"/>
      <c r="F20" s="21"/>
      <c r="G20" s="369"/>
      <c r="H20" s="368"/>
      <c r="I20" s="312"/>
      <c r="J20" s="313"/>
      <c r="K20" s="370"/>
      <c r="L20" s="314"/>
      <c r="M20" s="314"/>
      <c r="N20" s="123"/>
      <c r="O20" s="317"/>
      <c r="P20" s="21"/>
      <c r="Q20" s="123"/>
      <c r="R20" s="21"/>
      <c r="S20" s="127"/>
      <c r="T20" s="123"/>
      <c r="U20" s="123"/>
      <c r="V20" s="123"/>
      <c r="W20" s="123"/>
      <c r="X20" s="123"/>
      <c r="Y20" s="127"/>
      <c r="Z20" s="120"/>
      <c r="AA20" s="371"/>
      <c r="AB20" s="371"/>
      <c r="AC20" s="120"/>
      <c r="AD20" s="372"/>
      <c r="AE20" s="123"/>
      <c r="AF20" s="123"/>
      <c r="AG20" s="123"/>
      <c r="AH20" s="123"/>
      <c r="AI20" s="373"/>
      <c r="AJ20" s="123"/>
      <c r="AK20" s="373"/>
      <c r="AL20" s="123"/>
      <c r="AM20" s="373"/>
      <c r="AN20" s="123"/>
      <c r="AO20" s="373"/>
      <c r="AP20" s="123">
        <f ca="1">IFERROR(__xludf.DUMMYFUNCTION("""COMPUTED_VALUE"""),45289.6666666666)</f>
        <v>45289.666666666599</v>
      </c>
      <c r="AQ20" s="373">
        <f ca="1">IFERROR(__xludf.DUMMYFUNCTION("""COMPUTED_VALUE"""),77.35)</f>
        <v>77.349999999999994</v>
      </c>
      <c r="AR20" s="120"/>
      <c r="AS20" s="120"/>
      <c r="AT20" s="120" t="s">
        <v>69</v>
      </c>
      <c r="AU20" s="374">
        <v>4.65E-2</v>
      </c>
      <c r="AV20" s="375">
        <v>-1.0200000000000001E-2</v>
      </c>
      <c r="AW20" s="132"/>
      <c r="AX20" s="120"/>
      <c r="AY20" s="132"/>
      <c r="AZ20" s="132"/>
      <c r="BA20" s="132"/>
      <c r="BB20" s="132"/>
      <c r="BC20" s="132"/>
      <c r="BD20" s="120"/>
      <c r="BE20" s="120"/>
      <c r="BF20" s="120"/>
      <c r="BG20" s="120"/>
      <c r="BH20" s="120"/>
      <c r="BI20" s="120"/>
      <c r="BJ20" s="120"/>
      <c r="BK20" s="120"/>
      <c r="BL20" s="120"/>
      <c r="BM20" s="120"/>
      <c r="BN20" s="132"/>
      <c r="BO20" s="132"/>
      <c r="BP20" s="132"/>
      <c r="BQ20" s="132"/>
      <c r="BR20" s="132"/>
      <c r="BS20" s="132"/>
      <c r="BT20" s="132"/>
      <c r="BU20" s="132"/>
      <c r="BV20" s="132"/>
      <c r="BW20" s="132"/>
      <c r="BX20" s="132"/>
    </row>
    <row r="21" spans="1:76" ht="6.75" customHeight="1">
      <c r="A21" s="376"/>
      <c r="B21" s="376"/>
      <c r="C21" s="377"/>
      <c r="D21" s="378"/>
      <c r="E21" s="379"/>
      <c r="F21" s="380"/>
      <c r="G21" s="380"/>
      <c r="H21" s="381"/>
      <c r="I21" s="376"/>
      <c r="J21" s="376"/>
      <c r="K21" s="376"/>
      <c r="L21" s="376"/>
      <c r="M21" s="376"/>
      <c r="N21" s="376"/>
      <c r="O21" s="382"/>
      <c r="P21" s="381"/>
      <c r="Q21" s="376"/>
      <c r="R21" s="376"/>
      <c r="S21" s="383"/>
      <c r="T21" s="384"/>
      <c r="U21" s="385"/>
      <c r="V21" s="385"/>
      <c r="W21" s="385"/>
      <c r="X21" s="385"/>
      <c r="Y21" s="385"/>
      <c r="Z21" s="386"/>
      <c r="AA21" s="387"/>
      <c r="AB21" s="387"/>
      <c r="AC21" s="387"/>
      <c r="AD21" s="387"/>
      <c r="AE21" s="2"/>
      <c r="AF21" s="2"/>
      <c r="AG21" s="2"/>
      <c r="AH21" s="6"/>
      <c r="AI21" s="4"/>
      <c r="AJ21" s="45"/>
      <c r="AK21" s="4"/>
      <c r="AL21" s="45"/>
      <c r="AM21" s="4"/>
      <c r="AN21" s="45"/>
      <c r="AO21" s="4"/>
      <c r="AP21" s="6"/>
      <c r="AQ21" s="4"/>
      <c r="AR21" s="5"/>
      <c r="AS21" s="5"/>
      <c r="AT21" s="5"/>
      <c r="AU21" s="5"/>
      <c r="AV21" s="5"/>
      <c r="AW21" s="5"/>
      <c r="AX21" s="5"/>
      <c r="AY21" s="5"/>
      <c r="AZ21" s="5"/>
      <c r="BA21" s="5"/>
      <c r="BB21" s="5"/>
      <c r="BC21" s="5"/>
      <c r="BD21" s="5"/>
      <c r="BE21" s="5"/>
      <c r="BF21" s="5"/>
      <c r="BG21" s="5"/>
      <c r="BH21" s="5"/>
      <c r="BI21" s="5"/>
      <c r="BJ21" s="5"/>
      <c r="BK21" s="5"/>
      <c r="BL21" s="5"/>
      <c r="BM21" s="5"/>
    </row>
    <row r="22" spans="1:76" ht="15.75" customHeight="1">
      <c r="A22" s="239"/>
      <c r="B22" s="239"/>
      <c r="C22" s="239"/>
      <c r="D22" s="239"/>
      <c r="E22" s="239"/>
      <c r="F22" s="239"/>
      <c r="G22" s="240"/>
      <c r="H22" s="388" t="s">
        <v>25</v>
      </c>
      <c r="I22" s="389"/>
      <c r="J22" s="389"/>
      <c r="K22" s="390">
        <v>100930.83008437591</v>
      </c>
      <c r="L22" s="390">
        <v>104710.6185111595</v>
      </c>
      <c r="M22" s="391">
        <v>3779.7884267835902</v>
      </c>
      <c r="N22" s="392">
        <v>3.7449294963925128E-2</v>
      </c>
      <c r="O22" s="393">
        <v>21.142857142857142</v>
      </c>
      <c r="P22" s="245"/>
      <c r="Q22" s="87"/>
      <c r="R22" s="87"/>
      <c r="S22" s="87"/>
      <c r="T22" s="87"/>
      <c r="U22" s="117"/>
      <c r="V22" s="117"/>
      <c r="W22" s="117"/>
      <c r="X22" s="117"/>
      <c r="Y22" s="117"/>
      <c r="Z22" s="3"/>
      <c r="AA22" s="3"/>
      <c r="AB22" s="3"/>
      <c r="AC22" s="3"/>
      <c r="AD22" s="3"/>
      <c r="AE22" s="2"/>
      <c r="AF22" s="2"/>
      <c r="AG22" s="2"/>
      <c r="AH22" s="3"/>
      <c r="AI22" s="24"/>
      <c r="AJ22" s="24"/>
      <c r="AK22" s="24"/>
      <c r="AL22" s="24"/>
      <c r="AM22" s="24"/>
      <c r="AN22" s="24"/>
      <c r="AO22" s="24"/>
      <c r="AP22" s="24"/>
      <c r="AQ22" s="24"/>
      <c r="AR22" s="24"/>
      <c r="AS22" s="24"/>
      <c r="AT22" s="5"/>
      <c r="AU22" s="5"/>
      <c r="AV22" s="5"/>
      <c r="AW22" s="5"/>
      <c r="AX22" s="5"/>
      <c r="AY22" s="5"/>
      <c r="AZ22" s="5"/>
      <c r="BA22" s="24"/>
      <c r="BB22" s="24"/>
      <c r="BC22" s="24"/>
      <c r="BD22" s="24"/>
      <c r="BE22" s="24"/>
      <c r="BF22" s="24"/>
      <c r="BG22" s="24"/>
      <c r="BH22" s="24"/>
      <c r="BI22" s="24"/>
      <c r="BJ22" s="24"/>
      <c r="BK22" s="24"/>
      <c r="BL22" s="24"/>
      <c r="BM22" s="24"/>
      <c r="BN22" s="24"/>
      <c r="BO22" s="24"/>
      <c r="BP22" s="24"/>
      <c r="BQ22" s="24"/>
      <c r="BR22" s="24"/>
      <c r="BS22" s="24"/>
      <c r="BT22" s="24"/>
      <c r="BU22" s="24"/>
      <c r="BV22" s="24"/>
      <c r="BW22" s="229"/>
      <c r="BX22" s="229"/>
    </row>
    <row r="23" spans="1:76" ht="15.75" customHeight="1">
      <c r="A23" s="239"/>
      <c r="B23" s="239"/>
      <c r="C23" s="239"/>
      <c r="D23" s="239"/>
      <c r="E23" s="239"/>
      <c r="F23" s="239"/>
      <c r="G23" s="239"/>
      <c r="H23" s="230"/>
      <c r="I23" s="230"/>
      <c r="J23" s="230"/>
      <c r="K23" s="230"/>
      <c r="L23" s="230"/>
      <c r="M23" s="236"/>
      <c r="N23" s="236"/>
      <c r="O23" s="237"/>
      <c r="P23" s="87"/>
      <c r="Q23" s="87"/>
      <c r="R23" s="87"/>
      <c r="S23" s="87"/>
      <c r="T23" s="87"/>
      <c r="U23" s="117"/>
      <c r="V23" s="117"/>
      <c r="W23" s="117"/>
      <c r="X23" s="117"/>
      <c r="Y23" s="117"/>
      <c r="Z23" s="3"/>
      <c r="AA23" s="3"/>
      <c r="AB23" s="3"/>
      <c r="AC23" s="3"/>
      <c r="AD23" s="3"/>
      <c r="AE23" s="3"/>
      <c r="AF23" s="3"/>
      <c r="AG23" s="3"/>
      <c r="AH23" s="87" t="s">
        <v>141</v>
      </c>
      <c r="AI23" s="117"/>
      <c r="AJ23" s="87" t="s">
        <v>142</v>
      </c>
      <c r="AK23" s="117"/>
      <c r="AL23" s="87" t="s">
        <v>143</v>
      </c>
      <c r="AM23" s="88"/>
      <c r="AN23" s="87" t="s">
        <v>144</v>
      </c>
      <c r="AO23" s="88"/>
      <c r="AP23" s="87" t="s">
        <v>145</v>
      </c>
      <c r="AQ23" s="88"/>
      <c r="AR23" s="24" t="s">
        <v>49</v>
      </c>
      <c r="AS23" s="117"/>
      <c r="AT23" s="5"/>
      <c r="AU23" s="5"/>
      <c r="AV23" s="5"/>
      <c r="AW23" s="5"/>
      <c r="AX23" s="5"/>
      <c r="AY23" s="5"/>
      <c r="AZ23" s="5"/>
      <c r="BA23" s="87"/>
      <c r="BB23" s="87"/>
      <c r="BC23" s="87"/>
      <c r="BD23" s="87"/>
      <c r="BE23" s="87"/>
      <c r="BF23" s="87"/>
      <c r="BG23" s="87"/>
      <c r="BH23" s="87"/>
      <c r="BI23" s="87"/>
      <c r="BJ23" s="87"/>
      <c r="BK23" s="87"/>
      <c r="BL23" s="87"/>
      <c r="BM23" s="87"/>
      <c r="BN23" s="87"/>
      <c r="BO23" s="87"/>
      <c r="BP23" s="87"/>
      <c r="BQ23" s="87"/>
      <c r="BR23" s="87"/>
      <c r="BS23" s="87"/>
      <c r="BT23" s="87"/>
      <c r="BU23" s="87"/>
      <c r="BV23" s="87"/>
      <c r="BW23" s="394"/>
      <c r="BX23" s="394"/>
    </row>
    <row r="24" spans="1:76" ht="15.75" customHeight="1">
      <c r="A24" s="239"/>
      <c r="B24" s="239"/>
      <c r="C24" s="460" t="s">
        <v>192</v>
      </c>
      <c r="D24" s="461"/>
      <c r="E24" s="461"/>
      <c r="F24" s="461"/>
      <c r="G24" s="462"/>
      <c r="H24" s="239"/>
      <c r="I24" s="239"/>
      <c r="J24" s="239"/>
      <c r="K24" s="239"/>
      <c r="L24" s="51"/>
      <c r="M24" s="87"/>
      <c r="N24" s="87"/>
      <c r="O24" s="87"/>
      <c r="P24" s="87"/>
      <c r="Q24" s="87"/>
      <c r="R24" s="87"/>
      <c r="S24" s="87"/>
      <c r="T24" s="87"/>
      <c r="U24" s="117"/>
      <c r="V24" s="117"/>
      <c r="W24" s="117"/>
      <c r="X24" s="117"/>
      <c r="Y24" s="117"/>
      <c r="Z24" s="3"/>
      <c r="AA24" s="3"/>
      <c r="AB24" s="3"/>
      <c r="AC24" s="3"/>
      <c r="AD24" s="3"/>
      <c r="AE24" s="3"/>
      <c r="AF24" s="139" t="s">
        <v>5</v>
      </c>
      <c r="AG24" s="266" t="s">
        <v>4</v>
      </c>
      <c r="AH24" s="2" t="str">
        <f ca="1">IFERROR(__xludf.DUMMYFUNCTION("GoogleFinance(AF24,""price"",today()-7)"),"#N/A")</f>
        <v>#N/A</v>
      </c>
      <c r="AI24" s="25"/>
      <c r="AJ24" s="45" t="str">
        <f ca="1">IFERROR(__xludf.DUMMYFUNCTION("GoogleFinance(AF24,""price"",today()-31)"),"#N/A")</f>
        <v>#N/A</v>
      </c>
      <c r="AK24" s="25"/>
      <c r="AL24" s="45" t="str">
        <f ca="1">IFERROR(__xludf.DUMMYFUNCTION("GoogleFinance(AF24,""price"",today()-91)"),"#N/A")</f>
        <v>#N/A</v>
      </c>
      <c r="AM24" s="25"/>
      <c r="AN24" s="45" t="str">
        <f ca="1">IFERROR(__xludf.DUMMYFUNCTION("GoogleFinance(AF24,""price"",today()-182)"),"#N/A")</f>
        <v>#N/A</v>
      </c>
      <c r="AO24" s="25"/>
      <c r="AP24" s="45" t="str">
        <f ca="1">IFERROR(__xludf.DUMMYFUNCTION("GoogleFinance(AF24,""price"",today()-364)"),"#N/A")</f>
        <v>#N/A</v>
      </c>
      <c r="AQ24" s="25"/>
      <c r="AR24" s="45" t="str">
        <f ca="1">IFERROR(__xludf.DUMMYFUNCTION("GoogleFinance(AF24,""price"",DATE(2023,12,29))"),"#N/A")</f>
        <v>#N/A</v>
      </c>
      <c r="AS24" s="25"/>
      <c r="AT24" s="5"/>
      <c r="AU24" s="5"/>
      <c r="AV24" s="5"/>
      <c r="AW24" s="5"/>
      <c r="AX24" s="5"/>
      <c r="AY24" s="5"/>
      <c r="AZ24" s="5"/>
      <c r="BA24" s="87"/>
      <c r="BB24" s="87"/>
      <c r="BC24" s="87"/>
      <c r="BD24" s="87"/>
      <c r="BE24" s="87"/>
      <c r="BF24" s="87"/>
      <c r="BG24" s="87"/>
      <c r="BH24" s="87"/>
      <c r="BI24" s="87"/>
      <c r="BJ24" s="87"/>
      <c r="BK24" s="87"/>
      <c r="BL24" s="87"/>
      <c r="BM24" s="87"/>
      <c r="BN24" s="87"/>
      <c r="BO24" s="87"/>
      <c r="BP24" s="87"/>
      <c r="BQ24" s="87"/>
      <c r="BR24" s="87"/>
      <c r="BS24" s="87"/>
      <c r="BT24" s="87"/>
      <c r="BU24" s="87"/>
      <c r="BV24" s="87"/>
      <c r="BW24" s="394"/>
      <c r="BX24" s="394"/>
    </row>
    <row r="25" spans="1:76" ht="15.75" customHeight="1">
      <c r="A25" s="239"/>
      <c r="B25" s="239"/>
      <c r="C25" s="139"/>
      <c r="D25" s="7"/>
      <c r="E25" s="3"/>
      <c r="F25" s="3"/>
      <c r="G25" s="3"/>
      <c r="H25" s="3"/>
      <c r="I25" s="239"/>
      <c r="J25" s="239"/>
      <c r="K25" s="239"/>
      <c r="L25" s="239"/>
      <c r="M25" s="87"/>
      <c r="N25" s="87"/>
      <c r="O25" s="87"/>
      <c r="P25" s="87"/>
      <c r="Q25" s="87"/>
      <c r="R25" s="87"/>
      <c r="S25" s="87"/>
      <c r="T25" s="87"/>
      <c r="U25" s="117"/>
      <c r="V25" s="117"/>
      <c r="W25" s="117"/>
      <c r="X25" s="117"/>
      <c r="Y25" s="117"/>
      <c r="Z25" s="117"/>
      <c r="AA25" s="117"/>
      <c r="AB25" s="117"/>
      <c r="AC25" s="117"/>
      <c r="AD25" s="3"/>
      <c r="AE25" s="3"/>
      <c r="AF25" s="3"/>
      <c r="AG25" s="41">
        <f ca="1">IFERROR(__xludf.DUMMYFUNCTION("GOOGLEFINANCE(AF24)"),482.43)</f>
        <v>482.43</v>
      </c>
      <c r="AH25" s="45"/>
      <c r="AI25" s="25"/>
      <c r="AJ25" s="45"/>
      <c r="AK25" s="25"/>
      <c r="AL25" s="45"/>
      <c r="AM25" s="25"/>
      <c r="AN25" s="45"/>
      <c r="AO25" s="25"/>
      <c r="AP25" s="45"/>
      <c r="AQ25" s="25"/>
      <c r="AR25" s="45"/>
      <c r="AS25" s="25"/>
      <c r="AT25" s="5"/>
      <c r="AU25" s="5"/>
      <c r="AV25" s="5"/>
      <c r="AW25" s="5"/>
      <c r="AX25" s="5"/>
      <c r="AY25" s="5"/>
      <c r="AZ25" s="5"/>
      <c r="BA25" s="87"/>
      <c r="BB25" s="87"/>
      <c r="BC25" s="87"/>
      <c r="BD25" s="87"/>
      <c r="BE25" s="87"/>
      <c r="BF25" s="87"/>
      <c r="BG25" s="87"/>
      <c r="BH25" s="87"/>
      <c r="BI25" s="87"/>
      <c r="BJ25" s="87"/>
      <c r="BK25" s="87"/>
      <c r="BL25" s="87"/>
      <c r="BM25" s="87"/>
      <c r="BN25" s="87"/>
      <c r="BO25" s="87"/>
      <c r="BP25" s="87"/>
      <c r="BQ25" s="87"/>
      <c r="BR25" s="87"/>
      <c r="BS25" s="87"/>
      <c r="BT25" s="87"/>
      <c r="BU25" s="87"/>
      <c r="BV25" s="87"/>
      <c r="BW25" s="394"/>
      <c r="BX25" s="394"/>
    </row>
    <row r="26" spans="1:76" ht="15.75" customHeight="1">
      <c r="A26" s="239"/>
      <c r="B26" s="239"/>
      <c r="C26" s="395" t="s">
        <v>155</v>
      </c>
      <c r="D26" s="396">
        <f>N57</f>
        <v>1.3775184086343595E-2</v>
      </c>
      <c r="E26" s="3"/>
      <c r="F26" s="3"/>
      <c r="G26" s="3"/>
      <c r="H26" s="3"/>
      <c r="I26" s="230"/>
      <c r="J26" s="237"/>
      <c r="K26" s="237"/>
      <c r="L26" s="87"/>
      <c r="M26" s="87"/>
      <c r="N26" s="87"/>
      <c r="O26" s="87"/>
      <c r="P26" s="87"/>
      <c r="Q26" s="87"/>
      <c r="R26" s="87"/>
      <c r="S26" s="87"/>
      <c r="T26" s="87"/>
      <c r="U26" s="117"/>
      <c r="V26" s="117"/>
      <c r="W26" s="117"/>
      <c r="X26" s="117"/>
      <c r="Y26" s="117"/>
      <c r="Z26" s="117"/>
      <c r="AA26" s="117"/>
      <c r="AB26" s="117"/>
      <c r="AC26" s="117"/>
      <c r="AD26" s="3"/>
      <c r="AE26" s="3"/>
      <c r="AF26" s="3"/>
      <c r="AG26" s="3"/>
      <c r="AH26" s="3"/>
      <c r="AI26" s="397"/>
      <c r="AJ26" s="117"/>
      <c r="AK26" s="397"/>
      <c r="AL26" s="117"/>
      <c r="AM26" s="397"/>
      <c r="AN26" s="117"/>
      <c r="AO26" s="397"/>
      <c r="AP26" s="24"/>
      <c r="AQ26" s="397"/>
      <c r="AR26" s="24"/>
      <c r="AS26" s="397"/>
      <c r="AT26" s="5"/>
      <c r="AU26" s="5"/>
      <c r="AV26" s="5"/>
      <c r="AW26" s="5"/>
      <c r="AX26" s="5"/>
      <c r="AY26" s="5"/>
      <c r="AZ26" s="5"/>
      <c r="BA26" s="87"/>
      <c r="BB26" s="87"/>
      <c r="BC26" s="87"/>
      <c r="BD26" s="87"/>
      <c r="BE26" s="87"/>
      <c r="BF26" s="87"/>
      <c r="BG26" s="87"/>
      <c r="BH26" s="87"/>
      <c r="BI26" s="87"/>
      <c r="BJ26" s="87"/>
      <c r="BK26" s="87"/>
      <c r="BL26" s="87"/>
      <c r="BM26" s="87"/>
      <c r="BN26" s="87"/>
      <c r="BO26" s="87"/>
      <c r="BP26" s="87"/>
      <c r="BQ26" s="87"/>
      <c r="BR26" s="87"/>
      <c r="BS26" s="87"/>
      <c r="BT26" s="87"/>
      <c r="BU26" s="87"/>
      <c r="BV26" s="87"/>
      <c r="BW26" s="394"/>
      <c r="BX26" s="394"/>
    </row>
    <row r="27" spans="1:76" ht="15.75" customHeight="1">
      <c r="A27" s="239"/>
      <c r="B27" s="239"/>
      <c r="C27" s="395" t="s">
        <v>25</v>
      </c>
      <c r="D27" s="398">
        <f>N22</f>
        <v>3.7449294963925128E-2</v>
      </c>
      <c r="E27" s="3"/>
      <c r="F27" s="3"/>
      <c r="G27" s="5"/>
      <c r="H27" s="3"/>
      <c r="I27" s="230"/>
      <c r="J27" s="237"/>
      <c r="K27" s="237"/>
      <c r="L27" s="87"/>
      <c r="M27" s="87"/>
      <c r="N27" s="87"/>
      <c r="O27" s="87"/>
      <c r="P27" s="87"/>
      <c r="Q27" s="87"/>
      <c r="R27" s="87"/>
      <c r="S27" s="87"/>
      <c r="T27" s="87"/>
      <c r="U27" s="117"/>
      <c r="V27" s="117"/>
      <c r="W27" s="117"/>
      <c r="X27" s="117"/>
      <c r="Y27" s="117"/>
      <c r="Z27" s="117"/>
      <c r="AA27" s="117"/>
      <c r="AB27" s="117"/>
      <c r="AC27" s="117"/>
      <c r="AD27" s="3"/>
      <c r="AE27" s="3"/>
      <c r="AF27" s="3"/>
      <c r="AG27" s="3"/>
      <c r="AH27" s="3"/>
      <c r="AI27" s="397"/>
      <c r="AJ27" s="117"/>
      <c r="AK27" s="397"/>
      <c r="AL27" s="117"/>
      <c r="AM27" s="397"/>
      <c r="AN27" s="117"/>
      <c r="AO27" s="397"/>
      <c r="AP27" s="24"/>
      <c r="AQ27" s="397"/>
      <c r="AR27" s="24"/>
      <c r="AS27" s="397"/>
      <c r="AT27" s="5"/>
      <c r="AU27" s="5"/>
      <c r="AV27" s="5"/>
      <c r="AW27" s="5"/>
      <c r="AX27" s="5"/>
      <c r="AY27" s="5"/>
      <c r="AZ27" s="5"/>
      <c r="BA27" s="87"/>
      <c r="BB27" s="87"/>
      <c r="BC27" s="87"/>
      <c r="BD27" s="87"/>
      <c r="BE27" s="87"/>
      <c r="BF27" s="87"/>
      <c r="BG27" s="87"/>
      <c r="BH27" s="87"/>
      <c r="BI27" s="87"/>
      <c r="BJ27" s="87"/>
      <c r="BK27" s="87"/>
      <c r="BL27" s="87"/>
      <c r="BM27" s="87"/>
      <c r="BN27" s="87"/>
      <c r="BO27" s="87"/>
      <c r="BP27" s="87"/>
      <c r="BQ27" s="87"/>
      <c r="BR27" s="87"/>
      <c r="BS27" s="87"/>
      <c r="BT27" s="87"/>
      <c r="BU27" s="87"/>
      <c r="BV27" s="87"/>
      <c r="BW27" s="394"/>
      <c r="BX27" s="394"/>
    </row>
    <row r="28" spans="1:76" ht="15.75" customHeight="1">
      <c r="A28" s="239"/>
      <c r="B28" s="239"/>
      <c r="C28" s="399" t="s">
        <v>193</v>
      </c>
      <c r="D28" s="398">
        <f>(M22+M57)/100000</f>
        <v>4.8889676378027505E-2</v>
      </c>
      <c r="F28" s="3"/>
      <c r="G28" s="3"/>
      <c r="H28" s="3"/>
      <c r="I28" s="230"/>
      <c r="J28" s="237"/>
      <c r="K28" s="237"/>
      <c r="L28" s="87"/>
      <c r="M28" s="87"/>
      <c r="N28" s="87"/>
      <c r="O28" s="87"/>
      <c r="P28" s="87"/>
      <c r="Q28" s="87"/>
      <c r="R28" s="87"/>
      <c r="S28" s="87"/>
      <c r="T28" s="87"/>
      <c r="U28" s="117"/>
      <c r="V28" s="117"/>
      <c r="W28" s="117"/>
      <c r="X28" s="117"/>
      <c r="Y28" s="117"/>
      <c r="Z28" s="117"/>
      <c r="AA28" s="117"/>
      <c r="AB28" s="117"/>
      <c r="AC28" s="117"/>
      <c r="AD28" s="3"/>
      <c r="AE28" s="3"/>
      <c r="AF28" s="3"/>
      <c r="AG28" s="3"/>
      <c r="AH28" s="3"/>
      <c r="AI28" s="397"/>
      <c r="AJ28" s="117"/>
      <c r="AK28" s="397"/>
      <c r="AL28" s="117"/>
      <c r="AM28" s="397"/>
      <c r="AN28" s="117"/>
      <c r="AO28" s="397"/>
      <c r="AP28" s="24"/>
      <c r="AQ28" s="397"/>
      <c r="AR28" s="24"/>
      <c r="AS28" s="397"/>
      <c r="AT28" s="5"/>
      <c r="AU28" s="5"/>
      <c r="AV28" s="5"/>
      <c r="AW28" s="5"/>
      <c r="AX28" s="5"/>
      <c r="AY28" s="5"/>
      <c r="AZ28" s="5"/>
      <c r="BA28" s="87"/>
      <c r="BB28" s="87"/>
      <c r="BC28" s="87"/>
      <c r="BD28" s="87"/>
      <c r="BE28" s="87"/>
      <c r="BF28" s="87"/>
      <c r="BG28" s="87"/>
      <c r="BH28" s="87"/>
      <c r="BI28" s="87"/>
      <c r="BJ28" s="87"/>
      <c r="BK28" s="87"/>
      <c r="BL28" s="87"/>
      <c r="BM28" s="87"/>
      <c r="BN28" s="87"/>
      <c r="BO28" s="87"/>
      <c r="BP28" s="87"/>
      <c r="BQ28" s="87"/>
      <c r="BR28" s="87"/>
      <c r="BS28" s="87"/>
      <c r="BT28" s="87"/>
      <c r="BU28" s="87"/>
      <c r="BV28" s="87"/>
      <c r="BW28" s="394"/>
      <c r="BX28" s="394"/>
    </row>
    <row r="29" spans="1:76" ht="15.75" customHeight="1">
      <c r="A29" s="239"/>
      <c r="B29" s="239"/>
      <c r="C29" s="139" t="s">
        <v>59</v>
      </c>
      <c r="D29" s="396">
        <v>1.4999999999999999E-2</v>
      </c>
      <c r="E29" s="3"/>
      <c r="F29" s="3"/>
      <c r="G29" s="3"/>
      <c r="H29" s="3"/>
      <c r="I29" s="230"/>
      <c r="J29" s="237"/>
      <c r="K29" s="237"/>
      <c r="L29" s="87"/>
      <c r="M29" s="87"/>
      <c r="N29" s="87"/>
      <c r="O29" s="87"/>
      <c r="P29" s="87"/>
      <c r="Q29" s="87"/>
      <c r="R29" s="87"/>
      <c r="S29" s="87"/>
      <c r="T29" s="87"/>
      <c r="U29" s="117"/>
      <c r="V29" s="117"/>
      <c r="W29" s="117"/>
      <c r="X29" s="117"/>
      <c r="Y29" s="117"/>
      <c r="Z29" s="117"/>
      <c r="AA29" s="117"/>
      <c r="AB29" s="117"/>
      <c r="AC29" s="117"/>
      <c r="AD29" s="3"/>
      <c r="AE29" s="3"/>
      <c r="AF29" s="252"/>
      <c r="AG29" s="252"/>
      <c r="AH29" s="252"/>
      <c r="AI29" s="397"/>
      <c r="AJ29" s="400"/>
      <c r="AK29" s="397"/>
      <c r="AL29" s="117"/>
      <c r="AM29" s="397"/>
      <c r="AN29" s="117"/>
      <c r="AO29" s="397"/>
      <c r="AP29" s="24"/>
      <c r="AQ29" s="397"/>
      <c r="AR29" s="24"/>
      <c r="AS29" s="397"/>
      <c r="AT29" s="5"/>
      <c r="AU29" s="5"/>
      <c r="AV29" s="5"/>
      <c r="AW29" s="5"/>
      <c r="AX29" s="5"/>
      <c r="AY29" s="5"/>
      <c r="AZ29" s="5"/>
      <c r="BA29" s="87"/>
      <c r="BB29" s="87"/>
      <c r="BC29" s="87"/>
      <c r="BD29" s="87"/>
      <c r="BE29" s="87"/>
      <c r="BF29" s="87"/>
      <c r="BG29" s="87"/>
      <c r="BH29" s="87"/>
      <c r="BI29" s="87"/>
      <c r="BJ29" s="87"/>
      <c r="BK29" s="87"/>
      <c r="BL29" s="87"/>
      <c r="BM29" s="87"/>
      <c r="BN29" s="87"/>
      <c r="BO29" s="87"/>
      <c r="BP29" s="87"/>
      <c r="BQ29" s="87"/>
      <c r="BR29" s="87"/>
      <c r="BS29" s="87"/>
      <c r="BT29" s="87"/>
      <c r="BU29" s="87"/>
      <c r="BV29" s="87"/>
      <c r="BW29" s="394"/>
      <c r="BX29" s="394"/>
    </row>
    <row r="30" spans="1:76" ht="15.75" customHeight="1">
      <c r="A30" s="239"/>
      <c r="B30" s="239"/>
      <c r="C30" s="7"/>
      <c r="D30" s="7"/>
      <c r="E30" s="7"/>
      <c r="F30" s="7"/>
      <c r="G30" s="7"/>
      <c r="H30" s="230"/>
      <c r="I30" s="230"/>
      <c r="J30" s="237"/>
      <c r="K30" s="237"/>
      <c r="L30" s="87"/>
      <c r="M30" s="87"/>
      <c r="N30" s="87"/>
      <c r="O30" s="87"/>
      <c r="P30" s="87"/>
      <c r="Q30" s="87"/>
      <c r="R30" s="87"/>
      <c r="S30" s="87"/>
      <c r="T30" s="87"/>
      <c r="U30" s="117"/>
      <c r="V30" s="117"/>
      <c r="W30" s="117"/>
      <c r="X30" s="117"/>
      <c r="Y30" s="117"/>
      <c r="Z30" s="117"/>
      <c r="AA30" s="117"/>
      <c r="AB30" s="117"/>
      <c r="AC30" s="117"/>
      <c r="AD30" s="3"/>
      <c r="AE30" s="14"/>
      <c r="AF30" s="14"/>
      <c r="AG30" s="460" t="s">
        <v>194</v>
      </c>
      <c r="AH30" s="461"/>
      <c r="AI30" s="461"/>
      <c r="AJ30" s="461"/>
      <c r="AK30" s="462"/>
      <c r="AL30" s="401"/>
      <c r="AM30" s="397"/>
      <c r="AN30" s="117"/>
      <c r="AO30" s="397"/>
      <c r="AP30" s="24"/>
      <c r="AQ30" s="397"/>
      <c r="AR30" s="24"/>
      <c r="AS30" s="397"/>
      <c r="AT30" s="5"/>
      <c r="AU30" s="5"/>
      <c r="AV30" s="5"/>
      <c r="AW30" s="5"/>
      <c r="AX30" s="5"/>
      <c r="AY30" s="5"/>
      <c r="AZ30" s="5"/>
      <c r="BA30" s="87"/>
      <c r="BB30" s="87"/>
      <c r="BC30" s="87"/>
      <c r="BD30" s="87"/>
      <c r="BE30" s="87"/>
      <c r="BF30" s="87"/>
      <c r="BG30" s="87"/>
      <c r="BH30" s="87"/>
      <c r="BI30" s="87"/>
      <c r="BJ30" s="87"/>
      <c r="BK30" s="87"/>
      <c r="BL30" s="87"/>
      <c r="BM30" s="87"/>
      <c r="BN30" s="87"/>
      <c r="BO30" s="87"/>
      <c r="BP30" s="87"/>
      <c r="BQ30" s="87"/>
      <c r="BR30" s="87"/>
      <c r="BS30" s="87"/>
      <c r="BT30" s="87"/>
      <c r="BU30" s="87"/>
      <c r="BV30" s="87"/>
      <c r="BW30" s="394"/>
      <c r="BX30" s="394"/>
    </row>
    <row r="31" spans="1:76" ht="15.75" customHeight="1">
      <c r="A31" s="239"/>
      <c r="B31" s="239"/>
      <c r="C31" s="402" t="s">
        <v>26</v>
      </c>
      <c r="D31" s="7"/>
      <c r="E31" s="403" t="s">
        <v>195</v>
      </c>
      <c r="F31" s="404" t="s">
        <v>196</v>
      </c>
      <c r="G31" s="139"/>
      <c r="H31" s="230"/>
      <c r="I31" s="230"/>
      <c r="J31" s="237"/>
      <c r="K31" s="237"/>
      <c r="L31" s="87"/>
      <c r="M31" s="87"/>
      <c r="N31" s="87"/>
      <c r="O31" s="87"/>
      <c r="P31" s="87"/>
      <c r="Q31" s="87"/>
      <c r="R31" s="87"/>
      <c r="S31" s="87"/>
      <c r="T31" s="87"/>
      <c r="U31" s="117"/>
      <c r="V31" s="117"/>
      <c r="W31" s="117"/>
      <c r="X31" s="117"/>
      <c r="Y31" s="117"/>
      <c r="Z31" s="117"/>
      <c r="AA31" s="117"/>
      <c r="AB31" s="117"/>
      <c r="AC31" s="117"/>
      <c r="AD31" s="3"/>
      <c r="AE31" s="3"/>
      <c r="AF31" s="405"/>
      <c r="AG31" s="406" t="s">
        <v>197</v>
      </c>
      <c r="AH31" s="407" t="s">
        <v>198</v>
      </c>
      <c r="AI31" s="407" t="s">
        <v>199</v>
      </c>
      <c r="AJ31" s="407" t="s">
        <v>200</v>
      </c>
      <c r="AK31" s="407" t="s">
        <v>201</v>
      </c>
      <c r="AL31" s="117"/>
      <c r="AM31" s="397"/>
      <c r="AN31" s="117"/>
      <c r="AO31" s="397"/>
      <c r="AP31" s="24"/>
      <c r="AQ31" s="397"/>
      <c r="AR31" s="24"/>
      <c r="AS31" s="397"/>
      <c r="AT31" s="5"/>
      <c r="AU31" s="5"/>
      <c r="AV31" s="5"/>
      <c r="AW31" s="5"/>
      <c r="AX31" s="5"/>
      <c r="AY31" s="5"/>
      <c r="AZ31" s="5"/>
      <c r="BA31" s="87"/>
      <c r="BB31" s="87"/>
      <c r="BC31" s="87"/>
      <c r="BD31" s="87"/>
      <c r="BE31" s="87"/>
      <c r="BF31" s="87"/>
      <c r="BG31" s="87"/>
      <c r="BH31" s="87"/>
      <c r="BI31" s="87"/>
      <c r="BJ31" s="87"/>
      <c r="BK31" s="87"/>
      <c r="BL31" s="87"/>
      <c r="BM31" s="87"/>
      <c r="BN31" s="87"/>
      <c r="BO31" s="87"/>
      <c r="BP31" s="87"/>
      <c r="BQ31" s="87"/>
      <c r="BR31" s="87"/>
      <c r="BS31" s="87"/>
      <c r="BT31" s="87"/>
      <c r="BU31" s="87"/>
      <c r="BV31" s="87"/>
      <c r="BW31" s="394"/>
      <c r="BX31" s="394"/>
    </row>
    <row r="32" spans="1:76" ht="15.75" customHeight="1">
      <c r="A32" s="239"/>
      <c r="B32" s="239"/>
      <c r="C32" s="408"/>
      <c r="D32" s="409" t="s">
        <v>202</v>
      </c>
      <c r="E32" s="410">
        <f>AVERAGE(N52:N54)</f>
        <v>-4.9626693774006893E-2</v>
      </c>
      <c r="F32" s="411"/>
      <c r="G32" s="7"/>
      <c r="H32" s="230"/>
      <c r="I32" s="230"/>
      <c r="J32" s="237"/>
      <c r="K32" s="237"/>
      <c r="L32" s="87"/>
      <c r="M32" s="87"/>
      <c r="N32" s="87"/>
      <c r="O32" s="87"/>
      <c r="P32" s="87"/>
      <c r="Q32" s="87"/>
      <c r="R32" s="87"/>
      <c r="S32" s="87"/>
      <c r="T32" s="87"/>
      <c r="U32" s="117"/>
      <c r="V32" s="117"/>
      <c r="W32" s="117"/>
      <c r="X32" s="117"/>
      <c r="Y32" s="117"/>
      <c r="Z32" s="117"/>
      <c r="AA32" s="117"/>
      <c r="AB32" s="117"/>
      <c r="AC32" s="117"/>
      <c r="AD32" s="3"/>
      <c r="AE32" s="3"/>
      <c r="AF32" s="412">
        <v>2023</v>
      </c>
      <c r="AG32" s="41">
        <v>103</v>
      </c>
      <c r="AH32" s="413">
        <v>0.47</v>
      </c>
      <c r="AI32" s="41" t="s">
        <v>203</v>
      </c>
      <c r="AJ32" s="41" t="s">
        <v>204</v>
      </c>
      <c r="AK32" s="41" t="s">
        <v>205</v>
      </c>
      <c r="AL32" s="117"/>
      <c r="AM32" s="397"/>
      <c r="AN32" s="117"/>
      <c r="AO32" s="397"/>
      <c r="AP32" s="24"/>
      <c r="AQ32" s="397"/>
      <c r="AR32" s="24"/>
      <c r="AS32" s="397"/>
      <c r="AT32" s="5"/>
      <c r="AU32" s="5"/>
      <c r="AV32" s="5"/>
      <c r="AW32" s="5"/>
      <c r="AX32" s="5"/>
      <c r="AY32" s="5"/>
      <c r="AZ32" s="5"/>
      <c r="BA32" s="87"/>
      <c r="BB32" s="87"/>
      <c r="BC32" s="87"/>
      <c r="BD32" s="87"/>
      <c r="BE32" s="87"/>
      <c r="BF32" s="87"/>
      <c r="BG32" s="87"/>
      <c r="BH32" s="87"/>
      <c r="BI32" s="87"/>
      <c r="BJ32" s="87"/>
      <c r="BK32" s="87"/>
      <c r="BL32" s="87"/>
      <c r="BM32" s="87"/>
      <c r="BN32" s="87"/>
      <c r="BO32" s="87"/>
      <c r="BP32" s="87"/>
      <c r="BQ32" s="87"/>
      <c r="BR32" s="87"/>
      <c r="BS32" s="87"/>
      <c r="BT32" s="87"/>
      <c r="BU32" s="87"/>
      <c r="BV32" s="87"/>
      <c r="BW32" s="394"/>
      <c r="BX32" s="394"/>
    </row>
    <row r="33" spans="1:76" ht="15.75" customHeight="1">
      <c r="A33" s="239"/>
      <c r="B33" s="239"/>
      <c r="C33" s="408"/>
      <c r="D33" s="414" t="s">
        <v>206</v>
      </c>
      <c r="E33" s="398">
        <f>AVERAGE(N50:N51,N55)</f>
        <v>3.5752987777065925E-2</v>
      </c>
      <c r="F33" s="415">
        <f>AVERAGE(N4:N14,N19)</f>
        <v>0.10152592399249658</v>
      </c>
      <c r="G33" s="7"/>
      <c r="H33" s="230"/>
      <c r="I33" s="230"/>
      <c r="J33" s="237"/>
      <c r="K33" s="237"/>
      <c r="L33" s="87"/>
      <c r="M33" s="87"/>
      <c r="N33" s="87"/>
      <c r="O33" s="87"/>
      <c r="P33" s="87"/>
      <c r="Q33" s="87"/>
      <c r="R33" s="87"/>
      <c r="S33" s="87"/>
      <c r="T33" s="87"/>
      <c r="U33" s="117"/>
      <c r="V33" s="117"/>
      <c r="W33" s="117"/>
      <c r="X33" s="117"/>
      <c r="Y33" s="117"/>
      <c r="Z33" s="117"/>
      <c r="AA33" s="117"/>
      <c r="AB33" s="117"/>
      <c r="AC33" s="117"/>
      <c r="AD33" s="3"/>
      <c r="AE33" s="3"/>
      <c r="AF33" s="412">
        <v>2022</v>
      </c>
      <c r="AG33" s="41">
        <v>101</v>
      </c>
      <c r="AH33" s="413">
        <v>0.51</v>
      </c>
      <c r="AI33" s="41" t="s">
        <v>207</v>
      </c>
      <c r="AJ33" s="41" t="s">
        <v>208</v>
      </c>
      <c r="AK33" s="41" t="s">
        <v>209</v>
      </c>
      <c r="AL33" s="117"/>
      <c r="AM33" s="397"/>
      <c r="AN33" s="117"/>
      <c r="AO33" s="397"/>
      <c r="AP33" s="24"/>
      <c r="AQ33" s="397"/>
      <c r="AR33" s="24"/>
      <c r="AS33" s="397"/>
      <c r="AT33" s="5"/>
      <c r="AU33" s="5"/>
      <c r="AV33" s="5"/>
      <c r="AW33" s="5"/>
      <c r="AX33" s="5"/>
      <c r="AY33" s="5"/>
      <c r="AZ33" s="5"/>
      <c r="BA33" s="87"/>
      <c r="BB33" s="87"/>
      <c r="BC33" s="87"/>
      <c r="BD33" s="87"/>
      <c r="BE33" s="87"/>
      <c r="BF33" s="87"/>
      <c r="BG33" s="87"/>
      <c r="BH33" s="87"/>
      <c r="BI33" s="87"/>
      <c r="BJ33" s="87"/>
      <c r="BK33" s="87"/>
      <c r="BL33" s="87"/>
      <c r="BM33" s="87"/>
      <c r="BN33" s="87"/>
      <c r="BO33" s="87"/>
      <c r="BP33" s="87"/>
      <c r="BQ33" s="87"/>
      <c r="BR33" s="87"/>
      <c r="BS33" s="87"/>
      <c r="BT33" s="87"/>
      <c r="BU33" s="87"/>
      <c r="BV33" s="87"/>
      <c r="BW33" s="394"/>
      <c r="BX33" s="394"/>
    </row>
    <row r="34" spans="1:76" ht="15.75" customHeight="1">
      <c r="A34" s="239"/>
      <c r="B34" s="239"/>
      <c r="C34" s="416" t="s">
        <v>210</v>
      </c>
      <c r="D34" s="417"/>
      <c r="E34" s="142" t="s">
        <v>211</v>
      </c>
      <c r="F34" s="142" t="s">
        <v>212</v>
      </c>
      <c r="G34" s="7"/>
      <c r="H34" s="230"/>
      <c r="I34" s="230"/>
      <c r="J34" s="237"/>
      <c r="K34" s="237"/>
      <c r="L34" s="87"/>
      <c r="M34" s="87"/>
      <c r="N34" s="87"/>
      <c r="O34" s="87"/>
      <c r="P34" s="87"/>
      <c r="Q34" s="87"/>
      <c r="R34" s="87"/>
      <c r="S34" s="87"/>
      <c r="T34" s="87"/>
      <c r="U34" s="117"/>
      <c r="V34" s="117"/>
      <c r="W34" s="117"/>
      <c r="X34" s="117"/>
      <c r="Y34" s="117"/>
      <c r="Z34" s="117"/>
      <c r="AA34" s="117"/>
      <c r="AB34" s="117"/>
      <c r="AC34" s="117"/>
      <c r="AD34" s="3"/>
      <c r="AE34" s="3"/>
      <c r="AF34" s="412">
        <v>2021</v>
      </c>
      <c r="AG34" s="41">
        <v>107</v>
      </c>
      <c r="AH34" s="413">
        <v>0.62</v>
      </c>
      <c r="AI34" s="41" t="s">
        <v>204</v>
      </c>
      <c r="AJ34" s="41" t="s">
        <v>213</v>
      </c>
      <c r="AK34" s="41" t="s">
        <v>214</v>
      </c>
      <c r="AL34" s="117"/>
      <c r="AM34" s="397"/>
      <c r="AN34" s="117"/>
      <c r="AO34" s="397"/>
      <c r="AP34" s="24"/>
      <c r="AQ34" s="397"/>
      <c r="AR34" s="24"/>
      <c r="AS34" s="397"/>
      <c r="AT34" s="5"/>
      <c r="AU34" s="5"/>
      <c r="AV34" s="5"/>
      <c r="AW34" s="5"/>
      <c r="AX34" s="5"/>
      <c r="AY34" s="5"/>
      <c r="AZ34" s="5"/>
      <c r="BA34" s="87"/>
      <c r="BB34" s="87"/>
      <c r="BC34" s="87"/>
      <c r="BD34" s="87"/>
      <c r="BE34" s="87"/>
      <c r="BF34" s="87"/>
      <c r="BG34" s="87"/>
      <c r="BH34" s="87"/>
      <c r="BI34" s="87"/>
      <c r="BJ34" s="87"/>
      <c r="BK34" s="87"/>
      <c r="BL34" s="87"/>
      <c r="BM34" s="87"/>
      <c r="BN34" s="87"/>
      <c r="BO34" s="87"/>
      <c r="BP34" s="87"/>
      <c r="BQ34" s="87"/>
      <c r="BR34" s="87"/>
      <c r="BS34" s="87"/>
      <c r="BT34" s="87"/>
      <c r="BU34" s="87"/>
      <c r="BV34" s="87"/>
      <c r="BW34" s="394"/>
      <c r="BX34" s="394"/>
    </row>
    <row r="35" spans="1:76" ht="15.75" customHeight="1">
      <c r="A35" s="239"/>
      <c r="B35" s="240"/>
      <c r="C35" s="418"/>
      <c r="D35" s="7"/>
      <c r="E35" s="7"/>
      <c r="F35" s="7"/>
      <c r="G35" s="7"/>
      <c r="H35" s="230"/>
      <c r="I35" s="230"/>
      <c r="J35" s="237"/>
      <c r="K35" s="237"/>
      <c r="L35" s="87"/>
      <c r="M35" s="87"/>
      <c r="N35" s="87"/>
      <c r="O35" s="87"/>
      <c r="P35" s="87"/>
      <c r="Q35" s="87"/>
      <c r="R35" s="87"/>
      <c r="S35" s="87"/>
      <c r="T35" s="87"/>
      <c r="U35" s="117"/>
      <c r="V35" s="117"/>
      <c r="W35" s="117"/>
      <c r="X35" s="117"/>
      <c r="Y35" s="117"/>
      <c r="Z35" s="117"/>
      <c r="AA35" s="117"/>
      <c r="AB35" s="117"/>
      <c r="AC35" s="117"/>
      <c r="AD35" s="3"/>
      <c r="AE35" s="3"/>
      <c r="AF35" s="419">
        <v>2020</v>
      </c>
      <c r="AG35" s="41">
        <v>127</v>
      </c>
      <c r="AH35" s="413">
        <v>0.56000000000000005</v>
      </c>
      <c r="AI35" s="41" t="s">
        <v>215</v>
      </c>
      <c r="AJ35" s="41" t="s">
        <v>216</v>
      </c>
      <c r="AK35" s="41" t="s">
        <v>217</v>
      </c>
      <c r="AL35" s="117"/>
      <c r="AM35" s="397"/>
      <c r="AN35" s="117"/>
      <c r="AO35" s="397"/>
      <c r="AP35" s="24"/>
      <c r="AQ35" s="397"/>
      <c r="AR35" s="24"/>
      <c r="AS35" s="397"/>
      <c r="AT35" s="5"/>
      <c r="AU35" s="5"/>
      <c r="AV35" s="5"/>
      <c r="AW35" s="5"/>
      <c r="AX35" s="5"/>
      <c r="AY35" s="5"/>
      <c r="AZ35" s="5"/>
      <c r="BA35" s="87"/>
      <c r="BB35" s="87"/>
      <c r="BC35" s="87"/>
      <c r="BD35" s="87"/>
      <c r="BE35" s="87"/>
      <c r="BF35" s="87"/>
      <c r="BG35" s="87"/>
      <c r="BH35" s="87"/>
      <c r="BI35" s="87"/>
      <c r="BJ35" s="87"/>
      <c r="BK35" s="87"/>
      <c r="BL35" s="87"/>
      <c r="BM35" s="87"/>
      <c r="BN35" s="87"/>
      <c r="BO35" s="87"/>
      <c r="BP35" s="87"/>
      <c r="BQ35" s="87"/>
      <c r="BR35" s="87"/>
      <c r="BS35" s="87"/>
      <c r="BT35" s="87"/>
      <c r="BU35" s="87"/>
      <c r="BV35" s="87"/>
      <c r="BW35" s="394"/>
      <c r="BX35" s="394"/>
    </row>
    <row r="36" spans="1:76" ht="15.75" customHeight="1">
      <c r="A36" s="239"/>
      <c r="B36" s="239"/>
      <c r="C36" s="420" t="s">
        <v>218</v>
      </c>
      <c r="D36" s="7"/>
      <c r="E36" s="404" t="s">
        <v>195</v>
      </c>
      <c r="F36" s="404" t="s">
        <v>196</v>
      </c>
      <c r="G36" s="7"/>
      <c r="H36" s="230"/>
      <c r="I36" s="230"/>
      <c r="J36" s="237"/>
      <c r="K36" s="237"/>
      <c r="L36" s="87"/>
      <c r="M36" s="87"/>
      <c r="N36" s="87"/>
      <c r="O36" s="87"/>
      <c r="P36" s="87"/>
      <c r="Q36" s="87"/>
      <c r="R36" s="87"/>
      <c r="S36" s="87"/>
      <c r="T36" s="87"/>
      <c r="U36" s="117"/>
      <c r="V36" s="117"/>
      <c r="W36" s="117"/>
      <c r="X36" s="117"/>
      <c r="Y36" s="117"/>
      <c r="Z36" s="117"/>
      <c r="AA36" s="117"/>
      <c r="AB36" s="117"/>
      <c r="AC36" s="117"/>
      <c r="AD36" s="3"/>
      <c r="AE36" s="3"/>
      <c r="AF36" s="419">
        <v>2019</v>
      </c>
      <c r="AG36" s="41">
        <v>120</v>
      </c>
      <c r="AH36" s="413">
        <v>0.68</v>
      </c>
      <c r="AI36" s="41" t="s">
        <v>219</v>
      </c>
      <c r="AJ36" s="41" t="s">
        <v>220</v>
      </c>
      <c r="AK36" s="41" t="s">
        <v>221</v>
      </c>
      <c r="AL36" s="117"/>
      <c r="AM36" s="397"/>
      <c r="AN36" s="117"/>
      <c r="AO36" s="397"/>
      <c r="AP36" s="24"/>
      <c r="AQ36" s="397"/>
      <c r="AR36" s="24"/>
      <c r="AS36" s="397"/>
      <c r="AT36" s="5"/>
      <c r="AU36" s="5"/>
      <c r="AV36" s="5"/>
      <c r="AW36" s="5"/>
      <c r="AX36" s="5"/>
      <c r="AY36" s="5"/>
      <c r="AZ36" s="5"/>
      <c r="BA36" s="87"/>
      <c r="BB36" s="87"/>
      <c r="BC36" s="87"/>
      <c r="BD36" s="87"/>
      <c r="BE36" s="87"/>
      <c r="BF36" s="87"/>
      <c r="BG36" s="87"/>
      <c r="BH36" s="87"/>
      <c r="BI36" s="87"/>
      <c r="BJ36" s="87"/>
      <c r="BK36" s="87"/>
      <c r="BL36" s="87"/>
      <c r="BM36" s="87"/>
      <c r="BN36" s="87"/>
      <c r="BO36" s="87"/>
      <c r="BP36" s="87"/>
      <c r="BQ36" s="87"/>
      <c r="BR36" s="87"/>
      <c r="BS36" s="87"/>
      <c r="BT36" s="87"/>
      <c r="BU36" s="87"/>
      <c r="BV36" s="87"/>
      <c r="BW36" s="394"/>
      <c r="BX36" s="394"/>
    </row>
    <row r="37" spans="1:76" ht="15.75" customHeight="1">
      <c r="A37" s="239"/>
      <c r="B37" s="239"/>
      <c r="C37" s="408"/>
      <c r="D37" s="409" t="s">
        <v>222</v>
      </c>
      <c r="E37" s="421">
        <v>3</v>
      </c>
      <c r="F37" s="422"/>
      <c r="G37" s="423">
        <f>E37+F37</f>
        <v>3</v>
      </c>
      <c r="H37" s="230"/>
      <c r="I37" s="230"/>
      <c r="J37" s="237"/>
      <c r="K37" s="237"/>
      <c r="L37" s="87"/>
      <c r="M37" s="87"/>
      <c r="N37" s="87"/>
      <c r="O37" s="87"/>
      <c r="P37" s="87"/>
      <c r="Q37" s="87"/>
      <c r="R37" s="87"/>
      <c r="S37" s="87"/>
      <c r="T37" s="87"/>
      <c r="U37" s="117"/>
      <c r="V37" s="117"/>
      <c r="W37" s="117"/>
      <c r="X37" s="117"/>
      <c r="Y37" s="117"/>
      <c r="Z37" s="117"/>
      <c r="AA37" s="117"/>
      <c r="AB37" s="117"/>
      <c r="AC37" s="117"/>
      <c r="AD37" s="3"/>
      <c r="AE37" s="3"/>
      <c r="AF37" s="419">
        <v>2018</v>
      </c>
      <c r="AG37" s="41">
        <v>135</v>
      </c>
      <c r="AH37" s="413">
        <v>0.63</v>
      </c>
      <c r="AI37" s="41" t="s">
        <v>223</v>
      </c>
      <c r="AJ37" s="7"/>
      <c r="AK37" s="7"/>
      <c r="AL37" s="117"/>
      <c r="AM37" s="397"/>
      <c r="AN37" s="117"/>
      <c r="AO37" s="397"/>
      <c r="AP37" s="24"/>
      <c r="AQ37" s="397"/>
      <c r="AR37" s="24"/>
      <c r="AS37" s="397"/>
      <c r="AT37" s="5"/>
      <c r="AU37" s="5"/>
      <c r="AV37" s="5"/>
      <c r="AW37" s="5"/>
      <c r="AX37" s="5"/>
      <c r="AY37" s="5"/>
      <c r="AZ37" s="5"/>
      <c r="BA37" s="87"/>
      <c r="BB37" s="87"/>
      <c r="BC37" s="87"/>
      <c r="BD37" s="87"/>
      <c r="BE37" s="87"/>
      <c r="BF37" s="87"/>
      <c r="BG37" s="87"/>
      <c r="BH37" s="87"/>
      <c r="BI37" s="87"/>
      <c r="BJ37" s="87"/>
      <c r="BK37" s="87"/>
      <c r="BL37" s="87"/>
      <c r="BM37" s="87"/>
      <c r="BN37" s="87"/>
      <c r="BO37" s="87"/>
      <c r="BP37" s="87"/>
      <c r="BQ37" s="87"/>
      <c r="BR37" s="87"/>
      <c r="BS37" s="87"/>
      <c r="BT37" s="87"/>
      <c r="BU37" s="87"/>
      <c r="BV37" s="87"/>
      <c r="BW37" s="394"/>
      <c r="BX37" s="394"/>
    </row>
    <row r="38" spans="1:76" ht="15.75" customHeight="1">
      <c r="A38" s="239"/>
      <c r="B38" s="239"/>
      <c r="C38" s="424"/>
      <c r="D38" s="414" t="s">
        <v>224</v>
      </c>
      <c r="E38" s="425">
        <v>3</v>
      </c>
      <c r="F38" s="426">
        <v>6</v>
      </c>
      <c r="G38" s="423">
        <f>F38+E38</f>
        <v>9</v>
      </c>
      <c r="H38" s="230"/>
      <c r="I38" s="230"/>
      <c r="J38" s="237"/>
      <c r="K38" s="237"/>
      <c r="L38" s="87"/>
      <c r="M38" s="87"/>
      <c r="N38" s="87"/>
      <c r="O38" s="87"/>
      <c r="P38" s="87"/>
      <c r="Q38" s="87"/>
      <c r="R38" s="87"/>
      <c r="S38" s="87"/>
      <c r="T38" s="87"/>
      <c r="U38" s="117"/>
      <c r="V38" s="117"/>
      <c r="W38" s="117"/>
      <c r="X38" s="117"/>
      <c r="Y38" s="117"/>
      <c r="Z38" s="117"/>
      <c r="AA38" s="117"/>
      <c r="AB38" s="117"/>
      <c r="AC38" s="117"/>
      <c r="AD38" s="3"/>
      <c r="AE38" s="3"/>
      <c r="AF38" s="419">
        <v>2017</v>
      </c>
      <c r="AG38" s="41">
        <v>143</v>
      </c>
      <c r="AH38" s="413">
        <v>0.72</v>
      </c>
      <c r="AI38" s="41" t="s">
        <v>225</v>
      </c>
      <c r="AJ38" s="7"/>
      <c r="AK38" s="7"/>
      <c r="AL38" s="117"/>
      <c r="AM38" s="397"/>
      <c r="AN38" s="117"/>
      <c r="AO38" s="397"/>
      <c r="AP38" s="24"/>
      <c r="AQ38" s="397"/>
      <c r="AR38" s="24"/>
      <c r="AS38" s="397"/>
      <c r="AT38" s="5"/>
      <c r="AU38" s="5"/>
      <c r="AV38" s="5"/>
      <c r="AW38" s="5"/>
      <c r="AX38" s="5"/>
      <c r="AY38" s="5"/>
      <c r="AZ38" s="5"/>
      <c r="BA38" s="87"/>
      <c r="BB38" s="87"/>
      <c r="BC38" s="87"/>
      <c r="BD38" s="87"/>
      <c r="BE38" s="87"/>
      <c r="BF38" s="87"/>
      <c r="BG38" s="87"/>
      <c r="BH38" s="87"/>
      <c r="BI38" s="87"/>
      <c r="BJ38" s="87"/>
      <c r="BK38" s="87"/>
      <c r="BL38" s="87"/>
      <c r="BM38" s="87"/>
      <c r="BN38" s="87"/>
      <c r="BO38" s="87"/>
      <c r="BP38" s="87"/>
      <c r="BQ38" s="87"/>
      <c r="BR38" s="87"/>
      <c r="BS38" s="87"/>
      <c r="BT38" s="87"/>
      <c r="BU38" s="87"/>
      <c r="BV38" s="87"/>
      <c r="BW38" s="394"/>
      <c r="BX38" s="394"/>
    </row>
    <row r="39" spans="1:76" ht="15.75" customHeight="1">
      <c r="A39" s="239"/>
      <c r="B39" s="239"/>
      <c r="C39" s="418"/>
      <c r="D39" s="7"/>
      <c r="E39" s="142">
        <f>E38+E37</f>
        <v>6</v>
      </c>
      <c r="F39" s="142">
        <f>F37+F38</f>
        <v>6</v>
      </c>
      <c r="G39" s="427">
        <f>G38+G37</f>
        <v>12</v>
      </c>
      <c r="H39" s="230"/>
      <c r="I39" s="230"/>
      <c r="J39" s="237"/>
      <c r="K39" s="237"/>
      <c r="L39" s="87"/>
      <c r="M39" s="87"/>
      <c r="N39" s="87"/>
      <c r="O39" s="87"/>
      <c r="P39" s="87"/>
      <c r="Q39" s="87"/>
      <c r="R39" s="87"/>
      <c r="S39" s="87"/>
      <c r="T39" s="87"/>
      <c r="U39" s="117"/>
      <c r="V39" s="117"/>
      <c r="W39" s="117"/>
      <c r="X39" s="117"/>
      <c r="Y39" s="117"/>
      <c r="Z39" s="117"/>
      <c r="AA39" s="117"/>
      <c r="AB39" s="117"/>
      <c r="AC39" s="117"/>
      <c r="AD39" s="3"/>
      <c r="AE39" s="3"/>
      <c r="AF39" s="3"/>
      <c r="AG39" s="3"/>
      <c r="AH39" s="3"/>
      <c r="AI39" s="397"/>
      <c r="AJ39" s="117"/>
      <c r="AK39" s="397"/>
      <c r="AL39" s="117"/>
      <c r="AM39" s="397"/>
      <c r="AN39" s="117"/>
      <c r="AO39" s="397"/>
      <c r="AP39" s="24"/>
      <c r="AQ39" s="397"/>
      <c r="AR39" s="24"/>
      <c r="AS39" s="397"/>
      <c r="AT39" s="5"/>
      <c r="AU39" s="5"/>
      <c r="AV39" s="5"/>
      <c r="AW39" s="5"/>
      <c r="AX39" s="5"/>
      <c r="AY39" s="5"/>
      <c r="AZ39" s="5"/>
      <c r="BA39" s="87"/>
      <c r="BB39" s="87"/>
      <c r="BC39" s="87"/>
      <c r="BD39" s="87"/>
      <c r="BE39" s="87"/>
      <c r="BF39" s="87"/>
      <c r="BG39" s="87"/>
      <c r="BH39" s="87"/>
      <c r="BI39" s="87"/>
      <c r="BJ39" s="87"/>
      <c r="BK39" s="87"/>
      <c r="BL39" s="87"/>
      <c r="BM39" s="87"/>
      <c r="BN39" s="87"/>
      <c r="BO39" s="87"/>
      <c r="BP39" s="87"/>
      <c r="BQ39" s="87"/>
      <c r="BR39" s="87"/>
      <c r="BS39" s="87"/>
      <c r="BT39" s="87"/>
      <c r="BU39" s="87"/>
      <c r="BV39" s="87"/>
      <c r="BW39" s="394"/>
      <c r="BX39" s="394"/>
    </row>
    <row r="40" spans="1:76" ht="15.75" customHeight="1">
      <c r="A40" s="239"/>
      <c r="B40" s="239"/>
      <c r="C40" s="418"/>
      <c r="D40" s="7"/>
      <c r="E40" s="7"/>
      <c r="F40" s="7"/>
      <c r="G40" s="7"/>
      <c r="H40" s="230"/>
      <c r="I40" s="230"/>
      <c r="J40" s="237"/>
      <c r="K40" s="237"/>
      <c r="L40" s="87"/>
      <c r="M40" s="87"/>
      <c r="N40" s="87"/>
      <c r="O40" s="87"/>
      <c r="P40" s="87"/>
      <c r="Q40" s="87"/>
      <c r="R40" s="87"/>
      <c r="S40" s="87"/>
      <c r="T40" s="87"/>
      <c r="U40" s="117"/>
      <c r="V40" s="117"/>
      <c r="W40" s="117"/>
      <c r="X40" s="117"/>
      <c r="Y40" s="117"/>
      <c r="Z40" s="117"/>
      <c r="AA40" s="117"/>
      <c r="AB40" s="117"/>
      <c r="AC40" s="117"/>
      <c r="AD40" s="3"/>
      <c r="AE40" s="3"/>
      <c r="AF40" s="3"/>
      <c r="AG40" s="3"/>
      <c r="AH40" s="3"/>
      <c r="AI40" s="397"/>
      <c r="AJ40" s="117"/>
      <c r="AK40" s="397"/>
      <c r="AL40" s="117"/>
      <c r="AM40" s="397"/>
      <c r="AN40" s="117"/>
      <c r="AO40" s="397"/>
      <c r="AP40" s="24"/>
      <c r="AQ40" s="397"/>
      <c r="AR40" s="24"/>
      <c r="AS40" s="397"/>
      <c r="AT40" s="5"/>
      <c r="AU40" s="5"/>
      <c r="AV40" s="5"/>
      <c r="AW40" s="5"/>
      <c r="AX40" s="5"/>
      <c r="AY40" s="5"/>
      <c r="AZ40" s="5"/>
      <c r="BA40" s="87"/>
      <c r="BB40" s="87"/>
      <c r="BC40" s="87"/>
      <c r="BD40" s="87"/>
      <c r="BE40" s="87"/>
      <c r="BF40" s="87"/>
      <c r="BG40" s="87"/>
      <c r="BH40" s="87"/>
      <c r="BI40" s="87"/>
      <c r="BJ40" s="87"/>
      <c r="BK40" s="87"/>
      <c r="BL40" s="87"/>
      <c r="BM40" s="87"/>
      <c r="BN40" s="87"/>
      <c r="BO40" s="87"/>
      <c r="BP40" s="87"/>
      <c r="BQ40" s="87"/>
      <c r="BR40" s="87"/>
      <c r="BS40" s="87"/>
      <c r="BT40" s="87"/>
      <c r="BU40" s="87"/>
      <c r="BV40" s="87"/>
      <c r="BW40" s="394"/>
      <c r="BX40" s="394"/>
    </row>
    <row r="41" spans="1:76" ht="15.75" customHeight="1">
      <c r="A41" s="239"/>
      <c r="B41" s="239"/>
      <c r="C41" s="420" t="s">
        <v>226</v>
      </c>
      <c r="D41" s="7"/>
      <c r="E41" s="404" t="s">
        <v>195</v>
      </c>
      <c r="F41" s="404" t="s">
        <v>196</v>
      </c>
      <c r="G41" s="7"/>
      <c r="H41" s="230"/>
      <c r="I41" s="230"/>
      <c r="J41" s="237"/>
      <c r="K41" s="237"/>
      <c r="L41" s="87"/>
      <c r="M41" s="87"/>
      <c r="N41" s="87"/>
      <c r="O41" s="87"/>
      <c r="P41" s="87"/>
      <c r="Q41" s="87"/>
      <c r="R41" s="87"/>
      <c r="S41" s="87"/>
      <c r="T41" s="87"/>
      <c r="U41" s="117"/>
      <c r="V41" s="117"/>
      <c r="W41" s="117"/>
      <c r="X41" s="117"/>
      <c r="Y41" s="117"/>
      <c r="Z41" s="117"/>
      <c r="AA41" s="117"/>
      <c r="AB41" s="117"/>
      <c r="AC41" s="117"/>
      <c r="AD41" s="3"/>
      <c r="AE41" s="3"/>
      <c r="AF41" s="3"/>
      <c r="AG41" s="3"/>
      <c r="AH41" s="3"/>
      <c r="AI41" s="397"/>
      <c r="AJ41" s="117"/>
      <c r="AK41" s="397"/>
      <c r="AL41" s="117"/>
      <c r="AM41" s="397"/>
      <c r="AN41" s="117"/>
      <c r="AO41" s="397"/>
      <c r="AP41" s="24"/>
      <c r="AQ41" s="397"/>
      <c r="AR41" s="24"/>
      <c r="AS41" s="397"/>
      <c r="AT41" s="5"/>
      <c r="AU41" s="5"/>
      <c r="AV41" s="5"/>
      <c r="AW41" s="5"/>
      <c r="AX41" s="5"/>
      <c r="AY41" s="5"/>
      <c r="AZ41" s="5"/>
      <c r="BA41" s="87"/>
      <c r="BB41" s="87"/>
      <c r="BC41" s="87"/>
      <c r="BD41" s="87"/>
      <c r="BE41" s="87"/>
      <c r="BF41" s="87"/>
      <c r="BG41" s="87"/>
      <c r="BH41" s="87"/>
      <c r="BI41" s="87"/>
      <c r="BJ41" s="87"/>
      <c r="BK41" s="87"/>
      <c r="BL41" s="87"/>
      <c r="BM41" s="87"/>
      <c r="BN41" s="87"/>
      <c r="BO41" s="87"/>
      <c r="BP41" s="87"/>
      <c r="BQ41" s="87"/>
      <c r="BR41" s="87"/>
      <c r="BS41" s="87"/>
      <c r="BT41" s="87"/>
      <c r="BU41" s="87"/>
      <c r="BV41" s="87"/>
      <c r="BW41" s="394"/>
      <c r="BX41" s="394"/>
    </row>
    <row r="42" spans="1:76" ht="15.75" customHeight="1">
      <c r="A42" s="239"/>
      <c r="B42" s="239"/>
      <c r="C42" s="428"/>
      <c r="D42" s="429" t="s">
        <v>222</v>
      </c>
      <c r="E42" s="430">
        <f>E37/G39</f>
        <v>0.25</v>
      </c>
      <c r="F42" s="431">
        <f>F37/G39</f>
        <v>0</v>
      </c>
      <c r="G42" s="432">
        <f>E42+F42</f>
        <v>0.25</v>
      </c>
      <c r="H42" s="230"/>
      <c r="I42" s="230"/>
      <c r="J42" s="237"/>
      <c r="K42" s="237"/>
      <c r="L42" s="87"/>
      <c r="M42" s="87"/>
      <c r="N42" s="87"/>
      <c r="O42" s="87"/>
      <c r="P42" s="87"/>
      <c r="Q42" s="87"/>
      <c r="R42" s="87"/>
      <c r="S42" s="87"/>
      <c r="T42" s="87"/>
      <c r="U42" s="117"/>
      <c r="V42" s="117"/>
      <c r="W42" s="117"/>
      <c r="X42" s="117"/>
      <c r="Y42" s="117"/>
      <c r="Z42" s="117"/>
      <c r="AA42" s="117"/>
      <c r="AB42" s="117"/>
      <c r="AC42" s="117"/>
      <c r="AD42" s="3"/>
      <c r="AE42" s="3"/>
      <c r="AF42" s="3"/>
      <c r="AG42" s="3"/>
      <c r="AH42" s="3"/>
      <c r="AI42" s="397"/>
      <c r="AJ42" s="117"/>
      <c r="AK42" s="397"/>
      <c r="AL42" s="117"/>
      <c r="AM42" s="397"/>
      <c r="AN42" s="117"/>
      <c r="AO42" s="397"/>
      <c r="AP42" s="24"/>
      <c r="AQ42" s="397"/>
      <c r="AR42" s="24"/>
      <c r="AS42" s="397"/>
      <c r="AT42" s="5"/>
      <c r="AU42" s="5"/>
      <c r="AV42" s="5"/>
      <c r="AW42" s="5"/>
      <c r="AX42" s="5"/>
      <c r="AY42" s="5"/>
      <c r="AZ42" s="5"/>
      <c r="BA42" s="87"/>
      <c r="BB42" s="87"/>
      <c r="BC42" s="87"/>
      <c r="BD42" s="87"/>
      <c r="BE42" s="87"/>
      <c r="BF42" s="87"/>
      <c r="BG42" s="87"/>
      <c r="BH42" s="87"/>
      <c r="BI42" s="87"/>
      <c r="BJ42" s="87"/>
      <c r="BK42" s="87"/>
      <c r="BL42" s="87"/>
      <c r="BM42" s="87"/>
      <c r="BN42" s="87"/>
      <c r="BO42" s="87"/>
      <c r="BP42" s="87"/>
      <c r="BQ42" s="87"/>
      <c r="BR42" s="87"/>
      <c r="BS42" s="87"/>
      <c r="BT42" s="87"/>
      <c r="BU42" s="87"/>
      <c r="BV42" s="87"/>
      <c r="BW42" s="394"/>
      <c r="BX42" s="394"/>
    </row>
    <row r="43" spans="1:76" ht="15.75" customHeight="1">
      <c r="A43" s="239"/>
      <c r="B43" s="239"/>
      <c r="C43" s="428"/>
      <c r="D43" s="414" t="s">
        <v>224</v>
      </c>
      <c r="E43" s="433">
        <f>E38/G39</f>
        <v>0.25</v>
      </c>
      <c r="F43" s="434">
        <f>F38/G39</f>
        <v>0.5</v>
      </c>
      <c r="G43" s="432">
        <f>F43+E43</f>
        <v>0.75</v>
      </c>
      <c r="H43" s="230"/>
      <c r="I43" s="230"/>
      <c r="J43" s="237"/>
      <c r="K43" s="237"/>
      <c r="L43" s="87"/>
      <c r="M43" s="87"/>
      <c r="N43" s="87"/>
      <c r="O43" s="87"/>
      <c r="P43" s="87"/>
      <c r="Q43" s="87"/>
      <c r="R43" s="87"/>
      <c r="S43" s="87"/>
      <c r="T43" s="87"/>
      <c r="U43" s="117"/>
      <c r="V43" s="117"/>
      <c r="W43" s="117"/>
      <c r="X43" s="117"/>
      <c r="Y43" s="117"/>
      <c r="Z43" s="117"/>
      <c r="AA43" s="117"/>
      <c r="AB43" s="117"/>
      <c r="AC43" s="117"/>
      <c r="AD43" s="3"/>
      <c r="AE43" s="3"/>
      <c r="AF43" s="3"/>
      <c r="AG43" s="3"/>
      <c r="AH43" s="3"/>
      <c r="AI43" s="397"/>
      <c r="AJ43" s="117"/>
      <c r="AK43" s="397"/>
      <c r="AL43" s="117"/>
      <c r="AM43" s="397"/>
      <c r="AN43" s="117"/>
      <c r="AO43" s="397"/>
      <c r="AP43" s="24"/>
      <c r="AQ43" s="397"/>
      <c r="AR43" s="24"/>
      <c r="AS43" s="397"/>
      <c r="AT43" s="5"/>
      <c r="AU43" s="5"/>
      <c r="AV43" s="5"/>
      <c r="AW43" s="5"/>
      <c r="AX43" s="5"/>
      <c r="AY43" s="5"/>
      <c r="AZ43" s="5"/>
      <c r="BA43" s="87"/>
      <c r="BB43" s="87"/>
      <c r="BC43" s="87"/>
      <c r="BD43" s="87"/>
      <c r="BE43" s="87"/>
      <c r="BF43" s="87"/>
      <c r="BG43" s="87"/>
      <c r="BH43" s="87"/>
      <c r="BI43" s="87"/>
      <c r="BJ43" s="87"/>
      <c r="BK43" s="87"/>
      <c r="BL43" s="87"/>
      <c r="BM43" s="87"/>
      <c r="BN43" s="87"/>
      <c r="BO43" s="87"/>
      <c r="BP43" s="87"/>
      <c r="BQ43" s="87"/>
      <c r="BR43" s="87"/>
      <c r="BS43" s="87"/>
      <c r="BT43" s="87"/>
      <c r="BU43" s="87"/>
      <c r="BV43" s="87"/>
      <c r="BW43" s="394"/>
      <c r="BX43" s="394"/>
    </row>
    <row r="44" spans="1:76" ht="15.75" customHeight="1">
      <c r="A44" s="239"/>
      <c r="B44" s="239"/>
      <c r="C44" s="435"/>
      <c r="D44" s="435"/>
      <c r="E44" s="436">
        <f>E43+E42</f>
        <v>0.5</v>
      </c>
      <c r="F44" s="436">
        <f>F42+F43</f>
        <v>0.5</v>
      </c>
      <c r="G44" s="435"/>
      <c r="H44" s="230"/>
      <c r="I44" s="230"/>
      <c r="J44" s="237"/>
      <c r="K44" s="237"/>
      <c r="L44" s="87"/>
      <c r="M44" s="87"/>
      <c r="N44" s="87"/>
      <c r="O44" s="87"/>
      <c r="P44" s="87"/>
      <c r="Q44" s="87"/>
      <c r="R44" s="87"/>
      <c r="S44" s="87"/>
      <c r="T44" s="87"/>
      <c r="U44" s="117"/>
      <c r="V44" s="117"/>
      <c r="W44" s="117"/>
      <c r="X44" s="117"/>
      <c r="Y44" s="117"/>
      <c r="Z44" s="117"/>
      <c r="AA44" s="117"/>
      <c r="AB44" s="117"/>
      <c r="AC44" s="117"/>
      <c r="AD44" s="3"/>
      <c r="AE44" s="3"/>
      <c r="AF44" s="3"/>
      <c r="AG44" s="3"/>
      <c r="AH44" s="3"/>
      <c r="AI44" s="397"/>
      <c r="AJ44" s="117"/>
      <c r="AK44" s="397"/>
      <c r="AL44" s="117"/>
      <c r="AM44" s="397"/>
      <c r="AN44" s="117"/>
      <c r="AO44" s="397"/>
      <c r="AP44" s="24"/>
      <c r="AQ44" s="397"/>
      <c r="AR44" s="24"/>
      <c r="AS44" s="397"/>
      <c r="AT44" s="5"/>
      <c r="AU44" s="5"/>
      <c r="AV44" s="5"/>
      <c r="AW44" s="5"/>
      <c r="AX44" s="5"/>
      <c r="AY44" s="5"/>
      <c r="AZ44" s="5"/>
      <c r="BA44" s="87"/>
      <c r="BB44" s="87"/>
      <c r="BC44" s="87"/>
      <c r="BD44" s="87"/>
      <c r="BE44" s="87"/>
      <c r="BF44" s="87"/>
      <c r="BG44" s="87"/>
      <c r="BH44" s="87"/>
      <c r="BI44" s="87"/>
      <c r="BJ44" s="87"/>
      <c r="BK44" s="87"/>
      <c r="BL44" s="87"/>
      <c r="BM44" s="87"/>
      <c r="BN44" s="87"/>
      <c r="BO44" s="87"/>
      <c r="BP44" s="87"/>
      <c r="BQ44" s="87"/>
      <c r="BR44" s="87"/>
      <c r="BS44" s="87"/>
      <c r="BT44" s="87"/>
      <c r="BU44" s="87"/>
      <c r="BV44" s="87"/>
      <c r="BW44" s="394"/>
      <c r="BX44" s="394"/>
    </row>
    <row r="45" spans="1:76" ht="15.75" customHeight="1">
      <c r="A45" s="239"/>
      <c r="B45" s="239"/>
      <c r="C45" s="254"/>
      <c r="D45" s="254"/>
      <c r="E45" s="254"/>
      <c r="F45" s="254"/>
      <c r="G45" s="254"/>
      <c r="H45" s="230"/>
      <c r="I45" s="230"/>
      <c r="J45" s="237"/>
      <c r="K45" s="237"/>
      <c r="L45" s="87"/>
      <c r="M45" s="87"/>
      <c r="N45" s="87"/>
      <c r="O45" s="87"/>
      <c r="P45" s="87"/>
      <c r="Q45" s="87"/>
      <c r="R45" s="87"/>
      <c r="S45" s="87"/>
      <c r="T45" s="87"/>
      <c r="U45" s="117"/>
      <c r="V45" s="117"/>
      <c r="W45" s="117"/>
      <c r="X45" s="117"/>
      <c r="Y45" s="117"/>
      <c r="Z45" s="117"/>
      <c r="AA45" s="117"/>
      <c r="AB45" s="117"/>
      <c r="AC45" s="117"/>
      <c r="AD45" s="3"/>
      <c r="AE45" s="3"/>
      <c r="AF45" s="3"/>
      <c r="AG45" s="3"/>
      <c r="AH45" s="3"/>
      <c r="AI45" s="397"/>
      <c r="AJ45" s="117"/>
      <c r="AK45" s="397"/>
      <c r="AL45" s="117"/>
      <c r="AM45" s="397"/>
      <c r="AN45" s="117"/>
      <c r="AO45" s="397"/>
      <c r="AP45" s="24"/>
      <c r="AQ45" s="397"/>
      <c r="AR45" s="24"/>
      <c r="AS45" s="397"/>
      <c r="AT45" s="5"/>
      <c r="AU45" s="5"/>
      <c r="AV45" s="5"/>
      <c r="AW45" s="5"/>
      <c r="AX45" s="5"/>
      <c r="AY45" s="5"/>
      <c r="AZ45" s="5"/>
      <c r="BA45" s="87"/>
      <c r="BB45" s="87"/>
      <c r="BC45" s="87"/>
      <c r="BD45" s="87"/>
      <c r="BE45" s="87"/>
      <c r="BF45" s="87"/>
      <c r="BG45" s="87"/>
      <c r="BH45" s="87"/>
      <c r="BI45" s="87"/>
      <c r="BJ45" s="87"/>
      <c r="BK45" s="87"/>
      <c r="BL45" s="87"/>
      <c r="BM45" s="87"/>
      <c r="BN45" s="87"/>
      <c r="BO45" s="87"/>
      <c r="BP45" s="87"/>
      <c r="BQ45" s="87"/>
      <c r="BR45" s="87"/>
      <c r="BS45" s="87"/>
      <c r="BT45" s="87"/>
      <c r="BU45" s="87"/>
      <c r="BV45" s="87"/>
      <c r="BW45" s="394"/>
      <c r="BX45" s="394"/>
    </row>
    <row r="46" spans="1:76" ht="15.75" customHeight="1">
      <c r="A46" s="4"/>
      <c r="B46" s="254"/>
      <c r="C46" s="254"/>
      <c r="D46" s="254"/>
      <c r="E46" s="254"/>
      <c r="F46" s="254"/>
      <c r="G46" s="254"/>
      <c r="H46" s="3"/>
      <c r="I46" s="87"/>
      <c r="J46" s="3"/>
      <c r="K46" s="3"/>
      <c r="L46" s="3"/>
      <c r="M46" s="3"/>
      <c r="N46" s="3"/>
      <c r="O46" s="3"/>
      <c r="P46" s="3"/>
      <c r="Q46" s="3"/>
      <c r="R46" s="3"/>
      <c r="S46" s="3"/>
      <c r="T46" s="3"/>
      <c r="U46" s="3"/>
      <c r="V46" s="3"/>
      <c r="W46" s="3"/>
      <c r="X46" s="3"/>
      <c r="Y46" s="3"/>
      <c r="Z46" s="3"/>
      <c r="AA46" s="3"/>
      <c r="AB46" s="3"/>
      <c r="AC46" s="3"/>
      <c r="AD46" s="3"/>
      <c r="AE46" s="5"/>
      <c r="AF46" s="5"/>
      <c r="AG46" s="3"/>
      <c r="AH46" s="3"/>
      <c r="AI46" s="117"/>
      <c r="AJ46" s="117"/>
      <c r="AK46" s="117"/>
      <c r="AL46" s="117"/>
      <c r="AM46" s="117"/>
      <c r="AN46" s="117"/>
      <c r="AO46" s="117"/>
      <c r="AP46" s="24"/>
      <c r="AQ46" s="117"/>
      <c r="AR46" s="24"/>
      <c r="AS46" s="24"/>
      <c r="AT46" s="24"/>
      <c r="AU46" s="24"/>
      <c r="AV46" s="24"/>
      <c r="AW46" s="24"/>
      <c r="AX46" s="24"/>
      <c r="AY46" s="24"/>
      <c r="AZ46" s="5"/>
      <c r="BA46" s="5"/>
      <c r="BB46" s="5"/>
      <c r="BC46" s="5"/>
      <c r="BD46" s="5"/>
      <c r="BE46" s="5"/>
      <c r="BF46" s="5"/>
      <c r="BG46" s="5"/>
      <c r="BH46" s="5"/>
      <c r="BI46" s="5"/>
      <c r="BJ46" s="5"/>
      <c r="BK46" s="5"/>
      <c r="BL46" s="5"/>
      <c r="BM46" s="5"/>
      <c r="BN46" s="5"/>
      <c r="BO46" s="5"/>
      <c r="BP46" s="5"/>
      <c r="BQ46" s="5"/>
      <c r="BR46" s="5"/>
      <c r="BS46" s="5"/>
      <c r="BT46" s="5"/>
      <c r="BU46" s="5"/>
      <c r="BV46" s="5"/>
      <c r="BW46" s="22"/>
      <c r="BX46" s="22"/>
    </row>
    <row r="47" spans="1:76" ht="15.75" customHeight="1">
      <c r="A47" s="4"/>
      <c r="B47" s="276" t="s">
        <v>154</v>
      </c>
      <c r="C47" s="277"/>
      <c r="D47" s="277"/>
      <c r="E47" s="277"/>
      <c r="F47" s="277"/>
      <c r="G47" s="277"/>
      <c r="H47" s="252"/>
      <c r="I47" s="279"/>
      <c r="J47" s="252"/>
      <c r="K47" s="252"/>
      <c r="L47" s="252"/>
      <c r="M47" s="252"/>
      <c r="N47" s="252"/>
      <c r="O47" s="252"/>
      <c r="P47" s="252"/>
      <c r="Q47" s="252"/>
      <c r="R47" s="252"/>
      <c r="S47" s="252"/>
      <c r="T47" s="252"/>
      <c r="U47" s="252"/>
      <c r="V47" s="252"/>
      <c r="W47" s="3"/>
      <c r="X47" s="3"/>
      <c r="Y47" s="3"/>
      <c r="Z47" s="3"/>
      <c r="AA47" s="3"/>
      <c r="AB47" s="3"/>
      <c r="AC47" s="3"/>
      <c r="AD47" s="3"/>
      <c r="AE47" s="5"/>
      <c r="AF47" s="5"/>
      <c r="AG47" s="3"/>
      <c r="AH47" s="3"/>
      <c r="AI47" s="117"/>
      <c r="AJ47" s="117"/>
      <c r="AK47" s="117"/>
      <c r="AL47" s="117"/>
      <c r="AM47" s="117"/>
      <c r="AN47" s="117"/>
      <c r="AO47" s="117"/>
      <c r="AP47" s="24"/>
      <c r="AQ47" s="117"/>
      <c r="AR47" s="24"/>
      <c r="AS47" s="24"/>
      <c r="AT47" s="24"/>
      <c r="AU47" s="24"/>
      <c r="AV47" s="24"/>
      <c r="AW47" s="24"/>
      <c r="AX47" s="24"/>
      <c r="AY47" s="24"/>
      <c r="AZ47" s="5"/>
      <c r="BA47" s="5"/>
      <c r="BB47" s="5"/>
      <c r="BC47" s="5"/>
      <c r="BD47" s="5"/>
      <c r="BE47" s="5"/>
      <c r="BF47" s="5"/>
      <c r="BG47" s="5"/>
      <c r="BH47" s="5"/>
      <c r="BI47" s="5"/>
      <c r="BJ47" s="5"/>
      <c r="BK47" s="5"/>
      <c r="BL47" s="5"/>
      <c r="BM47" s="5"/>
      <c r="BN47" s="5"/>
      <c r="BO47" s="5"/>
      <c r="BP47" s="5"/>
      <c r="BQ47" s="5"/>
      <c r="BR47" s="5"/>
      <c r="BS47" s="5"/>
      <c r="BT47" s="5"/>
      <c r="BU47" s="5"/>
      <c r="BV47" s="5"/>
      <c r="BW47" s="22"/>
      <c r="BX47" s="22"/>
    </row>
    <row r="48" spans="1:76" ht="15.75" customHeight="1">
      <c r="A48" s="60"/>
      <c r="B48" s="60"/>
      <c r="C48" s="460" t="s">
        <v>24</v>
      </c>
      <c r="D48" s="461"/>
      <c r="E48" s="461"/>
      <c r="F48" s="461"/>
      <c r="G48" s="462"/>
      <c r="H48" s="467" t="s">
        <v>155</v>
      </c>
      <c r="I48" s="468"/>
      <c r="J48" s="468"/>
      <c r="K48" s="468"/>
      <c r="L48" s="468"/>
      <c r="M48" s="468"/>
      <c r="N48" s="468"/>
      <c r="O48" s="468"/>
      <c r="P48" s="468"/>
      <c r="Q48" s="468"/>
      <c r="R48" s="468"/>
      <c r="S48" s="468"/>
      <c r="T48" s="468"/>
      <c r="U48" s="468"/>
      <c r="V48" s="469"/>
      <c r="W48" s="3"/>
      <c r="X48" s="3"/>
      <c r="Y48" s="3"/>
      <c r="Z48" s="3"/>
      <c r="AA48" s="3"/>
      <c r="AB48" s="3"/>
      <c r="AC48" s="3"/>
      <c r="AD48" s="5"/>
      <c r="AE48" s="5"/>
      <c r="AF48" s="5"/>
      <c r="AG48" s="3"/>
      <c r="AH48" s="3"/>
      <c r="AI48" s="117"/>
      <c r="AJ48" s="117"/>
      <c r="AK48" s="117"/>
      <c r="AL48" s="117"/>
      <c r="AM48" s="117"/>
      <c r="AN48" s="117"/>
      <c r="AO48" s="117"/>
      <c r="AP48" s="24"/>
      <c r="AQ48" s="117"/>
      <c r="AR48" s="24"/>
      <c r="AS48" s="24"/>
      <c r="AT48" s="24"/>
      <c r="AU48" s="24"/>
      <c r="AV48" s="24"/>
      <c r="AW48" s="24"/>
      <c r="AX48" s="24"/>
      <c r="AY48" s="24"/>
      <c r="AZ48" s="5"/>
      <c r="BA48" s="5"/>
      <c r="BB48" s="5"/>
      <c r="BC48" s="5"/>
      <c r="BD48" s="5"/>
      <c r="BE48" s="5"/>
      <c r="BF48" s="5"/>
      <c r="BG48" s="5"/>
      <c r="BH48" s="5"/>
      <c r="BI48" s="5"/>
      <c r="BJ48" s="5"/>
      <c r="BK48" s="5"/>
      <c r="BL48" s="5"/>
      <c r="BM48" s="5"/>
      <c r="BN48" s="5"/>
      <c r="BO48" s="5"/>
      <c r="BP48" s="5"/>
      <c r="BQ48" s="5"/>
      <c r="BR48" s="5"/>
      <c r="BS48" s="5"/>
      <c r="BT48" s="5"/>
      <c r="BU48" s="5"/>
      <c r="BV48" s="5"/>
      <c r="BW48" s="22"/>
      <c r="BX48" s="22"/>
    </row>
    <row r="49" spans="1:76" ht="48">
      <c r="A49" s="32"/>
      <c r="B49" s="33" t="s">
        <v>0</v>
      </c>
      <c r="C49" s="34" t="s">
        <v>1</v>
      </c>
      <c r="D49" s="33" t="s">
        <v>29</v>
      </c>
      <c r="E49" s="33" t="s">
        <v>2</v>
      </c>
      <c r="F49" s="33" t="s">
        <v>30</v>
      </c>
      <c r="G49" s="33" t="s">
        <v>31</v>
      </c>
      <c r="H49" s="281" t="s">
        <v>157</v>
      </c>
      <c r="I49" s="35" t="s">
        <v>34</v>
      </c>
      <c r="J49" s="35" t="s">
        <v>35</v>
      </c>
      <c r="K49" s="35" t="s">
        <v>36</v>
      </c>
      <c r="L49" s="282" t="s">
        <v>158</v>
      </c>
      <c r="M49" s="35" t="s">
        <v>38</v>
      </c>
      <c r="N49" s="35" t="s">
        <v>39</v>
      </c>
      <c r="O49" s="35" t="s">
        <v>40</v>
      </c>
      <c r="P49" s="35" t="s">
        <v>227</v>
      </c>
      <c r="Q49" s="283" t="s">
        <v>228</v>
      </c>
      <c r="R49" s="283" t="s">
        <v>159</v>
      </c>
      <c r="S49" s="437"/>
      <c r="T49" s="437"/>
      <c r="U49" s="437"/>
      <c r="V49" s="437"/>
      <c r="W49" s="438"/>
      <c r="X49" s="3"/>
      <c r="Y49" s="3"/>
      <c r="Z49" s="3"/>
      <c r="AA49" s="3"/>
      <c r="AB49" s="3"/>
      <c r="AC49" s="3"/>
      <c r="AD49" s="40"/>
      <c r="AE49" s="40"/>
      <c r="AF49" s="40"/>
      <c r="AG49" s="40"/>
      <c r="AH49" s="40"/>
      <c r="AI49" s="40"/>
      <c r="AJ49" s="40"/>
      <c r="AK49" s="40"/>
      <c r="AL49" s="40"/>
      <c r="AM49" s="40"/>
      <c r="AN49" s="40"/>
      <c r="AO49" s="40"/>
      <c r="AP49" s="40"/>
      <c r="AQ49" s="40"/>
      <c r="AR49" s="40"/>
      <c r="AS49" s="40"/>
      <c r="AT49" s="40"/>
      <c r="AU49" s="40"/>
      <c r="AV49" s="40"/>
      <c r="AW49" s="40"/>
      <c r="AX49" s="40"/>
      <c r="AY49" s="40"/>
      <c r="AZ49" s="32"/>
      <c r="BA49" s="32"/>
      <c r="BB49" s="32"/>
      <c r="BC49" s="32"/>
      <c r="BD49" s="32"/>
      <c r="BE49" s="32"/>
      <c r="BF49" s="32"/>
      <c r="BG49" s="32"/>
      <c r="BH49" s="32"/>
      <c r="BI49" s="32"/>
      <c r="BJ49" s="32"/>
      <c r="BK49" s="32"/>
      <c r="BL49" s="32"/>
      <c r="BM49" s="32"/>
    </row>
    <row r="50" spans="1:76" ht="15.75" customHeight="1">
      <c r="A50" s="41">
        <f>A48+1</f>
        <v>1</v>
      </c>
      <c r="B50" s="1" t="s">
        <v>5</v>
      </c>
      <c r="C50" s="42" t="str">
        <f ca="1">IFERROR(__xludf.DUMMYFUNCTION("GoogleFinance(B50,""name"")"),"SPDR S&amp;P 500 ETF Trust")</f>
        <v>SPDR S&amp;P 500 ETF Trust</v>
      </c>
      <c r="D50" s="43">
        <f ca="1">IFERROR(__xludf.DUMMYFUNCTION("GoogleFinance(B50,""marketcap"")/1000000"),435441.745576)</f>
        <v>435441.74557600002</v>
      </c>
      <c r="E50" s="44" t="s">
        <v>59</v>
      </c>
      <c r="F50" s="44" t="s">
        <v>185</v>
      </c>
      <c r="G50" s="45">
        <v>45296</v>
      </c>
      <c r="H50" s="46">
        <v>473.88</v>
      </c>
      <c r="I50" s="47">
        <v>467.3</v>
      </c>
      <c r="J50" s="48">
        <v>9</v>
      </c>
      <c r="K50" s="49">
        <v>4205.7</v>
      </c>
      <c r="L50" s="50">
        <v>4264.92</v>
      </c>
      <c r="M50" s="50">
        <v>59.220000000000255</v>
      </c>
      <c r="N50" s="51">
        <v>1.4080890220415032E-2</v>
      </c>
      <c r="O50" s="52">
        <v>4</v>
      </c>
      <c r="P50" s="439" t="s">
        <v>229</v>
      </c>
      <c r="Q50" s="45">
        <v>45300</v>
      </c>
      <c r="R50" s="25" t="s">
        <v>161</v>
      </c>
      <c r="S50" s="25"/>
      <c r="T50" s="25"/>
      <c r="U50" s="25"/>
      <c r="V50" s="25"/>
      <c r="W50" s="25"/>
      <c r="X50" s="3"/>
      <c r="Y50" s="3"/>
      <c r="Z50" s="3"/>
      <c r="AA50" s="3"/>
      <c r="AB50" s="3"/>
      <c r="AC50" s="25"/>
      <c r="AD50" s="25"/>
      <c r="AE50" s="25"/>
      <c r="AF50" s="25"/>
      <c r="AG50" s="23"/>
      <c r="AH50" s="23"/>
      <c r="AI50" s="397"/>
      <c r="AJ50" s="397"/>
      <c r="AK50" s="397"/>
      <c r="AL50" s="397"/>
      <c r="AM50" s="397"/>
      <c r="AN50" s="397"/>
      <c r="AO50" s="397"/>
      <c r="AP50" s="229"/>
      <c r="AQ50" s="397"/>
      <c r="AR50" s="229"/>
      <c r="AS50" s="229"/>
      <c r="AT50" s="229"/>
      <c r="AU50" s="229"/>
      <c r="AV50" s="229"/>
      <c r="AW50" s="229"/>
      <c r="AX50" s="229"/>
      <c r="AY50" s="229"/>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row>
    <row r="51" spans="1:76" ht="15.75" customHeight="1">
      <c r="A51" s="368">
        <f t="shared" ref="A51:A55" si="1">A50+1</f>
        <v>2</v>
      </c>
      <c r="B51" s="1" t="s">
        <v>5</v>
      </c>
      <c r="C51" s="42" t="str">
        <f ca="1">IFERROR(__xludf.DUMMYFUNCTION("GoogleFinance(B51,""name"")"),"SPDR S&amp;P 500 ETF Trust")</f>
        <v>SPDR S&amp;P 500 ETF Trust</v>
      </c>
      <c r="D51" s="43">
        <f ca="1">IFERROR(__xludf.DUMMYFUNCTION("GoogleFinance(B51,""marketcap"")/1000000"),435441.745576)</f>
        <v>435441.74557600002</v>
      </c>
      <c r="E51" s="44" t="s">
        <v>59</v>
      </c>
      <c r="F51" s="44" t="s">
        <v>185</v>
      </c>
      <c r="G51" s="45">
        <v>45296</v>
      </c>
      <c r="H51" s="46">
        <v>476.2</v>
      </c>
      <c r="I51" s="47">
        <v>467.3</v>
      </c>
      <c r="J51" s="48">
        <v>140.80000000000001</v>
      </c>
      <c r="K51" s="49">
        <v>65795.840000000011</v>
      </c>
      <c r="L51" s="50">
        <v>67048.960000000006</v>
      </c>
      <c r="M51" s="50">
        <v>1253.1199999999953</v>
      </c>
      <c r="N51" s="51">
        <v>1.9045580997218092E-2</v>
      </c>
      <c r="O51" s="52">
        <v>5</v>
      </c>
      <c r="P51" s="439" t="s">
        <v>229</v>
      </c>
      <c r="Q51" s="45">
        <v>45301</v>
      </c>
      <c r="R51" s="25" t="s">
        <v>161</v>
      </c>
      <c r="S51" s="25"/>
      <c r="T51" s="25"/>
      <c r="U51" s="25"/>
      <c r="V51" s="25"/>
      <c r="W51" s="25"/>
      <c r="X51" s="3"/>
      <c r="Y51" s="3"/>
      <c r="Z51" s="3"/>
      <c r="AA51" s="3"/>
      <c r="AB51" s="3"/>
      <c r="AC51" s="25"/>
      <c r="AD51" s="25"/>
      <c r="AE51" s="25"/>
      <c r="AF51" s="25"/>
      <c r="AG51" s="23"/>
      <c r="AH51" s="23"/>
      <c r="AI51" s="397"/>
      <c r="AJ51" s="397"/>
      <c r="AK51" s="397"/>
      <c r="AL51" s="397"/>
      <c r="AM51" s="397"/>
      <c r="AN51" s="397"/>
      <c r="AO51" s="397"/>
      <c r="AP51" s="229"/>
      <c r="AQ51" s="397"/>
      <c r="AR51" s="229"/>
      <c r="AS51" s="229"/>
      <c r="AT51" s="229"/>
      <c r="AU51" s="229"/>
      <c r="AV51" s="229"/>
      <c r="AW51" s="229"/>
      <c r="AX51" s="229"/>
      <c r="AY51" s="229"/>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ht="15.75" customHeight="1">
      <c r="A52" s="368">
        <f t="shared" si="1"/>
        <v>3</v>
      </c>
      <c r="B52" s="1" t="s">
        <v>230</v>
      </c>
      <c r="C52" s="42" t="str">
        <f ca="1">IFERROR(__xludf.DUMMYFUNCTION("GoogleFinance(B52,""name"")"),"Netflix Inc")</f>
        <v>Netflix Inc</v>
      </c>
      <c r="D52" s="43">
        <f ca="1">IFERROR(__xludf.DUMMYFUNCTION("GoogleFinance(B52,""marketcap"")/1000000"),211377.416457)</f>
        <v>211377.41645700001</v>
      </c>
      <c r="E52" s="44" t="s">
        <v>12</v>
      </c>
      <c r="F52" s="44" t="s">
        <v>93</v>
      </c>
      <c r="G52" s="45">
        <v>45260</v>
      </c>
      <c r="H52" s="46">
        <v>482.95</v>
      </c>
      <c r="I52" s="47">
        <v>472.5</v>
      </c>
      <c r="J52" s="48">
        <v>8.4656084656084651</v>
      </c>
      <c r="K52" s="49">
        <v>4088.4656084656081</v>
      </c>
      <c r="L52" s="50">
        <v>4000</v>
      </c>
      <c r="M52" s="50">
        <v>-88.465608465608057</v>
      </c>
      <c r="N52" s="51">
        <v>-2.1637850709183115E-2</v>
      </c>
      <c r="O52" s="52">
        <v>42</v>
      </c>
      <c r="P52" s="439" t="s">
        <v>231</v>
      </c>
      <c r="Q52" s="45">
        <v>45302</v>
      </c>
      <c r="R52" s="25" t="s">
        <v>41</v>
      </c>
      <c r="S52" s="25"/>
      <c r="T52" s="25"/>
      <c r="U52" s="25"/>
      <c r="V52" s="25"/>
      <c r="W52" s="25"/>
      <c r="X52" s="3"/>
      <c r="Y52" s="3"/>
      <c r="Z52" s="3"/>
      <c r="AA52" s="3"/>
      <c r="AB52" s="3"/>
      <c r="AC52" s="25"/>
      <c r="AD52" s="25"/>
      <c r="AE52" s="25"/>
      <c r="AF52" s="25"/>
      <c r="AG52" s="23"/>
      <c r="AH52" s="23"/>
      <c r="AI52" s="397"/>
      <c r="AJ52" s="397"/>
      <c r="AK52" s="397"/>
      <c r="AL52" s="397"/>
      <c r="AM52" s="397"/>
      <c r="AN52" s="397"/>
      <c r="AO52" s="397"/>
      <c r="AP52" s="229"/>
      <c r="AQ52" s="397"/>
      <c r="AR52" s="229"/>
      <c r="AS52" s="229"/>
      <c r="AT52" s="229"/>
      <c r="AU52" s="229"/>
      <c r="AV52" s="229"/>
      <c r="AW52" s="229"/>
      <c r="AX52" s="229"/>
      <c r="AY52" s="229"/>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row>
    <row r="53" spans="1:76" ht="15.75" customHeight="1">
      <c r="A53" s="368">
        <f t="shared" si="1"/>
        <v>4</v>
      </c>
      <c r="B53" s="1" t="s">
        <v>232</v>
      </c>
      <c r="C53" s="42" t="str">
        <f ca="1">IFERROR(__xludf.DUMMYFUNCTION("GoogleFinance(B53,""name"")"),"Taiwan Semiconductor Mfg. Co. Ltd.")</f>
        <v>Taiwan Semiconductor Mfg. Co. Ltd.</v>
      </c>
      <c r="D53" s="43">
        <f ca="1">IFERROR(__xludf.DUMMYFUNCTION("GoogleFinance(B53,""marketcap"")/1000000"),530519.169222)</f>
        <v>530519.16922200006</v>
      </c>
      <c r="E53" s="44" t="s">
        <v>7</v>
      </c>
      <c r="F53" s="44" t="s">
        <v>19</v>
      </c>
      <c r="G53" s="45">
        <v>45300</v>
      </c>
      <c r="H53" s="46">
        <v>106</v>
      </c>
      <c r="I53" s="47">
        <v>101.76</v>
      </c>
      <c r="J53" s="48">
        <v>19.654088050314463</v>
      </c>
      <c r="K53" s="49">
        <v>2083.333333333333</v>
      </c>
      <c r="L53" s="50">
        <v>2000</v>
      </c>
      <c r="M53" s="50">
        <v>-83.33333333333303</v>
      </c>
      <c r="N53" s="51">
        <v>-3.9999999999999925E-2</v>
      </c>
      <c r="O53" s="52">
        <v>9</v>
      </c>
      <c r="P53" s="439" t="s">
        <v>231</v>
      </c>
      <c r="Q53" s="45">
        <v>45309</v>
      </c>
      <c r="R53" s="25" t="s">
        <v>41</v>
      </c>
      <c r="S53" s="25"/>
      <c r="T53" s="25"/>
      <c r="U53" s="25"/>
      <c r="V53" s="25"/>
      <c r="W53" s="25"/>
      <c r="X53" s="3"/>
      <c r="Y53" s="3"/>
      <c r="Z53" s="3"/>
      <c r="AA53" s="3"/>
      <c r="AB53" s="3"/>
      <c r="AC53" s="25"/>
      <c r="AD53" s="25"/>
      <c r="AE53" s="25"/>
      <c r="AF53" s="25"/>
      <c r="AG53" s="23"/>
      <c r="AH53" s="23"/>
      <c r="AI53" s="397"/>
      <c r="AJ53" s="397"/>
      <c r="AK53" s="397"/>
      <c r="AL53" s="397"/>
      <c r="AM53" s="397"/>
      <c r="AN53" s="397"/>
      <c r="AO53" s="397"/>
      <c r="AP53" s="229"/>
      <c r="AQ53" s="397"/>
      <c r="AR53" s="229"/>
      <c r="AS53" s="229"/>
      <c r="AT53" s="229"/>
      <c r="AU53" s="229"/>
      <c r="AV53" s="229"/>
      <c r="AW53" s="229"/>
      <c r="AX53" s="229"/>
      <c r="AY53" s="229"/>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ht="15.75" customHeight="1">
      <c r="A54" s="368">
        <f t="shared" si="1"/>
        <v>5</v>
      </c>
      <c r="B54" s="1" t="s">
        <v>233</v>
      </c>
      <c r="C54" s="42" t="str">
        <f ca="1">IFERROR(__xludf.DUMMYFUNCTION("GoogleFinance(B54,""name"")"),"Lam Research Corporation")</f>
        <v>Lam Research Corporation</v>
      </c>
      <c r="D54" s="43">
        <f ca="1">IFERROR(__xludf.DUMMYFUNCTION("GoogleFinance(B54,""marketcap"")/1000000"),108902.366405)</f>
        <v>108902.36640499999</v>
      </c>
      <c r="E54" s="44" t="s">
        <v>7</v>
      </c>
      <c r="F54" s="44" t="s">
        <v>19</v>
      </c>
      <c r="G54" s="45">
        <v>45300</v>
      </c>
      <c r="H54" s="46">
        <v>826.32</v>
      </c>
      <c r="I54" s="47">
        <v>754.23</v>
      </c>
      <c r="J54" s="48">
        <v>2.6517110165334183</v>
      </c>
      <c r="K54" s="49">
        <v>2191.1618471818942</v>
      </c>
      <c r="L54" s="50">
        <v>2000.0000000000002</v>
      </c>
      <c r="M54" s="50">
        <v>-191.16184718189402</v>
      </c>
      <c r="N54" s="51">
        <v>-8.7242230612837646E-2</v>
      </c>
      <c r="O54" s="52">
        <v>10</v>
      </c>
      <c r="P54" s="439" t="s">
        <v>231</v>
      </c>
      <c r="Q54" s="45">
        <v>45310</v>
      </c>
      <c r="R54" s="25" t="s">
        <v>41</v>
      </c>
      <c r="S54" s="25"/>
      <c r="T54" s="25"/>
      <c r="U54" s="25"/>
      <c r="V54" s="25"/>
      <c r="W54" s="25"/>
      <c r="X54" s="3"/>
      <c r="Y54" s="3"/>
      <c r="Z54" s="3"/>
      <c r="AA54" s="3"/>
      <c r="AB54" s="3"/>
      <c r="AC54" s="25"/>
      <c r="AD54" s="25"/>
      <c r="AE54" s="25"/>
      <c r="AF54" s="25"/>
      <c r="AG54" s="23"/>
      <c r="AH54" s="23"/>
      <c r="AI54" s="397"/>
      <c r="AJ54" s="397"/>
      <c r="AK54" s="397"/>
      <c r="AL54" s="397"/>
      <c r="AM54" s="397"/>
      <c r="AN54" s="397"/>
      <c r="AO54" s="397"/>
      <c r="AP54" s="229"/>
      <c r="AQ54" s="397"/>
      <c r="AR54" s="229"/>
      <c r="AS54" s="229"/>
      <c r="AT54" s="229"/>
      <c r="AU54" s="229"/>
      <c r="AV54" s="229"/>
      <c r="AW54" s="229"/>
      <c r="AX54" s="229"/>
      <c r="AY54" s="229"/>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ht="15.75" customHeight="1">
      <c r="A55" s="368">
        <f t="shared" si="1"/>
        <v>6</v>
      </c>
      <c r="B55" s="1" t="s">
        <v>178</v>
      </c>
      <c r="C55" s="42" t="str">
        <f ca="1">IFERROR(__xludf.DUMMYFUNCTION("GoogleFinance(B55,""name"")"),"ProShares Short Bitcoin Strategy ETF")</f>
        <v>ProShares Short Bitcoin Strategy ETF</v>
      </c>
      <c r="D55" s="43" t="str">
        <f ca="1">IFERROR(__xludf.DUMMYFUNCTION("GoogleFinance(B55,""marketcap"")/1000000"),"#N/A")</f>
        <v>#N/A</v>
      </c>
      <c r="E55" s="44" t="s">
        <v>7</v>
      </c>
      <c r="F55" s="44" t="s">
        <v>120</v>
      </c>
      <c r="G55" s="45">
        <v>45307</v>
      </c>
      <c r="H55" s="46">
        <v>13.62</v>
      </c>
      <c r="I55" s="47">
        <v>12.68</v>
      </c>
      <c r="J55" s="48">
        <v>170</v>
      </c>
      <c r="K55" s="49">
        <v>2155.6</v>
      </c>
      <c r="L55" s="50">
        <v>2315.4</v>
      </c>
      <c r="M55" s="50">
        <v>159.80000000000018</v>
      </c>
      <c r="N55" s="51">
        <v>7.4132492113564652E-2</v>
      </c>
      <c r="O55" s="52">
        <v>3</v>
      </c>
      <c r="P55" s="439" t="s">
        <v>229</v>
      </c>
      <c r="Q55" s="45">
        <v>45310</v>
      </c>
      <c r="R55" s="25" t="s">
        <v>161</v>
      </c>
      <c r="S55" s="25"/>
      <c r="T55" s="25"/>
      <c r="U55" s="25"/>
      <c r="V55" s="25"/>
      <c r="W55" s="25"/>
      <c r="X55" s="3"/>
      <c r="Y55" s="3"/>
      <c r="Z55" s="3"/>
      <c r="AA55" s="3"/>
      <c r="AB55" s="3"/>
      <c r="AC55" s="25"/>
      <c r="AD55" s="25"/>
      <c r="AE55" s="25"/>
      <c r="AF55" s="25"/>
      <c r="AG55" s="23"/>
      <c r="AH55" s="23"/>
      <c r="AI55" s="397"/>
      <c r="AJ55" s="397"/>
      <c r="AK55" s="397"/>
      <c r="AL55" s="397"/>
      <c r="AM55" s="397"/>
      <c r="AN55" s="397"/>
      <c r="AO55" s="397"/>
      <c r="AP55" s="229"/>
      <c r="AQ55" s="397"/>
      <c r="AR55" s="229"/>
      <c r="AS55" s="229"/>
      <c r="AT55" s="229"/>
      <c r="AU55" s="229"/>
      <c r="AV55" s="229"/>
      <c r="AW55" s="229"/>
      <c r="AX55" s="229"/>
      <c r="AY55" s="229"/>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row>
    <row r="56" spans="1:76" ht="15.75" customHeight="1">
      <c r="A56" s="368"/>
      <c r="B56" s="25"/>
      <c r="C56" s="291"/>
      <c r="D56" s="25"/>
      <c r="E56" s="25"/>
      <c r="F56" s="25"/>
      <c r="G56" s="26"/>
      <c r="H56" s="440"/>
      <c r="I56" s="441"/>
      <c r="J56" s="441"/>
      <c r="K56" s="442"/>
      <c r="L56" s="442"/>
      <c r="M56" s="443"/>
      <c r="N56" s="444"/>
      <c r="O56" s="313"/>
      <c r="P56" s="439"/>
      <c r="Q56" s="25"/>
      <c r="R56" s="25"/>
      <c r="S56" s="25"/>
      <c r="T56" s="25"/>
      <c r="U56" s="25"/>
      <c r="V56" s="25"/>
      <c r="W56" s="25"/>
      <c r="X56" s="3"/>
      <c r="Y56" s="3"/>
      <c r="Z56" s="3"/>
      <c r="AA56" s="3"/>
      <c r="AB56" s="3"/>
      <c r="AC56" s="25"/>
      <c r="AD56" s="25"/>
      <c r="AE56" s="25"/>
      <c r="AF56" s="25"/>
      <c r="AG56" s="3"/>
      <c r="AH56" s="3"/>
      <c r="AI56" s="397"/>
      <c r="AJ56" s="117"/>
      <c r="AK56" s="397"/>
      <c r="AL56" s="117"/>
      <c r="AM56" s="397"/>
      <c r="AN56" s="117"/>
      <c r="AO56" s="397"/>
      <c r="AP56" s="24"/>
      <c r="AQ56" s="397"/>
      <c r="AR56" s="24"/>
      <c r="AS56" s="24"/>
      <c r="AT56" s="24"/>
      <c r="AU56" s="24"/>
      <c r="AV56" s="229"/>
      <c r="AW56" s="229"/>
      <c r="AX56" s="24"/>
      <c r="AY56" s="229"/>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row>
    <row r="57" spans="1:76" ht="15.75" customHeight="1">
      <c r="A57" s="25"/>
      <c r="B57" s="25"/>
      <c r="C57" s="291"/>
      <c r="D57" s="25"/>
      <c r="E57" s="25"/>
      <c r="F57" s="25"/>
      <c r="G57" s="26"/>
      <c r="H57" s="388" t="s">
        <v>155</v>
      </c>
      <c r="I57" s="389"/>
      <c r="J57" s="389"/>
      <c r="K57" s="390">
        <v>80520.100788980839</v>
      </c>
      <c r="L57" s="390">
        <v>81629.279999999999</v>
      </c>
      <c r="M57" s="391">
        <v>1109.1792110191607</v>
      </c>
      <c r="N57" s="444">
        <v>1.3775184086343595E-2</v>
      </c>
      <c r="O57" s="393">
        <v>12.166666666666666</v>
      </c>
      <c r="P57" s="439"/>
      <c r="Q57" s="25"/>
      <c r="R57" s="25"/>
      <c r="S57" s="25"/>
      <c r="T57" s="25"/>
      <c r="U57" s="25"/>
      <c r="V57" s="25"/>
      <c r="W57" s="25"/>
      <c r="X57" s="3"/>
      <c r="Y57" s="3"/>
      <c r="Z57" s="3"/>
      <c r="AA57" s="3"/>
      <c r="AB57" s="3"/>
      <c r="AC57" s="25"/>
      <c r="AD57" s="25"/>
      <c r="AE57" s="25"/>
      <c r="AF57" s="25"/>
      <c r="AG57" s="3"/>
      <c r="AH57" s="3"/>
      <c r="AI57" s="117"/>
      <c r="AJ57" s="117"/>
      <c r="AK57" s="117"/>
      <c r="AL57" s="117"/>
      <c r="AM57" s="117"/>
      <c r="AN57" s="117"/>
      <c r="AO57" s="117"/>
      <c r="AP57" s="24"/>
      <c r="AQ57" s="117"/>
      <c r="AR57" s="24"/>
      <c r="AS57" s="24"/>
      <c r="AT57" s="24"/>
      <c r="AU57" s="24"/>
      <c r="AV57" s="24"/>
      <c r="AW57" s="24"/>
      <c r="AX57" s="24"/>
      <c r="AY57" s="24"/>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row>
    <row r="58" spans="1:76" ht="15.75" customHeight="1">
      <c r="A58" s="25"/>
      <c r="B58" s="25"/>
      <c r="C58" s="291"/>
      <c r="D58" s="25"/>
      <c r="E58" s="25"/>
      <c r="F58" s="25"/>
      <c r="G58" s="26"/>
      <c r="H58" s="26"/>
      <c r="I58" s="25"/>
      <c r="J58" s="25"/>
      <c r="K58" s="25"/>
      <c r="L58" s="26"/>
      <c r="M58" s="25"/>
      <c r="N58" s="25"/>
      <c r="O58" s="25"/>
      <c r="P58" s="25"/>
      <c r="Q58" s="25"/>
      <c r="R58" s="25"/>
      <c r="S58" s="25"/>
      <c r="T58" s="25"/>
      <c r="U58" s="25"/>
      <c r="V58" s="25"/>
      <c r="W58" s="25"/>
      <c r="X58" s="3"/>
      <c r="Y58" s="3"/>
      <c r="Z58" s="3"/>
      <c r="AA58" s="3"/>
      <c r="AB58" s="3"/>
      <c r="AC58" s="25"/>
      <c r="AD58" s="25"/>
      <c r="AE58" s="25"/>
      <c r="AF58" s="25"/>
      <c r="AG58" s="3"/>
      <c r="AH58" s="3"/>
      <c r="AI58" s="117"/>
      <c r="AJ58" s="117"/>
      <c r="AK58" s="117"/>
      <c r="AL58" s="117"/>
      <c r="AM58" s="117"/>
      <c r="AN58" s="117"/>
      <c r="AO58" s="117"/>
      <c r="AP58" s="24"/>
      <c r="AQ58" s="117"/>
      <c r="AR58" s="24"/>
      <c r="AS58" s="24"/>
      <c r="AT58" s="24"/>
      <c r="AU58" s="24"/>
      <c r="AV58" s="24"/>
      <c r="AW58" s="24"/>
      <c r="AX58" s="24"/>
      <c r="AY58" s="24"/>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ht="15.75" customHeight="1">
      <c r="A59" s="25"/>
      <c r="B59" s="25"/>
      <c r="C59" s="291"/>
      <c r="D59" s="25"/>
      <c r="E59" s="25"/>
      <c r="F59" s="25"/>
      <c r="G59" s="26"/>
      <c r="H59" s="26"/>
      <c r="I59" s="25"/>
      <c r="J59" s="25"/>
      <c r="K59" s="25"/>
      <c r="L59" s="26"/>
      <c r="M59" s="25"/>
      <c r="N59" s="25"/>
      <c r="O59" s="25"/>
      <c r="P59" s="25"/>
      <c r="Q59" s="25"/>
      <c r="R59" s="25"/>
      <c r="S59" s="25"/>
      <c r="T59" s="25"/>
      <c r="U59" s="25"/>
      <c r="V59" s="25"/>
      <c r="W59" s="25"/>
      <c r="X59" s="25"/>
      <c r="Y59" s="25"/>
      <c r="Z59" s="25"/>
      <c r="AA59" s="25"/>
      <c r="AB59" s="25"/>
      <c r="AC59" s="25"/>
      <c r="AD59" s="25"/>
      <c r="AE59" s="25"/>
      <c r="AF59" s="25"/>
      <c r="AG59" s="3"/>
      <c r="AH59" s="3"/>
      <c r="AI59" s="117"/>
      <c r="AJ59" s="117"/>
      <c r="AK59" s="117"/>
      <c r="AL59" s="117"/>
      <c r="AM59" s="117"/>
      <c r="AN59" s="117"/>
      <c r="AO59" s="117"/>
      <c r="AP59" s="24"/>
      <c r="AQ59" s="117"/>
      <c r="AR59" s="24"/>
      <c r="AS59" s="24"/>
      <c r="AT59" s="24"/>
      <c r="AU59" s="24"/>
      <c r="AV59" s="24"/>
      <c r="AW59" s="24"/>
      <c r="AX59" s="24"/>
      <c r="AY59" s="24"/>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ht="15.75" customHeight="1">
      <c r="A60" s="25"/>
      <c r="B60" s="25"/>
      <c r="C60" s="291"/>
      <c r="D60" s="25"/>
      <c r="E60" s="25"/>
      <c r="F60" s="25"/>
      <c r="G60" s="26"/>
      <c r="H60" s="26"/>
      <c r="I60" s="25"/>
      <c r="J60" s="25"/>
      <c r="K60" s="25"/>
      <c r="L60" s="26"/>
      <c r="M60" s="25"/>
      <c r="N60" s="25"/>
      <c r="O60" s="25"/>
      <c r="P60" s="25"/>
      <c r="Q60" s="25"/>
      <c r="R60" s="25"/>
      <c r="S60" s="25"/>
      <c r="T60" s="25"/>
      <c r="U60" s="25"/>
      <c r="V60" s="25"/>
      <c r="W60" s="25"/>
      <c r="X60" s="25"/>
      <c r="Y60" s="25"/>
      <c r="Z60" s="25"/>
      <c r="AA60" s="25"/>
      <c r="AB60" s="25"/>
      <c r="AC60" s="25"/>
      <c r="AD60" s="25"/>
      <c r="AE60" s="25"/>
      <c r="AF60" s="25"/>
      <c r="AG60" s="3"/>
      <c r="AH60" s="3"/>
      <c r="AI60" s="117"/>
      <c r="AJ60" s="117"/>
      <c r="AK60" s="117"/>
      <c r="AL60" s="117"/>
      <c r="AM60" s="117"/>
      <c r="AN60" s="117"/>
      <c r="AO60" s="117"/>
      <c r="AP60" s="24"/>
      <c r="AQ60" s="117"/>
      <c r="AR60" s="24"/>
      <c r="AS60" s="24"/>
      <c r="AT60" s="24"/>
      <c r="AU60" s="24"/>
      <c r="AV60" s="24"/>
      <c r="AW60" s="24"/>
      <c r="AX60" s="24"/>
      <c r="AY60" s="24"/>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ht="15.75" customHeight="1">
      <c r="A61" s="25"/>
      <c r="B61" s="25"/>
      <c r="C61" s="291"/>
      <c r="D61" s="25"/>
      <c r="E61" s="25"/>
      <c r="F61" s="25"/>
      <c r="G61" s="26"/>
      <c r="H61" s="26"/>
      <c r="I61" s="25"/>
      <c r="J61" s="25"/>
      <c r="K61" s="25"/>
      <c r="L61" s="26"/>
      <c r="M61" s="25"/>
      <c r="N61" s="25"/>
      <c r="O61" s="25"/>
      <c r="P61" s="25"/>
      <c r="Q61" s="25"/>
      <c r="R61" s="25"/>
      <c r="S61" s="25"/>
      <c r="T61" s="25"/>
      <c r="U61" s="25"/>
      <c r="V61" s="25"/>
      <c r="W61" s="25"/>
      <c r="X61" s="25"/>
      <c r="Y61" s="25"/>
      <c r="Z61" s="25"/>
      <c r="AA61" s="25"/>
      <c r="AB61" s="25"/>
      <c r="AC61" s="25"/>
      <c r="AD61" s="25"/>
      <c r="AE61" s="25"/>
      <c r="AF61" s="25"/>
      <c r="AG61" s="3"/>
      <c r="AH61" s="3"/>
      <c r="AI61" s="117"/>
      <c r="AJ61" s="117"/>
      <c r="AK61" s="117"/>
      <c r="AL61" s="117"/>
      <c r="AM61" s="117"/>
      <c r="AN61" s="117"/>
      <c r="AO61" s="117"/>
      <c r="AP61" s="24"/>
      <c r="AQ61" s="117"/>
      <c r="AR61" s="24"/>
      <c r="AS61" s="24"/>
      <c r="AT61" s="24"/>
      <c r="AU61" s="24"/>
      <c r="AV61" s="24"/>
      <c r="AW61" s="24"/>
      <c r="AX61" s="24"/>
      <c r="AY61" s="24"/>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row>
    <row r="62" spans="1:76" ht="15.75" customHeight="1">
      <c r="A62" s="25"/>
      <c r="B62" s="25"/>
      <c r="C62" s="291"/>
      <c r="D62" s="25"/>
      <c r="E62" s="25"/>
      <c r="F62" s="25"/>
      <c r="G62" s="26"/>
      <c r="H62" s="26"/>
      <c r="I62" s="25"/>
      <c r="J62" s="25"/>
      <c r="K62" s="25"/>
      <c r="L62" s="26"/>
      <c r="M62" s="25"/>
      <c r="N62" s="25"/>
      <c r="O62" s="25"/>
      <c r="P62" s="25"/>
      <c r="Q62" s="25"/>
      <c r="R62" s="25"/>
      <c r="S62" s="25"/>
      <c r="T62" s="25"/>
      <c r="U62" s="25"/>
      <c r="V62" s="25"/>
      <c r="W62" s="25"/>
      <c r="X62" s="25"/>
      <c r="Y62" s="25"/>
      <c r="Z62" s="25"/>
      <c r="AA62" s="25"/>
      <c r="AB62" s="25"/>
      <c r="AC62" s="25"/>
      <c r="AD62" s="25"/>
      <c r="AE62" s="25"/>
      <c r="AF62" s="25"/>
      <c r="AG62" s="3"/>
      <c r="AH62" s="3"/>
      <c r="AI62" s="117"/>
      <c r="AJ62" s="117"/>
      <c r="AK62" s="117"/>
      <c r="AL62" s="117"/>
      <c r="AM62" s="117"/>
      <c r="AN62" s="117"/>
      <c r="AO62" s="117"/>
      <c r="AP62" s="24"/>
      <c r="AQ62" s="117"/>
      <c r="AR62" s="24"/>
      <c r="AS62" s="117"/>
      <c r="AT62" s="24"/>
      <c r="AU62" s="117"/>
      <c r="AV62" s="24"/>
      <c r="AW62" s="87"/>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row>
    <row r="63" spans="1:76" ht="15.75" customHeight="1">
      <c r="A63" s="25"/>
      <c r="B63" s="25"/>
      <c r="C63" s="291"/>
      <c r="D63" s="25"/>
      <c r="E63" s="25"/>
      <c r="F63" s="25"/>
      <c r="G63" s="26"/>
      <c r="H63" s="26"/>
      <c r="I63" s="25"/>
      <c r="J63" s="25"/>
      <c r="K63" s="25"/>
      <c r="L63" s="26"/>
      <c r="M63" s="25"/>
      <c r="N63" s="25"/>
      <c r="O63" s="25"/>
      <c r="P63" s="25"/>
      <c r="Q63" s="25"/>
      <c r="R63" s="25"/>
      <c r="S63" s="25"/>
      <c r="T63" s="25"/>
      <c r="U63" s="25"/>
      <c r="V63" s="25"/>
      <c r="W63" s="25"/>
      <c r="X63" s="25"/>
      <c r="Y63" s="25"/>
      <c r="Z63" s="25"/>
      <c r="AA63" s="25"/>
      <c r="AB63" s="25"/>
      <c r="AC63" s="25"/>
      <c r="AD63" s="25"/>
      <c r="AE63" s="25"/>
      <c r="AF63" s="25"/>
      <c r="AG63" s="3"/>
      <c r="AH63" s="3"/>
      <c r="AI63" s="117"/>
      <c r="AJ63" s="117"/>
      <c r="AK63" s="117"/>
      <c r="AL63" s="117"/>
      <c r="AM63" s="117"/>
      <c r="AN63" s="117"/>
      <c r="AO63" s="117"/>
      <c r="AP63" s="24"/>
      <c r="AQ63" s="117"/>
      <c r="AR63" s="24"/>
      <c r="AS63" s="117"/>
      <c r="AT63" s="24"/>
      <c r="AU63" s="117"/>
      <c r="AV63" s="24"/>
      <c r="AW63" s="87"/>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row>
    <row r="64" spans="1:76" ht="15.75" customHeight="1">
      <c r="A64" s="25"/>
      <c r="B64" s="25"/>
      <c r="C64" s="291"/>
      <c r="D64" s="25"/>
      <c r="E64" s="25"/>
      <c r="F64" s="25"/>
      <c r="G64" s="26"/>
      <c r="H64" s="26"/>
      <c r="I64" s="25"/>
      <c r="J64" s="25"/>
      <c r="K64" s="25"/>
      <c r="L64" s="26"/>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row>
    <row r="65" spans="1:76" ht="15.75" customHeight="1">
      <c r="A65" s="25"/>
      <c r="B65" s="25"/>
      <c r="C65" s="291"/>
      <c r="D65" s="25"/>
      <c r="E65" s="25"/>
      <c r="F65" s="25"/>
      <c r="G65" s="26"/>
      <c r="H65" s="26"/>
      <c r="I65" s="25"/>
      <c r="J65" s="25"/>
      <c r="K65" s="25"/>
      <c r="L65" s="26"/>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row>
    <row r="66" spans="1:76" ht="15.75" customHeight="1">
      <c r="A66" s="25"/>
      <c r="B66" s="25"/>
      <c r="C66" s="291"/>
      <c r="D66" s="25"/>
      <c r="E66" s="25"/>
      <c r="F66" s="25"/>
      <c r="G66" s="26"/>
      <c r="H66" s="26"/>
      <c r="I66" s="25"/>
      <c r="J66" s="25"/>
      <c r="K66" s="25"/>
      <c r="L66" s="26"/>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row>
    <row r="67" spans="1:76" ht="15.75" customHeight="1">
      <c r="A67" s="25"/>
      <c r="B67" s="25"/>
      <c r="C67" s="291"/>
      <c r="D67" s="25"/>
      <c r="E67" s="25"/>
      <c r="F67" s="25"/>
      <c r="G67" s="26"/>
      <c r="H67" s="26"/>
      <c r="I67" s="25"/>
      <c r="J67" s="25"/>
      <c r="K67" s="25"/>
      <c r="L67" s="26"/>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row>
    <row r="68" spans="1:76" ht="15.75" customHeight="1">
      <c r="A68" s="25"/>
      <c r="B68" s="25"/>
      <c r="C68" s="291"/>
      <c r="D68" s="25"/>
      <c r="E68" s="25"/>
      <c r="F68" s="25"/>
      <c r="G68" s="26"/>
      <c r="H68" s="26"/>
      <c r="I68" s="25"/>
      <c r="J68" s="25"/>
      <c r="K68" s="25"/>
      <c r="L68" s="26"/>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ht="15.75" customHeight="1">
      <c r="A69" s="25"/>
      <c r="B69" s="25"/>
      <c r="C69" s="291"/>
      <c r="D69" s="25"/>
      <c r="E69" s="25"/>
      <c r="F69" s="25"/>
      <c r="G69" s="26"/>
      <c r="H69" s="26"/>
      <c r="I69" s="25"/>
      <c r="J69" s="25"/>
      <c r="K69" s="25"/>
      <c r="L69" s="26"/>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1:76" ht="15.75" customHeight="1">
      <c r="A70" s="25"/>
      <c r="B70" s="25"/>
      <c r="C70" s="291"/>
      <c r="D70" s="25"/>
      <c r="E70" s="25"/>
      <c r="F70" s="25"/>
      <c r="G70" s="26"/>
      <c r="H70" s="26"/>
      <c r="I70" s="25"/>
      <c r="J70" s="25"/>
      <c r="K70" s="25"/>
      <c r="L70" s="26"/>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1:76" ht="15.75" customHeight="1">
      <c r="A71" s="25"/>
      <c r="B71" s="25"/>
      <c r="C71" s="291"/>
      <c r="D71" s="25"/>
      <c r="E71" s="25"/>
      <c r="F71" s="25"/>
      <c r="G71" s="26"/>
      <c r="H71" s="26"/>
      <c r="I71" s="25"/>
      <c r="J71" s="25"/>
      <c r="K71" s="25"/>
      <c r="L71" s="26"/>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1:76" ht="15.75" customHeight="1">
      <c r="A72" s="25"/>
      <c r="B72" s="25"/>
      <c r="C72" s="291"/>
      <c r="D72" s="25"/>
      <c r="E72" s="25"/>
      <c r="F72" s="25"/>
      <c r="G72" s="26"/>
      <c r="H72" s="26"/>
      <c r="I72" s="25"/>
      <c r="J72" s="25"/>
      <c r="K72" s="25"/>
      <c r="L72" s="26"/>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1:76" ht="15.75" customHeight="1">
      <c r="A73" s="25"/>
      <c r="B73" s="25"/>
      <c r="C73" s="291"/>
      <c r="D73" s="25"/>
      <c r="E73" s="25"/>
      <c r="F73" s="25"/>
      <c r="G73" s="26"/>
      <c r="H73" s="26"/>
      <c r="I73" s="25"/>
      <c r="J73" s="25"/>
      <c r="K73" s="25"/>
      <c r="L73" s="26"/>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1:76" ht="15.75" customHeight="1">
      <c r="A74" s="25"/>
      <c r="B74" s="25"/>
      <c r="C74" s="291"/>
      <c r="D74" s="25"/>
      <c r="E74" s="25"/>
      <c r="F74" s="25"/>
      <c r="G74" s="26"/>
      <c r="H74" s="26"/>
      <c r="I74" s="25"/>
      <c r="J74" s="25"/>
      <c r="K74" s="25"/>
      <c r="L74" s="26"/>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1:76" ht="15.75" customHeight="1">
      <c r="A75" s="25"/>
      <c r="B75" s="25"/>
      <c r="C75" s="291"/>
      <c r="D75" s="25"/>
      <c r="E75" s="25"/>
      <c r="F75" s="25"/>
      <c r="G75" s="26"/>
      <c r="H75" s="26"/>
      <c r="I75" s="25"/>
      <c r="J75" s="25"/>
      <c r="K75" s="25"/>
      <c r="L75" s="26"/>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row>
    <row r="76" spans="1:76" ht="15.75" customHeight="1">
      <c r="A76" s="25"/>
      <c r="B76" s="25"/>
      <c r="C76" s="291"/>
      <c r="D76" s="25"/>
      <c r="E76" s="25"/>
      <c r="F76" s="25"/>
      <c r="G76" s="26"/>
      <c r="H76" s="26"/>
      <c r="I76" s="25"/>
      <c r="J76" s="25"/>
      <c r="K76" s="25"/>
      <c r="L76" s="26"/>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5.75" customHeight="1">
      <c r="A77" s="25"/>
      <c r="B77" s="25"/>
      <c r="C77" s="291"/>
      <c r="D77" s="25"/>
      <c r="E77" s="25"/>
      <c r="F77" s="25"/>
      <c r="G77" s="26"/>
      <c r="H77" s="26"/>
      <c r="I77" s="25"/>
      <c r="J77" s="25"/>
      <c r="K77" s="25"/>
      <c r="L77" s="26"/>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1:76" ht="15.75" customHeight="1">
      <c r="A78" s="25"/>
      <c r="B78" s="25"/>
      <c r="C78" s="291"/>
      <c r="D78" s="25"/>
      <c r="E78" s="25"/>
      <c r="F78" s="25"/>
      <c r="G78" s="26"/>
      <c r="H78" s="26"/>
      <c r="I78" s="25"/>
      <c r="J78" s="25"/>
      <c r="K78" s="25"/>
      <c r="L78" s="26"/>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row>
    <row r="79" spans="1:76" ht="15.75" customHeight="1">
      <c r="A79" s="25"/>
      <c r="B79" s="25"/>
      <c r="C79" s="291"/>
      <c r="D79" s="25"/>
      <c r="E79" s="25"/>
      <c r="F79" s="25"/>
      <c r="G79" s="26"/>
      <c r="H79" s="26"/>
      <c r="I79" s="25"/>
      <c r="J79" s="25"/>
      <c r="K79" s="25"/>
      <c r="L79" s="26"/>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row>
    <row r="80" spans="1:76" ht="15.75" customHeight="1">
      <c r="A80" s="25"/>
      <c r="B80" s="25"/>
      <c r="C80" s="291"/>
      <c r="D80" s="25"/>
      <c r="E80" s="25"/>
      <c r="F80" s="25"/>
      <c r="G80" s="26"/>
      <c r="H80" s="26"/>
      <c r="I80" s="25"/>
      <c r="J80" s="25"/>
      <c r="K80" s="25"/>
      <c r="L80" s="26"/>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row>
    <row r="81" spans="1:76" ht="15.75" customHeight="1">
      <c r="A81" s="25"/>
      <c r="B81" s="25"/>
      <c r="C81" s="291"/>
      <c r="D81" s="25"/>
      <c r="E81" s="25"/>
      <c r="F81" s="25"/>
      <c r="G81" s="26"/>
      <c r="H81" s="26"/>
      <c r="I81" s="25"/>
      <c r="J81" s="25"/>
      <c r="K81" s="25"/>
      <c r="L81" s="26"/>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row>
    <row r="82" spans="1:76" ht="15.75" customHeight="1">
      <c r="A82" s="25"/>
      <c r="B82" s="25"/>
      <c r="C82" s="291"/>
      <c r="D82" s="25"/>
      <c r="E82" s="25"/>
      <c r="F82" s="25"/>
      <c r="G82" s="26"/>
      <c r="H82" s="26"/>
      <c r="I82" s="25"/>
      <c r="J82" s="25"/>
      <c r="K82" s="25"/>
      <c r="L82" s="26"/>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row>
    <row r="83" spans="1:76" ht="15.75" customHeight="1">
      <c r="A83" s="25"/>
      <c r="B83" s="25"/>
      <c r="C83" s="291"/>
      <c r="D83" s="25"/>
      <c r="E83" s="25"/>
      <c r="F83" s="25"/>
      <c r="G83" s="26"/>
      <c r="H83" s="26"/>
      <c r="I83" s="25"/>
      <c r="J83" s="25"/>
      <c r="K83" s="25"/>
      <c r="L83" s="26"/>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row>
    <row r="84" spans="1:76" ht="15.75" customHeight="1">
      <c r="A84" s="25"/>
      <c r="B84" s="25"/>
      <c r="C84" s="291"/>
      <c r="D84" s="25"/>
      <c r="E84" s="25"/>
      <c r="F84" s="25"/>
      <c r="G84" s="26"/>
      <c r="H84" s="26"/>
      <c r="I84" s="25"/>
      <c r="J84" s="25"/>
      <c r="K84" s="25"/>
      <c r="L84" s="26"/>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1:76" ht="15.75" customHeight="1">
      <c r="A85" s="25"/>
      <c r="B85" s="25"/>
      <c r="C85" s="291"/>
      <c r="D85" s="25"/>
      <c r="E85" s="25"/>
      <c r="F85" s="25"/>
      <c r="G85" s="26"/>
      <c r="H85" s="26"/>
      <c r="I85" s="25"/>
      <c r="J85" s="25"/>
      <c r="K85" s="25"/>
      <c r="L85" s="26"/>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1:76" ht="15.75" customHeight="1">
      <c r="A86" s="25"/>
      <c r="B86" s="25"/>
      <c r="C86" s="291"/>
      <c r="D86" s="25"/>
      <c r="E86" s="25"/>
      <c r="F86" s="25"/>
      <c r="G86" s="26"/>
      <c r="H86" s="26"/>
      <c r="I86" s="25"/>
      <c r="J86" s="25"/>
      <c r="K86" s="25"/>
      <c r="L86" s="26"/>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1:76" ht="15.75" customHeight="1">
      <c r="A87" s="25"/>
      <c r="B87" s="25"/>
      <c r="C87" s="291"/>
      <c r="D87" s="25"/>
      <c r="E87" s="25"/>
      <c r="F87" s="25"/>
      <c r="G87" s="26"/>
      <c r="H87" s="26"/>
      <c r="I87" s="25"/>
      <c r="J87" s="25"/>
      <c r="K87" s="25"/>
      <c r="L87" s="26"/>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row>
    <row r="88" spans="1:76" ht="15.75" customHeight="1">
      <c r="A88" s="25"/>
      <c r="B88" s="25"/>
      <c r="C88" s="291"/>
      <c r="D88" s="25"/>
      <c r="E88" s="25"/>
      <c r="F88" s="25"/>
      <c r="G88" s="26"/>
      <c r="H88" s="26"/>
      <c r="I88" s="25"/>
      <c r="J88" s="25"/>
      <c r="K88" s="25"/>
      <c r="L88" s="26"/>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row>
    <row r="89" spans="1:76" ht="15.75" customHeight="1">
      <c r="A89" s="25"/>
      <c r="B89" s="25"/>
      <c r="C89" s="291"/>
      <c r="D89" s="25"/>
      <c r="E89" s="25"/>
      <c r="F89" s="25"/>
      <c r="G89" s="26"/>
      <c r="H89" s="26"/>
      <c r="I89" s="25"/>
      <c r="J89" s="25"/>
      <c r="K89" s="25"/>
      <c r="L89" s="26"/>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row>
    <row r="90" spans="1:76" ht="15.75" customHeight="1">
      <c r="A90" s="25"/>
      <c r="B90" s="25"/>
      <c r="C90" s="291"/>
      <c r="D90" s="25"/>
      <c r="E90" s="25"/>
      <c r="F90" s="25"/>
      <c r="G90" s="26"/>
      <c r="H90" s="26"/>
      <c r="I90" s="25"/>
      <c r="J90" s="25"/>
      <c r="K90" s="25"/>
      <c r="L90" s="26"/>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row>
    <row r="91" spans="1:76" ht="15.75" customHeight="1">
      <c r="A91" s="25"/>
      <c r="B91" s="25"/>
      <c r="C91" s="291"/>
      <c r="D91" s="25"/>
      <c r="E91" s="25"/>
      <c r="F91" s="25"/>
      <c r="G91" s="26"/>
      <c r="H91" s="26"/>
      <c r="I91" s="25"/>
      <c r="J91" s="25"/>
      <c r="K91" s="25"/>
      <c r="L91" s="26"/>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row>
    <row r="92" spans="1:76" ht="15.75" customHeight="1">
      <c r="A92" s="25"/>
      <c r="B92" s="25"/>
      <c r="C92" s="291"/>
      <c r="D92" s="25"/>
      <c r="E92" s="25"/>
      <c r="F92" s="25"/>
      <c r="G92" s="26"/>
      <c r="H92" s="26"/>
      <c r="I92" s="25"/>
      <c r="J92" s="25"/>
      <c r="K92" s="25"/>
      <c r="L92" s="26"/>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1:76" ht="15.75" customHeight="1">
      <c r="A93" s="25"/>
      <c r="B93" s="25"/>
      <c r="C93" s="291"/>
      <c r="D93" s="25"/>
      <c r="E93" s="25"/>
      <c r="F93" s="25"/>
      <c r="G93" s="26"/>
      <c r="H93" s="26"/>
      <c r="I93" s="25"/>
      <c r="J93" s="25"/>
      <c r="K93" s="25"/>
      <c r="L93" s="26"/>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row>
    <row r="94" spans="1:76" ht="15.75" customHeight="1">
      <c r="A94" s="25"/>
      <c r="B94" s="25"/>
      <c r="C94" s="291"/>
      <c r="D94" s="25"/>
      <c r="E94" s="25"/>
      <c r="F94" s="25"/>
      <c r="G94" s="26"/>
      <c r="H94" s="26"/>
      <c r="I94" s="25"/>
      <c r="J94" s="25"/>
      <c r="K94" s="25"/>
      <c r="L94" s="26"/>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row>
    <row r="95" spans="1:76" ht="15.75" customHeight="1">
      <c r="A95" s="25"/>
      <c r="B95" s="25"/>
      <c r="C95" s="291"/>
      <c r="D95" s="25"/>
      <c r="E95" s="25"/>
      <c r="F95" s="25"/>
      <c r="G95" s="26"/>
      <c r="H95" s="26"/>
      <c r="I95" s="25"/>
      <c r="J95" s="25"/>
      <c r="K95" s="25"/>
      <c r="L95" s="26"/>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row>
    <row r="96" spans="1:76" ht="15.75" customHeight="1">
      <c r="A96" s="25"/>
      <c r="B96" s="25"/>
      <c r="C96" s="291"/>
      <c r="D96" s="25"/>
      <c r="E96" s="25"/>
      <c r="F96" s="25"/>
      <c r="G96" s="26"/>
      <c r="H96" s="26"/>
      <c r="I96" s="25"/>
      <c r="J96" s="25"/>
      <c r="K96" s="25"/>
      <c r="L96" s="26"/>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row>
    <row r="97" spans="1:76" ht="15.75" customHeight="1">
      <c r="A97" s="25"/>
      <c r="B97" s="25"/>
      <c r="C97" s="291"/>
      <c r="D97" s="25"/>
      <c r="E97" s="25"/>
      <c r="F97" s="25"/>
      <c r="G97" s="26"/>
      <c r="H97" s="26"/>
      <c r="I97" s="25"/>
      <c r="J97" s="25"/>
      <c r="K97" s="25"/>
      <c r="L97" s="26"/>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row>
    <row r="98" spans="1:76" ht="15.75" customHeight="1">
      <c r="A98" s="25"/>
      <c r="B98" s="25"/>
      <c r="C98" s="291"/>
      <c r="D98" s="25"/>
      <c r="E98" s="25"/>
      <c r="F98" s="25"/>
      <c r="G98" s="26"/>
      <c r="H98" s="26"/>
      <c r="I98" s="25"/>
      <c r="J98" s="25"/>
      <c r="K98" s="25"/>
      <c r="L98" s="26"/>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row>
    <row r="99" spans="1:76" ht="15.75" customHeight="1">
      <c r="A99" s="25"/>
      <c r="B99" s="25"/>
      <c r="C99" s="291"/>
      <c r="D99" s="25"/>
      <c r="E99" s="25"/>
      <c r="F99" s="25"/>
      <c r="G99" s="26"/>
      <c r="H99" s="26"/>
      <c r="I99" s="25"/>
      <c r="J99" s="25"/>
      <c r="K99" s="25"/>
      <c r="L99" s="26"/>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row>
    <row r="100" spans="1:76" ht="15.75" customHeight="1">
      <c r="A100" s="25"/>
      <c r="B100" s="25"/>
      <c r="C100" s="291"/>
      <c r="D100" s="25"/>
      <c r="E100" s="25"/>
      <c r="F100" s="25"/>
      <c r="G100" s="26"/>
      <c r="H100" s="26"/>
      <c r="I100" s="25"/>
      <c r="J100" s="25"/>
      <c r="K100" s="25"/>
      <c r="L100" s="26"/>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row>
    <row r="101" spans="1:76" ht="15.75" customHeight="1">
      <c r="A101" s="25"/>
      <c r="B101" s="25"/>
      <c r="C101" s="291"/>
      <c r="D101" s="25"/>
      <c r="E101" s="25"/>
      <c r="F101" s="25"/>
      <c r="G101" s="26"/>
      <c r="H101" s="26"/>
      <c r="I101" s="25"/>
      <c r="J101" s="25"/>
      <c r="K101" s="25"/>
      <c r="L101" s="26"/>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row>
    <row r="102" spans="1:76" ht="15.75" customHeight="1">
      <c r="A102" s="25"/>
      <c r="B102" s="25"/>
      <c r="C102" s="291"/>
      <c r="D102" s="25"/>
      <c r="E102" s="25"/>
      <c r="F102" s="25"/>
      <c r="G102" s="26"/>
      <c r="H102" s="26"/>
      <c r="I102" s="25"/>
      <c r="J102" s="25"/>
      <c r="K102" s="25"/>
      <c r="L102" s="26"/>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row>
    <row r="103" spans="1:76" ht="15.75" customHeight="1">
      <c r="A103" s="25"/>
      <c r="B103" s="25"/>
      <c r="C103" s="291"/>
      <c r="D103" s="25"/>
      <c r="E103" s="25"/>
      <c r="F103" s="25"/>
      <c r="G103" s="26"/>
      <c r="H103" s="26"/>
      <c r="I103" s="25"/>
      <c r="J103" s="25"/>
      <c r="K103" s="25"/>
      <c r="L103" s="26"/>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row>
    <row r="104" spans="1:76" ht="15.75" customHeight="1">
      <c r="A104" s="25"/>
      <c r="B104" s="25"/>
      <c r="C104" s="291"/>
      <c r="D104" s="25"/>
      <c r="E104" s="25"/>
      <c r="F104" s="25"/>
      <c r="G104" s="26"/>
      <c r="H104" s="26"/>
      <c r="I104" s="25"/>
      <c r="J104" s="25"/>
      <c r="K104" s="25"/>
      <c r="L104" s="26"/>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row>
    <row r="105" spans="1:76" ht="15.75" customHeight="1">
      <c r="A105" s="25"/>
      <c r="B105" s="25"/>
      <c r="C105" s="291"/>
      <c r="D105" s="25"/>
      <c r="E105" s="25"/>
      <c r="F105" s="25"/>
      <c r="G105" s="26"/>
      <c r="H105" s="26"/>
      <c r="I105" s="25"/>
      <c r="J105" s="25"/>
      <c r="K105" s="25"/>
      <c r="L105" s="26"/>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row>
    <row r="106" spans="1:76" ht="15.75" customHeight="1">
      <c r="A106" s="25"/>
      <c r="B106" s="25"/>
      <c r="C106" s="291"/>
      <c r="D106" s="25"/>
      <c r="E106" s="25"/>
      <c r="F106" s="25"/>
      <c r="G106" s="26"/>
      <c r="H106" s="26"/>
      <c r="I106" s="25"/>
      <c r="J106" s="25"/>
      <c r="K106" s="25"/>
      <c r="L106" s="26"/>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row>
    <row r="107" spans="1:76" ht="15.75" customHeight="1">
      <c r="A107" s="25"/>
      <c r="B107" s="25"/>
      <c r="C107" s="291"/>
      <c r="D107" s="25"/>
      <c r="E107" s="25"/>
      <c r="F107" s="25"/>
      <c r="G107" s="26"/>
      <c r="H107" s="26"/>
      <c r="I107" s="25"/>
      <c r="J107" s="25"/>
      <c r="K107" s="25"/>
      <c r="L107" s="26"/>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row>
    <row r="108" spans="1:76" ht="15.75" customHeight="1">
      <c r="A108" s="25"/>
      <c r="B108" s="25"/>
      <c r="C108" s="291"/>
      <c r="D108" s="25"/>
      <c r="E108" s="25"/>
      <c r="F108" s="25"/>
      <c r="G108" s="26"/>
      <c r="H108" s="26"/>
      <c r="I108" s="25"/>
      <c r="J108" s="25"/>
      <c r="K108" s="25"/>
      <c r="L108" s="26"/>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row>
    <row r="109" spans="1:76" ht="15.75" customHeight="1">
      <c r="A109" s="25"/>
      <c r="B109" s="25"/>
      <c r="C109" s="291"/>
      <c r="D109" s="25"/>
      <c r="E109" s="25"/>
      <c r="F109" s="25"/>
      <c r="G109" s="26"/>
      <c r="H109" s="26"/>
      <c r="I109" s="25"/>
      <c r="J109" s="25"/>
      <c r="K109" s="25"/>
      <c r="L109" s="26"/>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row>
    <row r="110" spans="1:76" ht="15.75" customHeight="1">
      <c r="A110" s="25"/>
      <c r="B110" s="25"/>
      <c r="C110" s="291"/>
      <c r="D110" s="25"/>
      <c r="E110" s="25"/>
      <c r="F110" s="25"/>
      <c r="G110" s="26"/>
      <c r="H110" s="26"/>
      <c r="I110" s="25"/>
      <c r="J110" s="25"/>
      <c r="K110" s="25"/>
      <c r="L110" s="26"/>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row>
    <row r="111" spans="1:76" ht="15.75" customHeight="1">
      <c r="A111" s="25"/>
      <c r="B111" s="25"/>
      <c r="C111" s="291"/>
      <c r="D111" s="25"/>
      <c r="E111" s="25"/>
      <c r="F111" s="25"/>
      <c r="G111" s="26"/>
      <c r="H111" s="26"/>
      <c r="I111" s="25"/>
      <c r="J111" s="25"/>
      <c r="K111" s="25"/>
      <c r="L111" s="26"/>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row>
    <row r="112" spans="1:76" ht="15.75" customHeight="1">
      <c r="A112" s="25"/>
      <c r="B112" s="25"/>
      <c r="C112" s="291"/>
      <c r="D112" s="25"/>
      <c r="E112" s="25"/>
      <c r="F112" s="25"/>
      <c r="G112" s="26"/>
      <c r="H112" s="26"/>
      <c r="I112" s="25"/>
      <c r="J112" s="25"/>
      <c r="K112" s="25"/>
      <c r="L112" s="26"/>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row>
    <row r="113" spans="1:76" ht="15.75" customHeight="1">
      <c r="A113" s="25"/>
      <c r="B113" s="25"/>
      <c r="C113" s="291"/>
      <c r="D113" s="25"/>
      <c r="E113" s="25"/>
      <c r="F113" s="25"/>
      <c r="G113" s="26"/>
      <c r="H113" s="26"/>
      <c r="I113" s="25"/>
      <c r="J113" s="25"/>
      <c r="K113" s="25"/>
      <c r="L113" s="26"/>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row>
    <row r="114" spans="1:76" ht="15.75" customHeight="1">
      <c r="A114" s="25"/>
      <c r="B114" s="25"/>
      <c r="C114" s="291"/>
      <c r="D114" s="25"/>
      <c r="E114" s="25"/>
      <c r="F114" s="25"/>
      <c r="G114" s="26"/>
      <c r="H114" s="26"/>
      <c r="I114" s="25"/>
      <c r="J114" s="25"/>
      <c r="K114" s="25"/>
      <c r="L114" s="26"/>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row>
    <row r="115" spans="1:76" ht="15.75" customHeight="1">
      <c r="A115" s="25"/>
      <c r="B115" s="25"/>
      <c r="C115" s="291"/>
      <c r="D115" s="25"/>
      <c r="E115" s="25"/>
      <c r="F115" s="25"/>
      <c r="G115" s="26"/>
      <c r="H115" s="26"/>
      <c r="I115" s="25"/>
      <c r="J115" s="25"/>
      <c r="K115" s="25"/>
      <c r="L115" s="26"/>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16" spans="1:76" ht="15.75" customHeight="1">
      <c r="A116" s="25"/>
      <c r="B116" s="25"/>
      <c r="C116" s="291"/>
      <c r="D116" s="25"/>
      <c r="E116" s="25"/>
      <c r="F116" s="25"/>
      <c r="G116" s="26"/>
      <c r="H116" s="26"/>
      <c r="I116" s="25"/>
      <c r="J116" s="25"/>
      <c r="K116" s="25"/>
      <c r="L116" s="26"/>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row>
    <row r="117" spans="1:76" ht="15.75" customHeight="1">
      <c r="A117" s="25"/>
      <c r="B117" s="25"/>
      <c r="C117" s="291"/>
      <c r="D117" s="25"/>
      <c r="E117" s="25"/>
      <c r="F117" s="25"/>
      <c r="G117" s="26"/>
      <c r="H117" s="26"/>
      <c r="I117" s="25"/>
      <c r="J117" s="25"/>
      <c r="K117" s="25"/>
      <c r="L117" s="26"/>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row>
    <row r="118" spans="1:76" ht="15.75" customHeight="1">
      <c r="A118" s="25"/>
      <c r="B118" s="25"/>
      <c r="C118" s="291"/>
      <c r="D118" s="25"/>
      <c r="E118" s="25"/>
      <c r="F118" s="25"/>
      <c r="G118" s="26"/>
      <c r="H118" s="26"/>
      <c r="I118" s="25"/>
      <c r="J118" s="25"/>
      <c r="K118" s="25"/>
      <c r="L118" s="26"/>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row>
    <row r="119" spans="1:76" ht="15.75" customHeight="1">
      <c r="A119" s="25"/>
      <c r="B119" s="25"/>
      <c r="C119" s="291"/>
      <c r="D119" s="25"/>
      <c r="E119" s="25"/>
      <c r="F119" s="25"/>
      <c r="G119" s="26"/>
      <c r="H119" s="26"/>
      <c r="I119" s="25"/>
      <c r="J119" s="25"/>
      <c r="K119" s="25"/>
      <c r="L119" s="26"/>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row>
    <row r="120" spans="1:76" ht="15.75" customHeight="1">
      <c r="A120" s="25"/>
      <c r="B120" s="25"/>
      <c r="C120" s="291"/>
      <c r="D120" s="25"/>
      <c r="E120" s="25"/>
      <c r="F120" s="25"/>
      <c r="G120" s="26"/>
      <c r="H120" s="26"/>
      <c r="I120" s="25"/>
      <c r="J120" s="25"/>
      <c r="K120" s="25"/>
      <c r="L120" s="26"/>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row>
    <row r="121" spans="1:76" ht="15.75" customHeight="1">
      <c r="A121" s="25"/>
      <c r="B121" s="25"/>
      <c r="C121" s="291"/>
      <c r="D121" s="25"/>
      <c r="E121" s="25"/>
      <c r="F121" s="25"/>
      <c r="G121" s="26"/>
      <c r="H121" s="26"/>
      <c r="I121" s="25"/>
      <c r="J121" s="25"/>
      <c r="K121" s="25"/>
      <c r="L121" s="26"/>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row>
    <row r="122" spans="1:76" ht="15.75" customHeight="1">
      <c r="A122" s="25"/>
      <c r="B122" s="25"/>
      <c r="C122" s="291"/>
      <c r="D122" s="25"/>
      <c r="E122" s="25"/>
      <c r="F122" s="25"/>
      <c r="G122" s="26"/>
      <c r="H122" s="26"/>
      <c r="I122" s="25"/>
      <c r="J122" s="25"/>
      <c r="K122" s="25"/>
      <c r="L122" s="26"/>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row>
    <row r="123" spans="1:76" ht="15.75" customHeight="1">
      <c r="A123" s="25"/>
      <c r="B123" s="25"/>
      <c r="C123" s="291"/>
      <c r="D123" s="25"/>
      <c r="E123" s="25"/>
      <c r="F123" s="25"/>
      <c r="G123" s="26"/>
      <c r="H123" s="26"/>
      <c r="I123" s="25"/>
      <c r="J123" s="25"/>
      <c r="K123" s="25"/>
      <c r="L123" s="26"/>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row>
    <row r="124" spans="1:76" ht="15.75" customHeight="1">
      <c r="A124" s="25"/>
      <c r="B124" s="25"/>
      <c r="C124" s="291"/>
      <c r="D124" s="25"/>
      <c r="E124" s="25"/>
      <c r="F124" s="25"/>
      <c r="G124" s="26"/>
      <c r="H124" s="26"/>
      <c r="I124" s="25"/>
      <c r="J124" s="25"/>
      <c r="K124" s="25"/>
      <c r="L124" s="26"/>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row>
    <row r="125" spans="1:76" ht="15.75" customHeight="1">
      <c r="A125" s="25"/>
      <c r="B125" s="25"/>
      <c r="C125" s="291"/>
      <c r="D125" s="25"/>
      <c r="E125" s="25"/>
      <c r="F125" s="25"/>
      <c r="G125" s="26"/>
      <c r="H125" s="26"/>
      <c r="I125" s="25"/>
      <c r="J125" s="25"/>
      <c r="K125" s="25"/>
      <c r="L125" s="26"/>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row>
    <row r="126" spans="1:76" ht="15.75" customHeight="1">
      <c r="A126" s="25"/>
      <c r="B126" s="25"/>
      <c r="C126" s="291"/>
      <c r="D126" s="25"/>
      <c r="E126" s="25"/>
      <c r="F126" s="25"/>
      <c r="G126" s="26"/>
      <c r="H126" s="26"/>
      <c r="I126" s="25"/>
      <c r="J126" s="25"/>
      <c r="K126" s="25"/>
      <c r="L126" s="26"/>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row>
    <row r="127" spans="1:76" ht="15.75" customHeight="1">
      <c r="A127" s="25"/>
      <c r="B127" s="25"/>
      <c r="C127" s="291"/>
      <c r="D127" s="25"/>
      <c r="E127" s="25"/>
      <c r="F127" s="25"/>
      <c r="G127" s="26"/>
      <c r="H127" s="26"/>
      <c r="I127" s="25"/>
      <c r="J127" s="25"/>
      <c r="K127" s="25"/>
      <c r="L127" s="26"/>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row>
    <row r="128" spans="1:76" ht="15.75" customHeight="1">
      <c r="A128" s="25"/>
      <c r="B128" s="25"/>
      <c r="C128" s="291"/>
      <c r="D128" s="25"/>
      <c r="E128" s="25"/>
      <c r="F128" s="25"/>
      <c r="G128" s="26"/>
      <c r="H128" s="26"/>
      <c r="I128" s="25"/>
      <c r="J128" s="25"/>
      <c r="K128" s="25"/>
      <c r="L128" s="26"/>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row>
    <row r="129" spans="1:76" ht="15.75" customHeight="1">
      <c r="A129" s="25"/>
      <c r="B129" s="25"/>
      <c r="C129" s="291"/>
      <c r="D129" s="25"/>
      <c r="E129" s="25"/>
      <c r="F129" s="25"/>
      <c r="G129" s="26"/>
      <c r="H129" s="26"/>
      <c r="I129" s="25"/>
      <c r="J129" s="25"/>
      <c r="K129" s="25"/>
      <c r="L129" s="26"/>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row>
    <row r="130" spans="1:76" ht="15.75" customHeight="1">
      <c r="A130" s="25"/>
      <c r="B130" s="25"/>
      <c r="C130" s="291"/>
      <c r="D130" s="25"/>
      <c r="E130" s="25"/>
      <c r="F130" s="25"/>
      <c r="G130" s="26"/>
      <c r="H130" s="26"/>
      <c r="I130" s="25"/>
      <c r="J130" s="25"/>
      <c r="K130" s="25"/>
      <c r="L130" s="26"/>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row>
    <row r="131" spans="1:76" ht="15.75" customHeight="1">
      <c r="A131" s="25"/>
      <c r="B131" s="25"/>
      <c r="C131" s="291"/>
      <c r="D131" s="25"/>
      <c r="E131" s="25"/>
      <c r="F131" s="25"/>
      <c r="G131" s="26"/>
      <c r="H131" s="26"/>
      <c r="I131" s="25"/>
      <c r="J131" s="25"/>
      <c r="K131" s="25"/>
      <c r="L131" s="26"/>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row>
    <row r="132" spans="1:76" ht="15.75" customHeight="1">
      <c r="A132" s="25"/>
      <c r="B132" s="25"/>
      <c r="C132" s="291"/>
      <c r="D132" s="25"/>
      <c r="E132" s="25"/>
      <c r="F132" s="25"/>
      <c r="G132" s="26"/>
      <c r="H132" s="26"/>
      <c r="I132" s="25"/>
      <c r="J132" s="25"/>
      <c r="K132" s="25"/>
      <c r="L132" s="26"/>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row>
    <row r="133" spans="1:76" ht="15.75" customHeight="1">
      <c r="A133" s="25"/>
      <c r="B133" s="25"/>
      <c r="C133" s="291"/>
      <c r="D133" s="25"/>
      <c r="E133" s="25"/>
      <c r="F133" s="25"/>
      <c r="G133" s="26"/>
      <c r="H133" s="26"/>
      <c r="I133" s="25"/>
      <c r="J133" s="25"/>
      <c r="K133" s="25"/>
      <c r="L133" s="26"/>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row>
    <row r="134" spans="1:76" ht="15.75" customHeight="1">
      <c r="A134" s="25"/>
      <c r="B134" s="25"/>
      <c r="C134" s="291"/>
      <c r="D134" s="25"/>
      <c r="E134" s="25"/>
      <c r="F134" s="25"/>
      <c r="G134" s="26"/>
      <c r="H134" s="26"/>
      <c r="I134" s="25"/>
      <c r="J134" s="25"/>
      <c r="K134" s="25"/>
      <c r="L134" s="26"/>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row>
    <row r="135" spans="1:76" ht="15.75" customHeight="1">
      <c r="A135" s="25"/>
      <c r="B135" s="25"/>
      <c r="C135" s="291"/>
      <c r="D135" s="25"/>
      <c r="E135" s="25"/>
      <c r="F135" s="25"/>
      <c r="G135" s="26"/>
      <c r="H135" s="26"/>
      <c r="I135" s="25"/>
      <c r="J135" s="25"/>
      <c r="K135" s="25"/>
      <c r="L135" s="26"/>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row>
    <row r="136" spans="1:76" ht="15.75" customHeight="1">
      <c r="A136" s="25"/>
      <c r="B136" s="25"/>
      <c r="C136" s="291"/>
      <c r="D136" s="25"/>
      <c r="E136" s="25"/>
      <c r="F136" s="25"/>
      <c r="G136" s="26"/>
      <c r="H136" s="26"/>
      <c r="I136" s="25"/>
      <c r="J136" s="25"/>
      <c r="K136" s="25"/>
      <c r="L136" s="26"/>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row>
    <row r="137" spans="1:76" ht="15.75" customHeight="1">
      <c r="A137" s="25"/>
      <c r="B137" s="25"/>
      <c r="C137" s="291"/>
      <c r="D137" s="25"/>
      <c r="E137" s="25"/>
      <c r="F137" s="25"/>
      <c r="G137" s="26"/>
      <c r="H137" s="26"/>
      <c r="I137" s="25"/>
      <c r="J137" s="25"/>
      <c r="K137" s="25"/>
      <c r="L137" s="26"/>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row>
    <row r="138" spans="1:76" ht="15.75" customHeight="1">
      <c r="A138" s="25"/>
      <c r="B138" s="25"/>
      <c r="C138" s="291"/>
      <c r="D138" s="25"/>
      <c r="E138" s="25"/>
      <c r="F138" s="25"/>
      <c r="G138" s="26"/>
      <c r="H138" s="26"/>
      <c r="I138" s="25"/>
      <c r="J138" s="25"/>
      <c r="K138" s="25"/>
      <c r="L138" s="26"/>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row>
    <row r="139" spans="1:76" ht="15.75" customHeight="1">
      <c r="A139" s="25"/>
      <c r="B139" s="25"/>
      <c r="C139" s="291"/>
      <c r="D139" s="25"/>
      <c r="E139" s="25"/>
      <c r="F139" s="25"/>
      <c r="G139" s="26"/>
      <c r="H139" s="26"/>
      <c r="I139" s="25"/>
      <c r="J139" s="25"/>
      <c r="K139" s="25"/>
      <c r="L139" s="26"/>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row>
    <row r="140" spans="1:76" ht="15.75" customHeight="1">
      <c r="A140" s="25"/>
      <c r="B140" s="25"/>
      <c r="C140" s="291"/>
      <c r="D140" s="25"/>
      <c r="E140" s="25"/>
      <c r="F140" s="25"/>
      <c r="G140" s="26"/>
      <c r="H140" s="26"/>
      <c r="I140" s="25"/>
      <c r="J140" s="25"/>
      <c r="K140" s="25"/>
      <c r="L140" s="26"/>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row>
    <row r="141" spans="1:76" ht="15.75" customHeight="1">
      <c r="A141" s="25"/>
      <c r="B141" s="25"/>
      <c r="C141" s="291"/>
      <c r="D141" s="25"/>
      <c r="E141" s="25"/>
      <c r="F141" s="25"/>
      <c r="G141" s="26"/>
      <c r="H141" s="26"/>
      <c r="I141" s="25"/>
      <c r="J141" s="25"/>
      <c r="K141" s="25"/>
      <c r="L141" s="26"/>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row>
    <row r="142" spans="1:76" ht="15.75" customHeight="1">
      <c r="A142" s="25"/>
      <c r="B142" s="25"/>
      <c r="C142" s="291"/>
      <c r="D142" s="25"/>
      <c r="E142" s="25"/>
      <c r="F142" s="25"/>
      <c r="G142" s="26"/>
      <c r="H142" s="26"/>
      <c r="I142" s="25"/>
      <c r="J142" s="25"/>
      <c r="K142" s="25"/>
      <c r="L142" s="26"/>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row>
    <row r="143" spans="1:76" ht="15.75" customHeight="1">
      <c r="A143" s="25"/>
      <c r="B143" s="25"/>
      <c r="C143" s="291"/>
      <c r="D143" s="25"/>
      <c r="E143" s="25"/>
      <c r="F143" s="25"/>
      <c r="G143" s="26"/>
      <c r="H143" s="26"/>
      <c r="I143" s="25"/>
      <c r="J143" s="25"/>
      <c r="K143" s="25"/>
      <c r="L143" s="26"/>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row>
    <row r="144" spans="1:76" ht="15.75" customHeight="1">
      <c r="A144" s="25"/>
      <c r="B144" s="25"/>
      <c r="C144" s="291"/>
      <c r="D144" s="25"/>
      <c r="E144" s="25"/>
      <c r="F144" s="25"/>
      <c r="G144" s="26"/>
      <c r="H144" s="26"/>
      <c r="I144" s="25"/>
      <c r="J144" s="25"/>
      <c r="K144" s="25"/>
      <c r="L144" s="26"/>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row>
    <row r="145" spans="1:76" ht="15.75" customHeight="1">
      <c r="A145" s="25"/>
      <c r="B145" s="25"/>
      <c r="C145" s="291"/>
      <c r="D145" s="25"/>
      <c r="E145" s="25"/>
      <c r="F145" s="25"/>
      <c r="G145" s="26"/>
      <c r="H145" s="26"/>
      <c r="I145" s="25"/>
      <c r="J145" s="25"/>
      <c r="K145" s="25"/>
      <c r="L145" s="26"/>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row>
    <row r="146" spans="1:76" ht="15.75" customHeight="1">
      <c r="A146" s="25"/>
      <c r="B146" s="25"/>
      <c r="C146" s="291"/>
      <c r="D146" s="25"/>
      <c r="E146" s="25"/>
      <c r="F146" s="25"/>
      <c r="G146" s="26"/>
      <c r="H146" s="26"/>
      <c r="I146" s="25"/>
      <c r="J146" s="25"/>
      <c r="K146" s="25"/>
      <c r="L146" s="26"/>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row>
    <row r="147" spans="1:76" ht="15.75" customHeight="1">
      <c r="A147" s="25"/>
      <c r="B147" s="25"/>
      <c r="C147" s="291"/>
      <c r="D147" s="25"/>
      <c r="E147" s="25"/>
      <c r="F147" s="25"/>
      <c r="G147" s="26"/>
      <c r="H147" s="26"/>
      <c r="I147" s="25"/>
      <c r="J147" s="25"/>
      <c r="K147" s="25"/>
      <c r="L147" s="26"/>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row>
    <row r="148" spans="1:76" ht="15.75" customHeight="1">
      <c r="A148" s="25"/>
      <c r="B148" s="25"/>
      <c r="C148" s="291"/>
      <c r="D148" s="25"/>
      <c r="E148" s="25"/>
      <c r="F148" s="25"/>
      <c r="G148" s="26"/>
      <c r="H148" s="26"/>
      <c r="I148" s="25"/>
      <c r="J148" s="25"/>
      <c r="K148" s="25"/>
      <c r="L148" s="26"/>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row>
    <row r="149" spans="1:76" ht="15.75" customHeight="1">
      <c r="A149" s="25"/>
      <c r="B149" s="25"/>
      <c r="C149" s="291"/>
      <c r="D149" s="25"/>
      <c r="E149" s="25"/>
      <c r="F149" s="25"/>
      <c r="G149" s="26"/>
      <c r="H149" s="26"/>
      <c r="I149" s="25"/>
      <c r="J149" s="25"/>
      <c r="K149" s="25"/>
      <c r="L149" s="26"/>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row>
    <row r="150" spans="1:76" ht="15.75" customHeight="1">
      <c r="A150" s="25"/>
      <c r="B150" s="25"/>
      <c r="C150" s="291"/>
      <c r="D150" s="25"/>
      <c r="E150" s="25"/>
      <c r="F150" s="25"/>
      <c r="G150" s="26"/>
      <c r="H150" s="26"/>
      <c r="I150" s="25"/>
      <c r="J150" s="25"/>
      <c r="K150" s="25"/>
      <c r="L150" s="26"/>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row>
    <row r="151" spans="1:76" ht="15.75" customHeight="1">
      <c r="A151" s="25"/>
      <c r="B151" s="25"/>
      <c r="C151" s="291"/>
      <c r="D151" s="25"/>
      <c r="E151" s="25"/>
      <c r="F151" s="25"/>
      <c r="G151" s="26"/>
      <c r="H151" s="26"/>
      <c r="I151" s="25"/>
      <c r="J151" s="25"/>
      <c r="K151" s="25"/>
      <c r="L151" s="26"/>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row>
    <row r="152" spans="1:76" ht="15.75" customHeight="1">
      <c r="A152" s="25"/>
      <c r="B152" s="25"/>
      <c r="C152" s="291"/>
      <c r="D152" s="25"/>
      <c r="E152" s="25"/>
      <c r="F152" s="25"/>
      <c r="G152" s="26"/>
      <c r="H152" s="26"/>
      <c r="I152" s="25"/>
      <c r="J152" s="25"/>
      <c r="K152" s="25"/>
      <c r="L152" s="26"/>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row>
    <row r="153" spans="1:76" ht="15.75" customHeight="1">
      <c r="A153" s="25"/>
      <c r="B153" s="25"/>
      <c r="C153" s="291"/>
      <c r="D153" s="25"/>
      <c r="E153" s="25"/>
      <c r="F153" s="25"/>
      <c r="G153" s="26"/>
      <c r="H153" s="26"/>
      <c r="I153" s="25"/>
      <c r="J153" s="25"/>
      <c r="K153" s="25"/>
      <c r="L153" s="26"/>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row>
    <row r="154" spans="1:76" ht="15.75" customHeight="1">
      <c r="A154" s="25"/>
      <c r="B154" s="25"/>
      <c r="C154" s="291"/>
      <c r="D154" s="25"/>
      <c r="E154" s="25"/>
      <c r="F154" s="25"/>
      <c r="G154" s="26"/>
      <c r="H154" s="26"/>
      <c r="I154" s="25"/>
      <c r="J154" s="25"/>
      <c r="K154" s="25"/>
      <c r="L154" s="26"/>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row>
    <row r="155" spans="1:76" ht="15.75" customHeight="1">
      <c r="A155" s="25"/>
      <c r="B155" s="25"/>
      <c r="C155" s="291"/>
      <c r="D155" s="25"/>
      <c r="E155" s="25"/>
      <c r="F155" s="25"/>
      <c r="G155" s="26"/>
      <c r="H155" s="26"/>
      <c r="I155" s="25"/>
      <c r="J155" s="25"/>
      <c r="K155" s="25"/>
      <c r="L155" s="26"/>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row>
    <row r="156" spans="1:76" ht="15.75" customHeight="1">
      <c r="A156" s="25"/>
      <c r="B156" s="25"/>
      <c r="C156" s="291"/>
      <c r="D156" s="25"/>
      <c r="E156" s="25"/>
      <c r="F156" s="25"/>
      <c r="G156" s="26"/>
      <c r="H156" s="26"/>
      <c r="I156" s="25"/>
      <c r="J156" s="25"/>
      <c r="K156" s="25"/>
      <c r="L156" s="26"/>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row>
    <row r="157" spans="1:76" ht="15.75" customHeight="1">
      <c r="A157" s="25"/>
      <c r="B157" s="25"/>
      <c r="C157" s="291"/>
      <c r="D157" s="25"/>
      <c r="E157" s="25"/>
      <c r="F157" s="25"/>
      <c r="G157" s="26"/>
      <c r="H157" s="26"/>
      <c r="I157" s="25"/>
      <c r="J157" s="25"/>
      <c r="K157" s="25"/>
      <c r="L157" s="26"/>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row>
    <row r="158" spans="1:76" ht="15.75" customHeight="1">
      <c r="A158" s="25"/>
      <c r="B158" s="25"/>
      <c r="C158" s="291"/>
      <c r="D158" s="25"/>
      <c r="E158" s="25"/>
      <c r="F158" s="25"/>
      <c r="G158" s="26"/>
      <c r="H158" s="26"/>
      <c r="I158" s="25"/>
      <c r="J158" s="25"/>
      <c r="K158" s="25"/>
      <c r="L158" s="26"/>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row>
    <row r="159" spans="1:76" ht="15.75" customHeight="1">
      <c r="A159" s="25"/>
      <c r="B159" s="25"/>
      <c r="C159" s="291"/>
      <c r="D159" s="25"/>
      <c r="E159" s="25"/>
      <c r="F159" s="25"/>
      <c r="G159" s="26"/>
      <c r="H159" s="26"/>
      <c r="I159" s="25"/>
      <c r="J159" s="25"/>
      <c r="K159" s="25"/>
      <c r="L159" s="26"/>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row>
    <row r="160" spans="1:76" ht="15.75" customHeight="1">
      <c r="A160" s="25"/>
      <c r="B160" s="25"/>
      <c r="C160" s="291"/>
      <c r="D160" s="25"/>
      <c r="E160" s="25"/>
      <c r="F160" s="25"/>
      <c r="G160" s="26"/>
      <c r="H160" s="26"/>
      <c r="I160" s="25"/>
      <c r="J160" s="25"/>
      <c r="K160" s="25"/>
      <c r="L160" s="26"/>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row>
    <row r="161" spans="1:76" ht="15.75" customHeight="1">
      <c r="A161" s="25"/>
      <c r="B161" s="25"/>
      <c r="C161" s="291"/>
      <c r="D161" s="25"/>
      <c r="E161" s="25"/>
      <c r="F161" s="25"/>
      <c r="G161" s="26"/>
      <c r="H161" s="26"/>
      <c r="I161" s="25"/>
      <c r="J161" s="25"/>
      <c r="K161" s="25"/>
      <c r="L161" s="26"/>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row>
    <row r="162" spans="1:76" ht="15.75" customHeight="1">
      <c r="A162" s="25"/>
      <c r="B162" s="25"/>
      <c r="C162" s="291"/>
      <c r="D162" s="25"/>
      <c r="E162" s="25"/>
      <c r="F162" s="25"/>
      <c r="G162" s="26"/>
      <c r="H162" s="26"/>
      <c r="I162" s="25"/>
      <c r="J162" s="25"/>
      <c r="K162" s="25"/>
      <c r="L162" s="26"/>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row>
    <row r="163" spans="1:76" ht="15.75" customHeight="1">
      <c r="A163" s="25"/>
      <c r="B163" s="25"/>
      <c r="C163" s="291"/>
      <c r="D163" s="25"/>
      <c r="E163" s="25"/>
      <c r="F163" s="25"/>
      <c r="G163" s="26"/>
      <c r="H163" s="26"/>
      <c r="I163" s="25"/>
      <c r="J163" s="25"/>
      <c r="K163" s="25"/>
      <c r="L163" s="26"/>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row>
    <row r="164" spans="1:76" ht="15.75" customHeight="1">
      <c r="A164" s="25"/>
      <c r="B164" s="25"/>
      <c r="C164" s="291"/>
      <c r="D164" s="25"/>
      <c r="E164" s="25"/>
      <c r="F164" s="25"/>
      <c r="G164" s="26"/>
      <c r="H164" s="26"/>
      <c r="I164" s="25"/>
      <c r="J164" s="25"/>
      <c r="K164" s="25"/>
      <c r="L164" s="26"/>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row>
    <row r="165" spans="1:76" ht="15.75" customHeight="1">
      <c r="A165" s="25"/>
      <c r="B165" s="25"/>
      <c r="C165" s="291"/>
      <c r="D165" s="25"/>
      <c r="E165" s="25"/>
      <c r="F165" s="25"/>
      <c r="G165" s="26"/>
      <c r="H165" s="26"/>
      <c r="I165" s="25"/>
      <c r="J165" s="25"/>
      <c r="K165" s="25"/>
      <c r="L165" s="26"/>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row>
    <row r="166" spans="1:76" ht="15.75" customHeight="1">
      <c r="A166" s="25"/>
      <c r="B166" s="25"/>
      <c r="C166" s="291"/>
      <c r="D166" s="25"/>
      <c r="E166" s="25"/>
      <c r="F166" s="25"/>
      <c r="G166" s="26"/>
      <c r="H166" s="26"/>
      <c r="I166" s="25"/>
      <c r="J166" s="25"/>
      <c r="K166" s="25"/>
      <c r="L166" s="26"/>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row>
    <row r="167" spans="1:76" ht="15.75" customHeight="1">
      <c r="A167" s="25"/>
      <c r="B167" s="25"/>
      <c r="C167" s="291"/>
      <c r="D167" s="25"/>
      <c r="E167" s="25"/>
      <c r="F167" s="25"/>
      <c r="G167" s="26"/>
      <c r="H167" s="26"/>
      <c r="I167" s="25"/>
      <c r="J167" s="25"/>
      <c r="K167" s="25"/>
      <c r="L167" s="26"/>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row>
    <row r="168" spans="1:76" ht="15.75" customHeight="1">
      <c r="A168" s="25"/>
      <c r="B168" s="25"/>
      <c r="C168" s="291"/>
      <c r="D168" s="25"/>
      <c r="E168" s="25"/>
      <c r="F168" s="25"/>
      <c r="G168" s="26"/>
      <c r="H168" s="26"/>
      <c r="I168" s="25"/>
      <c r="J168" s="25"/>
      <c r="K168" s="25"/>
      <c r="L168" s="26"/>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row>
    <row r="169" spans="1:76" ht="15.75" customHeight="1">
      <c r="A169" s="25"/>
      <c r="B169" s="25"/>
      <c r="C169" s="291"/>
      <c r="D169" s="25"/>
      <c r="E169" s="25"/>
      <c r="F169" s="25"/>
      <c r="G169" s="26"/>
      <c r="H169" s="26"/>
      <c r="I169" s="25"/>
      <c r="J169" s="25"/>
      <c r="K169" s="25"/>
      <c r="L169" s="26"/>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row>
    <row r="170" spans="1:76" ht="15.75" customHeight="1">
      <c r="A170" s="25"/>
      <c r="B170" s="25"/>
      <c r="C170" s="291"/>
      <c r="D170" s="25"/>
      <c r="E170" s="25"/>
      <c r="F170" s="25"/>
      <c r="G170" s="26"/>
      <c r="H170" s="26"/>
      <c r="I170" s="25"/>
      <c r="J170" s="25"/>
      <c r="K170" s="25"/>
      <c r="L170" s="26"/>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row>
    <row r="171" spans="1:76" ht="15.75" customHeight="1">
      <c r="A171" s="25"/>
      <c r="B171" s="25"/>
      <c r="C171" s="291"/>
      <c r="D171" s="25"/>
      <c r="E171" s="25"/>
      <c r="F171" s="25"/>
      <c r="G171" s="26"/>
      <c r="H171" s="26"/>
      <c r="I171" s="25"/>
      <c r="J171" s="25"/>
      <c r="K171" s="25"/>
      <c r="L171" s="26"/>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row>
    <row r="172" spans="1:76" ht="15.75" customHeight="1">
      <c r="A172" s="25"/>
      <c r="B172" s="25"/>
      <c r="C172" s="291"/>
      <c r="D172" s="25"/>
      <c r="E172" s="25"/>
      <c r="F172" s="25"/>
      <c r="G172" s="26"/>
      <c r="H172" s="26"/>
      <c r="I172" s="25"/>
      <c r="J172" s="25"/>
      <c r="K172" s="25"/>
      <c r="L172" s="26"/>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row>
    <row r="173" spans="1:76" ht="15.75" customHeight="1">
      <c r="A173" s="25"/>
      <c r="B173" s="25"/>
      <c r="C173" s="291"/>
      <c r="D173" s="25"/>
      <c r="E173" s="25"/>
      <c r="F173" s="25"/>
      <c r="G173" s="26"/>
      <c r="H173" s="26"/>
      <c r="I173" s="25"/>
      <c r="J173" s="25"/>
      <c r="K173" s="25"/>
      <c r="L173" s="26"/>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row>
    <row r="174" spans="1:76" ht="15.75" customHeight="1">
      <c r="A174" s="25"/>
      <c r="B174" s="25"/>
      <c r="C174" s="291"/>
      <c r="D174" s="25"/>
      <c r="E174" s="25"/>
      <c r="F174" s="25"/>
      <c r="G174" s="26"/>
      <c r="H174" s="26"/>
      <c r="I174" s="25"/>
      <c r="J174" s="25"/>
      <c r="K174" s="25"/>
      <c r="L174" s="26"/>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row>
    <row r="175" spans="1:76" ht="15.75" customHeight="1">
      <c r="A175" s="25"/>
      <c r="B175" s="25"/>
      <c r="C175" s="291"/>
      <c r="D175" s="25"/>
      <c r="E175" s="25"/>
      <c r="F175" s="25"/>
      <c r="G175" s="26"/>
      <c r="H175" s="26"/>
      <c r="I175" s="25"/>
      <c r="J175" s="25"/>
      <c r="K175" s="25"/>
      <c r="L175" s="26"/>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row>
    <row r="176" spans="1:76" ht="15.75" customHeight="1">
      <c r="C176" s="292"/>
    </row>
    <row r="177" spans="3:3" ht="15.75" customHeight="1">
      <c r="C177" s="292"/>
    </row>
    <row r="178" spans="3:3" ht="15.75" customHeight="1">
      <c r="C178" s="292"/>
    </row>
    <row r="179" spans="3:3" ht="15.75" customHeight="1">
      <c r="C179" s="292"/>
    </row>
    <row r="180" spans="3:3" ht="15.75" customHeight="1">
      <c r="C180" s="292"/>
    </row>
    <row r="181" spans="3:3" ht="15.75" customHeight="1">
      <c r="C181" s="292"/>
    </row>
    <row r="182" spans="3:3" ht="15.75" customHeight="1">
      <c r="C182" s="292"/>
    </row>
    <row r="183" spans="3:3" ht="15.75" customHeight="1">
      <c r="C183" s="292"/>
    </row>
    <row r="184" spans="3:3" ht="15.75" customHeight="1">
      <c r="C184" s="292"/>
    </row>
    <row r="185" spans="3:3" ht="15.75" customHeight="1">
      <c r="C185" s="292"/>
    </row>
    <row r="186" spans="3:3" ht="15.75" customHeight="1">
      <c r="C186" s="292"/>
    </row>
    <row r="187" spans="3:3" ht="15.75" customHeight="1">
      <c r="C187" s="292"/>
    </row>
    <row r="188" spans="3:3" ht="15.75" customHeight="1">
      <c r="C188" s="292"/>
    </row>
    <row r="189" spans="3:3" ht="15.75" customHeight="1">
      <c r="C189" s="292"/>
    </row>
    <row r="190" spans="3:3" ht="15.75" customHeight="1">
      <c r="C190" s="292"/>
    </row>
    <row r="191" spans="3:3" ht="15.75" customHeight="1">
      <c r="C191" s="292"/>
    </row>
    <row r="192" spans="3:3" ht="15.75" customHeight="1">
      <c r="C192" s="292"/>
    </row>
    <row r="193" spans="3:3" ht="15.75" customHeight="1">
      <c r="C193" s="292"/>
    </row>
    <row r="194" spans="3:3" ht="15.75" customHeight="1">
      <c r="C194" s="292"/>
    </row>
    <row r="195" spans="3:3" ht="15.75" customHeight="1">
      <c r="C195" s="292"/>
    </row>
    <row r="196" spans="3:3" ht="15.75" customHeight="1">
      <c r="C196" s="292"/>
    </row>
    <row r="197" spans="3:3" ht="15.75" customHeight="1">
      <c r="C197" s="292"/>
    </row>
    <row r="198" spans="3:3" ht="15.75" customHeight="1">
      <c r="C198" s="292"/>
    </row>
    <row r="199" spans="3:3" ht="15.75" customHeight="1">
      <c r="C199" s="292"/>
    </row>
    <row r="200" spans="3:3" ht="15.75" customHeight="1">
      <c r="C200" s="292"/>
    </row>
    <row r="201" spans="3:3" ht="15.75" customHeight="1">
      <c r="C201" s="292"/>
    </row>
    <row r="202" spans="3:3" ht="15.75" customHeight="1">
      <c r="C202" s="292"/>
    </row>
    <row r="203" spans="3:3" ht="15.75" customHeight="1">
      <c r="C203" s="292"/>
    </row>
    <row r="204" spans="3:3" ht="15.75" customHeight="1">
      <c r="C204" s="292"/>
    </row>
    <row r="205" spans="3:3" ht="15.75" customHeight="1">
      <c r="C205" s="292"/>
    </row>
    <row r="206" spans="3:3" ht="15.75" customHeight="1">
      <c r="C206" s="292"/>
    </row>
    <row r="207" spans="3:3" ht="15.75" customHeight="1">
      <c r="C207" s="292"/>
    </row>
    <row r="208" spans="3:3" ht="15.75" customHeight="1">
      <c r="C208" s="292"/>
    </row>
    <row r="209" spans="3:3" ht="15.75" customHeight="1">
      <c r="C209" s="292"/>
    </row>
    <row r="210" spans="3:3" ht="15.75" customHeight="1">
      <c r="C210" s="292"/>
    </row>
    <row r="211" spans="3:3" ht="15.75" customHeight="1">
      <c r="C211" s="292"/>
    </row>
    <row r="212" spans="3:3" ht="15.75" customHeight="1">
      <c r="C212" s="292"/>
    </row>
    <row r="213" spans="3:3" ht="15.75" customHeight="1">
      <c r="C213" s="292"/>
    </row>
    <row r="214" spans="3:3" ht="15.75" customHeight="1">
      <c r="C214" s="292"/>
    </row>
    <row r="215" spans="3:3" ht="15.75" customHeight="1">
      <c r="C215" s="292"/>
    </row>
    <row r="216" spans="3:3" ht="15.75" customHeight="1">
      <c r="C216" s="292"/>
    </row>
    <row r="217" spans="3:3" ht="15.75" customHeight="1">
      <c r="C217" s="292"/>
    </row>
    <row r="218" spans="3:3" ht="15.75" customHeight="1">
      <c r="C218" s="292"/>
    </row>
    <row r="219" spans="3:3" ht="15.75" customHeight="1">
      <c r="C219" s="292"/>
    </row>
    <row r="220" spans="3:3" ht="15.75" customHeight="1">
      <c r="C220" s="292"/>
    </row>
    <row r="221" spans="3:3" ht="15.75" customHeight="1">
      <c r="C221" s="292"/>
    </row>
    <row r="222" spans="3:3" ht="15.75" customHeight="1">
      <c r="C222" s="292"/>
    </row>
    <row r="223" spans="3:3" ht="15.75" customHeight="1">
      <c r="C223" s="292"/>
    </row>
    <row r="224" spans="3:3" ht="15.75" customHeight="1">
      <c r="C224" s="292"/>
    </row>
    <row r="225" spans="3:3" ht="15.75" customHeight="1">
      <c r="C225" s="292"/>
    </row>
    <row r="226" spans="3:3" ht="15.75" customHeight="1">
      <c r="C226" s="292"/>
    </row>
    <row r="227" spans="3:3" ht="15.75" customHeight="1">
      <c r="C227" s="292"/>
    </row>
    <row r="228" spans="3:3" ht="15.75" customHeight="1">
      <c r="C228" s="292"/>
    </row>
    <row r="229" spans="3:3" ht="15.75" customHeight="1">
      <c r="C229" s="292"/>
    </row>
    <row r="230" spans="3:3" ht="15.75" customHeight="1">
      <c r="C230" s="292"/>
    </row>
    <row r="231" spans="3:3" ht="15.75" customHeight="1">
      <c r="C231" s="292"/>
    </row>
    <row r="232" spans="3:3" ht="15.75" customHeight="1">
      <c r="C232" s="292"/>
    </row>
    <row r="233" spans="3:3" ht="15.75" customHeight="1">
      <c r="C233" s="292"/>
    </row>
    <row r="234" spans="3:3" ht="15.75" customHeight="1">
      <c r="C234" s="292"/>
    </row>
    <row r="235" spans="3:3" ht="15.75" customHeight="1">
      <c r="C235" s="292"/>
    </row>
    <row r="236" spans="3:3" ht="15.75" customHeight="1">
      <c r="C236" s="292"/>
    </row>
    <row r="237" spans="3:3" ht="15.75" customHeight="1">
      <c r="C237" s="292"/>
    </row>
    <row r="238" spans="3:3" ht="15.75" customHeight="1">
      <c r="C238" s="292"/>
    </row>
    <row r="239" spans="3:3" ht="15.75" customHeight="1">
      <c r="C239" s="292"/>
    </row>
    <row r="240" spans="3:3" ht="15.75" customHeight="1">
      <c r="C240" s="292"/>
    </row>
    <row r="241" spans="3:3" ht="15.75" customHeight="1">
      <c r="C241" s="292"/>
    </row>
    <row r="242" spans="3:3" ht="15.75" customHeight="1">
      <c r="C242" s="292"/>
    </row>
    <row r="243" spans="3:3" ht="15.75" customHeight="1">
      <c r="C243" s="292"/>
    </row>
    <row r="244" spans="3:3" ht="15.75" customHeight="1">
      <c r="C244" s="292"/>
    </row>
    <row r="245" spans="3:3" ht="15.75" customHeight="1">
      <c r="C245" s="292"/>
    </row>
    <row r="246" spans="3:3" ht="15.75" customHeight="1">
      <c r="C246" s="292"/>
    </row>
    <row r="247" spans="3:3" ht="15.75" customHeight="1">
      <c r="C247" s="292"/>
    </row>
    <row r="248" spans="3:3" ht="15.75" customHeight="1">
      <c r="C248" s="292"/>
    </row>
    <row r="249" spans="3:3" ht="15.75" customHeight="1">
      <c r="C249" s="292"/>
    </row>
    <row r="250" spans="3:3" ht="15.75" customHeight="1">
      <c r="C250" s="292"/>
    </row>
    <row r="251" spans="3:3" ht="15.75" customHeight="1">
      <c r="C251" s="292"/>
    </row>
    <row r="252" spans="3:3" ht="15.75" customHeight="1">
      <c r="C252" s="292"/>
    </row>
    <row r="253" spans="3:3" ht="15.75" customHeight="1">
      <c r="C253" s="292"/>
    </row>
    <row r="254" spans="3:3" ht="15.75" customHeight="1">
      <c r="C254" s="292"/>
    </row>
    <row r="255" spans="3:3" ht="15.75" customHeight="1">
      <c r="C255" s="292"/>
    </row>
    <row r="256" spans="3:3" ht="15.75" customHeight="1">
      <c r="C256" s="292"/>
    </row>
    <row r="257" spans="3:3" ht="15.75" customHeight="1">
      <c r="C257" s="292"/>
    </row>
    <row r="258" spans="3:3" ht="15.75" customHeight="1">
      <c r="C258" s="292"/>
    </row>
    <row r="259" spans="3:3" ht="15.75" customHeight="1">
      <c r="C259" s="292"/>
    </row>
    <row r="260" spans="3:3" ht="15.75" customHeight="1">
      <c r="C260" s="292"/>
    </row>
    <row r="261" spans="3:3" ht="15.75" customHeight="1">
      <c r="C261" s="292"/>
    </row>
    <row r="262" spans="3:3" ht="15.75" customHeight="1">
      <c r="C262" s="292"/>
    </row>
    <row r="263" spans="3:3" ht="15.75" customHeight="1">
      <c r="C263" s="292"/>
    </row>
    <row r="264" spans="3:3" ht="15.75" customHeight="1">
      <c r="C264" s="292"/>
    </row>
    <row r="265" spans="3:3" ht="15.75" customHeight="1">
      <c r="C265" s="292"/>
    </row>
    <row r="266" spans="3:3" ht="15.75" customHeight="1">
      <c r="C266" s="292"/>
    </row>
    <row r="267" spans="3:3" ht="15.75" customHeight="1">
      <c r="C267" s="292"/>
    </row>
    <row r="268" spans="3:3" ht="15.75" customHeight="1">
      <c r="C268" s="292"/>
    </row>
    <row r="269" spans="3:3" ht="15.75" customHeight="1">
      <c r="C269" s="292"/>
    </row>
    <row r="270" spans="3:3" ht="15.75" customHeight="1">
      <c r="C270" s="292"/>
    </row>
    <row r="271" spans="3:3" ht="15.75" customHeight="1">
      <c r="C271" s="292"/>
    </row>
    <row r="272" spans="3:3" ht="15.75" customHeight="1">
      <c r="C272" s="292"/>
    </row>
    <row r="273" spans="3:3" ht="15.75" customHeight="1">
      <c r="C273" s="292"/>
    </row>
    <row r="274" spans="3:3" ht="15.75" customHeight="1">
      <c r="C274" s="292"/>
    </row>
    <row r="275" spans="3:3" ht="15.75" customHeight="1">
      <c r="C275" s="292"/>
    </row>
    <row r="276" spans="3:3" ht="15.75" customHeight="1">
      <c r="C276" s="292"/>
    </row>
    <row r="277" spans="3:3" ht="15.75" customHeight="1">
      <c r="C277" s="292"/>
    </row>
    <row r="278" spans="3:3" ht="15.75" customHeight="1">
      <c r="C278" s="292"/>
    </row>
    <row r="279" spans="3:3" ht="15.75" customHeight="1">
      <c r="C279" s="292"/>
    </row>
    <row r="280" spans="3:3" ht="15.75" customHeight="1">
      <c r="C280" s="292"/>
    </row>
    <row r="281" spans="3:3" ht="15.75" customHeight="1">
      <c r="C281" s="292"/>
    </row>
    <row r="282" spans="3:3" ht="15.75" customHeight="1">
      <c r="C282" s="292"/>
    </row>
    <row r="283" spans="3:3" ht="15.75" customHeight="1">
      <c r="C283" s="292"/>
    </row>
    <row r="284" spans="3:3" ht="15.75" customHeight="1">
      <c r="C284" s="292"/>
    </row>
    <row r="285" spans="3:3" ht="15.75" customHeight="1">
      <c r="C285" s="292"/>
    </row>
    <row r="286" spans="3:3" ht="15.75" customHeight="1">
      <c r="C286" s="292"/>
    </row>
    <row r="287" spans="3:3" ht="15.75" customHeight="1">
      <c r="C287" s="292"/>
    </row>
    <row r="288" spans="3:3" ht="15.75" customHeight="1">
      <c r="C288" s="292"/>
    </row>
    <row r="289" spans="3:3" ht="15.75" customHeight="1">
      <c r="C289" s="292"/>
    </row>
    <row r="290" spans="3:3" ht="15.75" customHeight="1">
      <c r="C290" s="292"/>
    </row>
    <row r="291" spans="3:3" ht="15.75" customHeight="1">
      <c r="C291" s="292"/>
    </row>
    <row r="292" spans="3:3" ht="15.75" customHeight="1">
      <c r="C292" s="292"/>
    </row>
    <row r="293" spans="3:3" ht="15.75" customHeight="1">
      <c r="C293" s="292"/>
    </row>
    <row r="294" spans="3:3" ht="15.75" customHeight="1">
      <c r="C294" s="292"/>
    </row>
    <row r="295" spans="3:3" ht="15.75" customHeight="1">
      <c r="C295" s="292"/>
    </row>
    <row r="296" spans="3:3" ht="15.75" customHeight="1">
      <c r="C296" s="292"/>
    </row>
    <row r="297" spans="3:3" ht="15.75" customHeight="1">
      <c r="C297" s="292"/>
    </row>
    <row r="298" spans="3:3" ht="15.75" customHeight="1">
      <c r="C298" s="292"/>
    </row>
    <row r="299" spans="3:3" ht="15.75" customHeight="1">
      <c r="C299" s="292"/>
    </row>
    <row r="300" spans="3:3" ht="15.75" customHeight="1">
      <c r="C300" s="292"/>
    </row>
    <row r="301" spans="3:3" ht="15.75" customHeight="1">
      <c r="C301" s="292"/>
    </row>
    <row r="302" spans="3:3" ht="15.75" customHeight="1">
      <c r="C302" s="292"/>
    </row>
    <row r="303" spans="3:3" ht="15.75" customHeight="1">
      <c r="C303" s="292"/>
    </row>
    <row r="304" spans="3:3" ht="15.75" customHeight="1">
      <c r="C304" s="292"/>
    </row>
    <row r="305" spans="3:3" ht="15.75" customHeight="1">
      <c r="C305" s="292"/>
    </row>
    <row r="306" spans="3:3" ht="15.75" customHeight="1">
      <c r="C306" s="292"/>
    </row>
    <row r="307" spans="3:3" ht="15.75" customHeight="1">
      <c r="C307" s="292"/>
    </row>
    <row r="308" spans="3:3" ht="15.75" customHeight="1">
      <c r="C308" s="292"/>
    </row>
    <row r="309" spans="3:3" ht="15.75" customHeight="1">
      <c r="C309" s="292"/>
    </row>
    <row r="310" spans="3:3" ht="15.75" customHeight="1">
      <c r="C310" s="292"/>
    </row>
    <row r="311" spans="3:3" ht="15.75" customHeight="1">
      <c r="C311" s="292"/>
    </row>
    <row r="312" spans="3:3" ht="15.75" customHeight="1">
      <c r="C312" s="292"/>
    </row>
    <row r="313" spans="3:3" ht="15.75" customHeight="1">
      <c r="C313" s="292"/>
    </row>
    <row r="314" spans="3:3" ht="15.75" customHeight="1">
      <c r="C314" s="292"/>
    </row>
    <row r="315" spans="3:3" ht="15.75" customHeight="1">
      <c r="C315" s="292"/>
    </row>
    <row r="316" spans="3:3" ht="15.75" customHeight="1">
      <c r="C316" s="292"/>
    </row>
    <row r="317" spans="3:3" ht="15.75" customHeight="1">
      <c r="C317" s="292"/>
    </row>
    <row r="318" spans="3:3" ht="15.75" customHeight="1">
      <c r="C318" s="292"/>
    </row>
    <row r="319" spans="3:3" ht="15.75" customHeight="1">
      <c r="C319" s="292"/>
    </row>
    <row r="320" spans="3:3" ht="15.75" customHeight="1">
      <c r="C320" s="292"/>
    </row>
    <row r="321" spans="3:3" ht="15.75" customHeight="1">
      <c r="C321" s="292"/>
    </row>
    <row r="322" spans="3:3" ht="15.75" customHeight="1">
      <c r="C322" s="292"/>
    </row>
    <row r="323" spans="3:3" ht="15.75" customHeight="1">
      <c r="C323" s="292"/>
    </row>
    <row r="324" spans="3:3" ht="15.75" customHeight="1">
      <c r="C324" s="292"/>
    </row>
    <row r="325" spans="3:3" ht="15.75" customHeight="1">
      <c r="C325" s="292"/>
    </row>
    <row r="326" spans="3:3" ht="15.75" customHeight="1">
      <c r="C326" s="292"/>
    </row>
    <row r="327" spans="3:3" ht="15.75" customHeight="1">
      <c r="C327" s="292"/>
    </row>
    <row r="328" spans="3:3" ht="15.75" customHeight="1">
      <c r="C328" s="292"/>
    </row>
    <row r="329" spans="3:3" ht="15.75" customHeight="1">
      <c r="C329" s="292"/>
    </row>
    <row r="330" spans="3:3" ht="15.75" customHeight="1">
      <c r="C330" s="292"/>
    </row>
    <row r="331" spans="3:3" ht="15.75" customHeight="1">
      <c r="C331" s="292"/>
    </row>
    <row r="332" spans="3:3" ht="15.75" customHeight="1">
      <c r="C332" s="292"/>
    </row>
    <row r="333" spans="3:3" ht="15.75" customHeight="1">
      <c r="C333" s="292"/>
    </row>
    <row r="334" spans="3:3" ht="15.75" customHeight="1">
      <c r="C334" s="292"/>
    </row>
    <row r="335" spans="3:3" ht="15.75" customHeight="1">
      <c r="C335" s="292"/>
    </row>
    <row r="336" spans="3:3" ht="15.75" customHeight="1">
      <c r="C336" s="292"/>
    </row>
    <row r="337" spans="3:3" ht="15.75" customHeight="1">
      <c r="C337" s="292"/>
    </row>
    <row r="338" spans="3:3" ht="15.75" customHeight="1">
      <c r="C338" s="292"/>
    </row>
    <row r="339" spans="3:3" ht="15.75" customHeight="1">
      <c r="C339" s="292"/>
    </row>
    <row r="340" spans="3:3" ht="15.75" customHeight="1">
      <c r="C340" s="292"/>
    </row>
    <row r="341" spans="3:3" ht="15.75" customHeight="1">
      <c r="C341" s="292"/>
    </row>
    <row r="342" spans="3:3" ht="15.75" customHeight="1">
      <c r="C342" s="292"/>
    </row>
    <row r="343" spans="3:3" ht="15.75" customHeight="1">
      <c r="C343" s="292"/>
    </row>
    <row r="344" spans="3:3" ht="15.75" customHeight="1">
      <c r="C344" s="292"/>
    </row>
    <row r="345" spans="3:3" ht="15.75" customHeight="1">
      <c r="C345" s="292"/>
    </row>
    <row r="346" spans="3:3" ht="15.75" customHeight="1">
      <c r="C346" s="292"/>
    </row>
    <row r="347" spans="3:3" ht="15.75" customHeight="1">
      <c r="C347" s="292"/>
    </row>
    <row r="348" spans="3:3" ht="15.75" customHeight="1">
      <c r="C348" s="292"/>
    </row>
    <row r="349" spans="3:3" ht="15.75" customHeight="1">
      <c r="C349" s="292"/>
    </row>
    <row r="350" spans="3:3" ht="15.75" customHeight="1">
      <c r="C350" s="292"/>
    </row>
    <row r="351" spans="3:3" ht="15.75" customHeight="1">
      <c r="C351" s="292"/>
    </row>
    <row r="352" spans="3:3" ht="15.75" customHeight="1">
      <c r="C352" s="292"/>
    </row>
    <row r="353" spans="3:3" ht="15.75" customHeight="1">
      <c r="C353" s="292"/>
    </row>
    <row r="354" spans="3:3" ht="15.75" customHeight="1">
      <c r="C354" s="292"/>
    </row>
    <row r="355" spans="3:3" ht="15.75" customHeight="1">
      <c r="C355" s="292"/>
    </row>
    <row r="356" spans="3:3" ht="15.75" customHeight="1">
      <c r="C356" s="292"/>
    </row>
    <row r="357" spans="3:3" ht="15.75" customHeight="1">
      <c r="C357" s="292"/>
    </row>
    <row r="358" spans="3:3" ht="15.75" customHeight="1">
      <c r="C358" s="292"/>
    </row>
    <row r="359" spans="3:3" ht="15.75" customHeight="1">
      <c r="C359" s="292"/>
    </row>
    <row r="360" spans="3:3" ht="15.75" customHeight="1">
      <c r="C360" s="292"/>
    </row>
    <row r="361" spans="3:3" ht="15.75" customHeight="1">
      <c r="C361" s="292"/>
    </row>
    <row r="362" spans="3:3" ht="15.75" customHeight="1">
      <c r="C362" s="292"/>
    </row>
    <row r="363" spans="3:3" ht="15.75" customHeight="1">
      <c r="C363" s="292"/>
    </row>
    <row r="364" spans="3:3" ht="15.75" customHeight="1">
      <c r="C364" s="292"/>
    </row>
    <row r="365" spans="3:3" ht="15.75" customHeight="1">
      <c r="C365" s="292"/>
    </row>
    <row r="366" spans="3:3" ht="15.75" customHeight="1">
      <c r="C366" s="292"/>
    </row>
    <row r="367" spans="3:3" ht="15.75" customHeight="1">
      <c r="C367" s="292"/>
    </row>
    <row r="368" spans="3:3" ht="15.75" customHeight="1">
      <c r="C368" s="292"/>
    </row>
    <row r="369" spans="3:3" ht="15.75" customHeight="1">
      <c r="C369" s="292"/>
    </row>
    <row r="370" spans="3:3" ht="15.75" customHeight="1">
      <c r="C370" s="292"/>
    </row>
    <row r="371" spans="3:3" ht="15.75" customHeight="1">
      <c r="C371" s="292"/>
    </row>
    <row r="372" spans="3:3" ht="15.75" customHeight="1">
      <c r="C372" s="292"/>
    </row>
    <row r="373" spans="3:3" ht="15.75" customHeight="1">
      <c r="C373" s="292"/>
    </row>
    <row r="374" spans="3:3" ht="15.75" customHeight="1">
      <c r="C374" s="292"/>
    </row>
    <row r="375" spans="3:3" ht="15.75" customHeight="1">
      <c r="C375" s="292"/>
    </row>
    <row r="376" spans="3:3" ht="15.75" customHeight="1">
      <c r="C376" s="292"/>
    </row>
    <row r="377" spans="3:3" ht="15.75" customHeight="1">
      <c r="C377" s="292"/>
    </row>
    <row r="378" spans="3:3" ht="15.75" customHeight="1">
      <c r="C378" s="292"/>
    </row>
    <row r="379" spans="3:3" ht="15.75" customHeight="1">
      <c r="C379" s="292"/>
    </row>
    <row r="380" spans="3:3" ht="15.75" customHeight="1">
      <c r="C380" s="292"/>
    </row>
    <row r="381" spans="3:3" ht="15.75" customHeight="1">
      <c r="C381" s="292"/>
    </row>
    <row r="382" spans="3:3" ht="15.75" customHeight="1">
      <c r="C382" s="292"/>
    </row>
    <row r="383" spans="3:3" ht="15.75" customHeight="1">
      <c r="C383" s="292"/>
    </row>
    <row r="384" spans="3:3" ht="15.75" customHeight="1">
      <c r="C384" s="292"/>
    </row>
    <row r="385" spans="3:3" ht="15.75" customHeight="1">
      <c r="C385" s="292"/>
    </row>
    <row r="386" spans="3:3" ht="15.75" customHeight="1">
      <c r="C386" s="292"/>
    </row>
    <row r="387" spans="3:3" ht="15.75" customHeight="1">
      <c r="C387" s="292"/>
    </row>
    <row r="388" spans="3:3" ht="15.75" customHeight="1">
      <c r="C388" s="292"/>
    </row>
    <row r="389" spans="3:3" ht="15.75" customHeight="1">
      <c r="C389" s="292"/>
    </row>
    <row r="390" spans="3:3" ht="15.75" customHeight="1">
      <c r="C390" s="292"/>
    </row>
    <row r="391" spans="3:3" ht="15.75" customHeight="1">
      <c r="C391" s="292"/>
    </row>
    <row r="392" spans="3:3" ht="15.75" customHeight="1">
      <c r="C392" s="292"/>
    </row>
    <row r="393" spans="3:3" ht="15.75" customHeight="1">
      <c r="C393" s="292"/>
    </row>
    <row r="394" spans="3:3" ht="15.75" customHeight="1">
      <c r="C394" s="292"/>
    </row>
    <row r="395" spans="3:3" ht="15.75" customHeight="1">
      <c r="C395" s="292"/>
    </row>
    <row r="396" spans="3:3" ht="15.75" customHeight="1">
      <c r="C396" s="292"/>
    </row>
    <row r="397" spans="3:3" ht="15.75" customHeight="1">
      <c r="C397" s="292"/>
    </row>
    <row r="398" spans="3:3" ht="15.75" customHeight="1">
      <c r="C398" s="292"/>
    </row>
    <row r="399" spans="3:3" ht="15.75" customHeight="1">
      <c r="C399" s="292"/>
    </row>
    <row r="400" spans="3:3" ht="15.75" customHeight="1">
      <c r="C400" s="292"/>
    </row>
    <row r="401" spans="3:3" ht="15.75" customHeight="1">
      <c r="C401" s="292"/>
    </row>
    <row r="402" spans="3:3" ht="15.75" customHeight="1">
      <c r="C402" s="292"/>
    </row>
    <row r="403" spans="3:3" ht="15.75" customHeight="1">
      <c r="C403" s="292"/>
    </row>
    <row r="404" spans="3:3" ht="15.75" customHeight="1">
      <c r="C404" s="292"/>
    </row>
    <row r="405" spans="3:3" ht="15.75" customHeight="1">
      <c r="C405" s="292"/>
    </row>
    <row r="406" spans="3:3" ht="15.75" customHeight="1">
      <c r="C406" s="292"/>
    </row>
    <row r="407" spans="3:3" ht="15.75" customHeight="1">
      <c r="C407" s="292"/>
    </row>
    <row r="408" spans="3:3" ht="15.75" customHeight="1">
      <c r="C408" s="292"/>
    </row>
    <row r="409" spans="3:3" ht="15.75" customHeight="1">
      <c r="C409" s="292"/>
    </row>
    <row r="410" spans="3:3" ht="15.75" customHeight="1">
      <c r="C410" s="292"/>
    </row>
    <row r="411" spans="3:3" ht="15.75" customHeight="1">
      <c r="C411" s="292"/>
    </row>
    <row r="412" spans="3:3" ht="15.75" customHeight="1">
      <c r="C412" s="292"/>
    </row>
    <row r="413" spans="3:3" ht="15.75" customHeight="1">
      <c r="C413" s="292"/>
    </row>
    <row r="414" spans="3:3" ht="15.75" customHeight="1">
      <c r="C414" s="292"/>
    </row>
    <row r="415" spans="3:3" ht="15.75" customHeight="1">
      <c r="C415" s="292"/>
    </row>
    <row r="416" spans="3:3" ht="15.75" customHeight="1">
      <c r="C416" s="292"/>
    </row>
    <row r="417" spans="3:3" ht="15.75" customHeight="1">
      <c r="C417" s="292"/>
    </row>
    <row r="418" spans="3:3" ht="15.75" customHeight="1">
      <c r="C418" s="292"/>
    </row>
    <row r="419" spans="3:3" ht="15.75" customHeight="1">
      <c r="C419" s="292"/>
    </row>
    <row r="420" spans="3:3" ht="15.75" customHeight="1">
      <c r="C420" s="292"/>
    </row>
    <row r="421" spans="3:3" ht="15.75" customHeight="1">
      <c r="C421" s="292"/>
    </row>
    <row r="422" spans="3:3" ht="15.75" customHeight="1">
      <c r="C422" s="292"/>
    </row>
    <row r="423" spans="3:3" ht="15.75" customHeight="1">
      <c r="C423" s="292"/>
    </row>
    <row r="424" spans="3:3" ht="15.75" customHeight="1">
      <c r="C424" s="292"/>
    </row>
    <row r="425" spans="3:3" ht="15.75" customHeight="1">
      <c r="C425" s="292"/>
    </row>
    <row r="426" spans="3:3" ht="15.75" customHeight="1">
      <c r="C426" s="292"/>
    </row>
    <row r="427" spans="3:3" ht="15.75" customHeight="1">
      <c r="C427" s="292"/>
    </row>
    <row r="428" spans="3:3" ht="15.75" customHeight="1">
      <c r="C428" s="292"/>
    </row>
    <row r="429" spans="3:3" ht="15.75" customHeight="1">
      <c r="C429" s="292"/>
    </row>
    <row r="430" spans="3:3" ht="15.75" customHeight="1">
      <c r="C430" s="292"/>
    </row>
    <row r="431" spans="3:3" ht="15.75" customHeight="1">
      <c r="C431" s="292"/>
    </row>
    <row r="432" spans="3:3" ht="15.75" customHeight="1">
      <c r="C432" s="292"/>
    </row>
    <row r="433" spans="3:3" ht="15.75" customHeight="1">
      <c r="C433" s="292"/>
    </row>
    <row r="434" spans="3:3" ht="15.75" customHeight="1">
      <c r="C434" s="292"/>
    </row>
    <row r="435" spans="3:3" ht="15.75" customHeight="1">
      <c r="C435" s="292"/>
    </row>
    <row r="436" spans="3:3" ht="15.75" customHeight="1">
      <c r="C436" s="292"/>
    </row>
    <row r="437" spans="3:3" ht="15.75" customHeight="1">
      <c r="C437" s="292"/>
    </row>
    <row r="438" spans="3:3" ht="15.75" customHeight="1">
      <c r="C438" s="292"/>
    </row>
    <row r="439" spans="3:3" ht="15.75" customHeight="1">
      <c r="C439" s="292"/>
    </row>
    <row r="440" spans="3:3" ht="15.75" customHeight="1">
      <c r="C440" s="292"/>
    </row>
    <row r="441" spans="3:3" ht="15.75" customHeight="1">
      <c r="C441" s="292"/>
    </row>
    <row r="442" spans="3:3" ht="15.75" customHeight="1">
      <c r="C442" s="292"/>
    </row>
    <row r="443" spans="3:3" ht="15.75" customHeight="1">
      <c r="C443" s="292"/>
    </row>
    <row r="444" spans="3:3" ht="15.75" customHeight="1">
      <c r="C444" s="292"/>
    </row>
    <row r="445" spans="3:3" ht="15.75" customHeight="1">
      <c r="C445" s="292"/>
    </row>
    <row r="446" spans="3:3" ht="15.75" customHeight="1">
      <c r="C446" s="292"/>
    </row>
    <row r="447" spans="3:3" ht="15.75" customHeight="1">
      <c r="C447" s="292"/>
    </row>
    <row r="448" spans="3:3" ht="15.75" customHeight="1">
      <c r="C448" s="292"/>
    </row>
    <row r="449" spans="3:3" ht="15.75" customHeight="1">
      <c r="C449" s="292"/>
    </row>
    <row r="450" spans="3:3" ht="15.75" customHeight="1">
      <c r="C450" s="292"/>
    </row>
    <row r="451" spans="3:3" ht="15.75" customHeight="1">
      <c r="C451" s="292"/>
    </row>
    <row r="452" spans="3:3" ht="15.75" customHeight="1">
      <c r="C452" s="292"/>
    </row>
    <row r="453" spans="3:3" ht="15.75" customHeight="1">
      <c r="C453" s="292"/>
    </row>
    <row r="454" spans="3:3" ht="15.75" customHeight="1">
      <c r="C454" s="292"/>
    </row>
    <row r="455" spans="3:3" ht="15.75" customHeight="1">
      <c r="C455" s="292"/>
    </row>
    <row r="456" spans="3:3" ht="15.75" customHeight="1">
      <c r="C456" s="292"/>
    </row>
    <row r="457" spans="3:3" ht="15.75" customHeight="1">
      <c r="C457" s="292"/>
    </row>
    <row r="458" spans="3:3" ht="15.75" customHeight="1">
      <c r="C458" s="292"/>
    </row>
    <row r="459" spans="3:3" ht="15.75" customHeight="1">
      <c r="C459" s="292"/>
    </row>
    <row r="460" spans="3:3" ht="15.75" customHeight="1">
      <c r="C460" s="292"/>
    </row>
    <row r="461" spans="3:3" ht="15.75" customHeight="1">
      <c r="C461" s="292"/>
    </row>
    <row r="462" spans="3:3" ht="15.75" customHeight="1">
      <c r="C462" s="292"/>
    </row>
    <row r="463" spans="3:3" ht="15.75" customHeight="1">
      <c r="C463" s="292"/>
    </row>
    <row r="464" spans="3:3" ht="15.75" customHeight="1">
      <c r="C464" s="292"/>
    </row>
    <row r="465" spans="3:3" ht="15.75" customHeight="1">
      <c r="C465" s="292"/>
    </row>
    <row r="466" spans="3:3" ht="15.75" customHeight="1">
      <c r="C466" s="292"/>
    </row>
    <row r="467" spans="3:3" ht="15.75" customHeight="1">
      <c r="C467" s="292"/>
    </row>
    <row r="468" spans="3:3" ht="15.75" customHeight="1">
      <c r="C468" s="292"/>
    </row>
    <row r="469" spans="3:3" ht="15.75" customHeight="1">
      <c r="C469" s="292"/>
    </row>
    <row r="470" spans="3:3" ht="15.75" customHeight="1">
      <c r="C470" s="292"/>
    </row>
    <row r="471" spans="3:3" ht="15.75" customHeight="1">
      <c r="C471" s="292"/>
    </row>
    <row r="472" spans="3:3" ht="15.75" customHeight="1">
      <c r="C472" s="292"/>
    </row>
    <row r="473" spans="3:3" ht="15.75" customHeight="1">
      <c r="C473" s="292"/>
    </row>
    <row r="474" spans="3:3" ht="15.75" customHeight="1">
      <c r="C474" s="292"/>
    </row>
    <row r="475" spans="3:3" ht="15.75" customHeight="1">
      <c r="C475" s="292"/>
    </row>
    <row r="476" spans="3:3" ht="15.75" customHeight="1">
      <c r="C476" s="292"/>
    </row>
    <row r="477" spans="3:3" ht="15.75" customHeight="1">
      <c r="C477" s="292"/>
    </row>
    <row r="478" spans="3:3" ht="15.75" customHeight="1">
      <c r="C478" s="292"/>
    </row>
    <row r="479" spans="3:3" ht="15.75" customHeight="1">
      <c r="C479" s="292"/>
    </row>
    <row r="480" spans="3:3" ht="15.75" customHeight="1">
      <c r="C480" s="292"/>
    </row>
    <row r="481" spans="3:3" ht="15.75" customHeight="1">
      <c r="C481" s="292"/>
    </row>
    <row r="482" spans="3:3" ht="15.75" customHeight="1">
      <c r="C482" s="292"/>
    </row>
    <row r="483" spans="3:3" ht="15.75" customHeight="1">
      <c r="C483" s="292"/>
    </row>
    <row r="484" spans="3:3" ht="15.75" customHeight="1">
      <c r="C484" s="292"/>
    </row>
    <row r="485" spans="3:3" ht="15.75" customHeight="1">
      <c r="C485" s="292"/>
    </row>
    <row r="486" spans="3:3" ht="15.75" customHeight="1">
      <c r="C486" s="292"/>
    </row>
    <row r="487" spans="3:3" ht="15.75" customHeight="1">
      <c r="C487" s="292"/>
    </row>
    <row r="488" spans="3:3" ht="15.75" customHeight="1">
      <c r="C488" s="292"/>
    </row>
    <row r="489" spans="3:3" ht="15.75" customHeight="1">
      <c r="C489" s="292"/>
    </row>
    <row r="490" spans="3:3" ht="15.75" customHeight="1">
      <c r="C490" s="292"/>
    </row>
    <row r="491" spans="3:3" ht="15.75" customHeight="1">
      <c r="C491" s="292"/>
    </row>
    <row r="492" spans="3:3" ht="15.75" customHeight="1">
      <c r="C492" s="292"/>
    </row>
    <row r="493" spans="3:3" ht="15.75" customHeight="1">
      <c r="C493" s="292"/>
    </row>
    <row r="494" spans="3:3" ht="15.75" customHeight="1">
      <c r="C494" s="292"/>
    </row>
    <row r="495" spans="3:3" ht="15.75" customHeight="1">
      <c r="C495" s="292"/>
    </row>
    <row r="496" spans="3:3" ht="15.75" customHeight="1">
      <c r="C496" s="292"/>
    </row>
    <row r="497" spans="3:3" ht="15.75" customHeight="1">
      <c r="C497" s="292"/>
    </row>
    <row r="498" spans="3:3" ht="15.75" customHeight="1">
      <c r="C498" s="292"/>
    </row>
    <row r="499" spans="3:3" ht="15.75" customHeight="1">
      <c r="C499" s="292"/>
    </row>
    <row r="500" spans="3:3" ht="15.75" customHeight="1">
      <c r="C500" s="292"/>
    </row>
    <row r="501" spans="3:3" ht="15.75" customHeight="1">
      <c r="C501" s="292"/>
    </row>
    <row r="502" spans="3:3" ht="15.75" customHeight="1">
      <c r="C502" s="292"/>
    </row>
    <row r="503" spans="3:3" ht="15.75" customHeight="1">
      <c r="C503" s="292"/>
    </row>
    <row r="504" spans="3:3" ht="15.75" customHeight="1">
      <c r="C504" s="292"/>
    </row>
    <row r="505" spans="3:3" ht="15.75" customHeight="1">
      <c r="C505" s="292"/>
    </row>
    <row r="506" spans="3:3" ht="15.75" customHeight="1">
      <c r="C506" s="292"/>
    </row>
    <row r="507" spans="3:3" ht="15.75" customHeight="1">
      <c r="C507" s="292"/>
    </row>
    <row r="508" spans="3:3" ht="15.75" customHeight="1">
      <c r="C508" s="292"/>
    </row>
    <row r="509" spans="3:3" ht="15.75" customHeight="1">
      <c r="C509" s="292"/>
    </row>
    <row r="510" spans="3:3" ht="15.75" customHeight="1">
      <c r="C510" s="292"/>
    </row>
    <row r="511" spans="3:3" ht="15.75" customHeight="1">
      <c r="C511" s="292"/>
    </row>
    <row r="512" spans="3:3" ht="15.75" customHeight="1">
      <c r="C512" s="292"/>
    </row>
    <row r="513" spans="3:3" ht="15.75" customHeight="1">
      <c r="C513" s="292"/>
    </row>
    <row r="514" spans="3:3" ht="15.75" customHeight="1">
      <c r="C514" s="292"/>
    </row>
    <row r="515" spans="3:3" ht="15.75" customHeight="1">
      <c r="C515" s="292"/>
    </row>
    <row r="516" spans="3:3" ht="15.75" customHeight="1">
      <c r="C516" s="292"/>
    </row>
    <row r="517" spans="3:3" ht="15.75" customHeight="1">
      <c r="C517" s="292"/>
    </row>
    <row r="518" spans="3:3" ht="15.75" customHeight="1">
      <c r="C518" s="292"/>
    </row>
    <row r="519" spans="3:3" ht="15.75" customHeight="1">
      <c r="C519" s="292"/>
    </row>
    <row r="520" spans="3:3" ht="15.75" customHeight="1">
      <c r="C520" s="292"/>
    </row>
    <row r="521" spans="3:3" ht="15.75" customHeight="1">
      <c r="C521" s="292"/>
    </row>
    <row r="522" spans="3:3" ht="15.75" customHeight="1">
      <c r="C522" s="292"/>
    </row>
    <row r="523" spans="3:3" ht="15.75" customHeight="1">
      <c r="C523" s="292"/>
    </row>
    <row r="524" spans="3:3" ht="15.75" customHeight="1">
      <c r="C524" s="292"/>
    </row>
    <row r="525" spans="3:3" ht="15.75" customHeight="1">
      <c r="C525" s="292"/>
    </row>
    <row r="526" spans="3:3" ht="15.75" customHeight="1">
      <c r="C526" s="292"/>
    </row>
    <row r="527" spans="3:3" ht="15.75" customHeight="1">
      <c r="C527" s="292"/>
    </row>
    <row r="528" spans="3:3" ht="15.75" customHeight="1">
      <c r="C528" s="292"/>
    </row>
    <row r="529" spans="3:3" ht="15.75" customHeight="1">
      <c r="C529" s="292"/>
    </row>
    <row r="530" spans="3:3" ht="15.75" customHeight="1">
      <c r="C530" s="292"/>
    </row>
    <row r="531" spans="3:3" ht="15.75" customHeight="1">
      <c r="C531" s="292"/>
    </row>
    <row r="532" spans="3:3" ht="15.75" customHeight="1">
      <c r="C532" s="292"/>
    </row>
    <row r="533" spans="3:3" ht="15.75" customHeight="1">
      <c r="C533" s="292"/>
    </row>
    <row r="534" spans="3:3" ht="15.75" customHeight="1">
      <c r="C534" s="292"/>
    </row>
    <row r="535" spans="3:3" ht="15.75" customHeight="1">
      <c r="C535" s="292"/>
    </row>
    <row r="536" spans="3:3" ht="15.75" customHeight="1">
      <c r="C536" s="292"/>
    </row>
    <row r="537" spans="3:3" ht="15.75" customHeight="1">
      <c r="C537" s="292"/>
    </row>
    <row r="538" spans="3:3" ht="15.75" customHeight="1">
      <c r="C538" s="292"/>
    </row>
    <row r="539" spans="3:3" ht="15.75" customHeight="1">
      <c r="C539" s="292"/>
    </row>
    <row r="540" spans="3:3" ht="15.75" customHeight="1">
      <c r="C540" s="292"/>
    </row>
    <row r="541" spans="3:3" ht="15.75" customHeight="1">
      <c r="C541" s="292"/>
    </row>
    <row r="542" spans="3:3" ht="15.75" customHeight="1">
      <c r="C542" s="292"/>
    </row>
    <row r="543" spans="3:3" ht="15.75" customHeight="1">
      <c r="C543" s="292"/>
    </row>
    <row r="544" spans="3:3" ht="15.75" customHeight="1">
      <c r="C544" s="292"/>
    </row>
    <row r="545" spans="3:3" ht="15.75" customHeight="1">
      <c r="C545" s="292"/>
    </row>
    <row r="546" spans="3:3" ht="15.75" customHeight="1">
      <c r="C546" s="292"/>
    </row>
    <row r="547" spans="3:3" ht="15.75" customHeight="1">
      <c r="C547" s="292"/>
    </row>
    <row r="548" spans="3:3" ht="15.75" customHeight="1">
      <c r="C548" s="292"/>
    </row>
    <row r="549" spans="3:3" ht="15.75" customHeight="1">
      <c r="C549" s="292"/>
    </row>
    <row r="550" spans="3:3" ht="15.75" customHeight="1">
      <c r="C550" s="292"/>
    </row>
    <row r="551" spans="3:3" ht="15.75" customHeight="1">
      <c r="C551" s="292"/>
    </row>
    <row r="552" spans="3:3" ht="15.75" customHeight="1">
      <c r="C552" s="292"/>
    </row>
    <row r="553" spans="3:3" ht="15.75" customHeight="1">
      <c r="C553" s="292"/>
    </row>
    <row r="554" spans="3:3" ht="15.75" customHeight="1">
      <c r="C554" s="292"/>
    </row>
    <row r="555" spans="3:3" ht="15.75" customHeight="1">
      <c r="C555" s="292"/>
    </row>
    <row r="556" spans="3:3" ht="15.75" customHeight="1">
      <c r="C556" s="292"/>
    </row>
    <row r="557" spans="3:3" ht="15.75" customHeight="1">
      <c r="C557" s="292"/>
    </row>
    <row r="558" spans="3:3" ht="15.75" customHeight="1">
      <c r="C558" s="292"/>
    </row>
    <row r="559" spans="3:3" ht="15.75" customHeight="1">
      <c r="C559" s="292"/>
    </row>
    <row r="560" spans="3:3" ht="15.75" customHeight="1">
      <c r="C560" s="292"/>
    </row>
    <row r="561" spans="3:3" ht="15.75" customHeight="1">
      <c r="C561" s="292"/>
    </row>
    <row r="562" spans="3:3" ht="15.75" customHeight="1">
      <c r="C562" s="292"/>
    </row>
    <row r="563" spans="3:3" ht="15.75" customHeight="1">
      <c r="C563" s="292"/>
    </row>
    <row r="564" spans="3:3" ht="15.75" customHeight="1">
      <c r="C564" s="292"/>
    </row>
    <row r="565" spans="3:3" ht="15.75" customHeight="1">
      <c r="C565" s="292"/>
    </row>
    <row r="566" spans="3:3" ht="15.75" customHeight="1">
      <c r="C566" s="292"/>
    </row>
    <row r="567" spans="3:3" ht="15.75" customHeight="1">
      <c r="C567" s="292"/>
    </row>
    <row r="568" spans="3:3" ht="15.75" customHeight="1">
      <c r="C568" s="292"/>
    </row>
    <row r="569" spans="3:3" ht="15.75" customHeight="1">
      <c r="C569" s="292"/>
    </row>
    <row r="570" spans="3:3" ht="15.75" customHeight="1">
      <c r="C570" s="292"/>
    </row>
    <row r="571" spans="3:3" ht="15.75" customHeight="1">
      <c r="C571" s="292"/>
    </row>
    <row r="572" spans="3:3" ht="15.75" customHeight="1">
      <c r="C572" s="292"/>
    </row>
    <row r="573" spans="3:3" ht="15.75" customHeight="1">
      <c r="C573" s="292"/>
    </row>
    <row r="574" spans="3:3" ht="15.75" customHeight="1">
      <c r="C574" s="292"/>
    </row>
    <row r="575" spans="3:3" ht="15.75" customHeight="1">
      <c r="C575" s="292"/>
    </row>
    <row r="576" spans="3:3" ht="15.75" customHeight="1">
      <c r="C576" s="292"/>
    </row>
    <row r="577" spans="3:3" ht="15.75" customHeight="1">
      <c r="C577" s="292"/>
    </row>
    <row r="578" spans="3:3" ht="15.75" customHeight="1">
      <c r="C578" s="292"/>
    </row>
    <row r="579" spans="3:3" ht="15.75" customHeight="1">
      <c r="C579" s="292"/>
    </row>
    <row r="580" spans="3:3" ht="15.75" customHeight="1">
      <c r="C580" s="292"/>
    </row>
    <row r="581" spans="3:3" ht="15.75" customHeight="1">
      <c r="C581" s="292"/>
    </row>
    <row r="582" spans="3:3" ht="15.75" customHeight="1">
      <c r="C582" s="292"/>
    </row>
    <row r="583" spans="3:3" ht="15.75" customHeight="1">
      <c r="C583" s="292"/>
    </row>
    <row r="584" spans="3:3" ht="15.75" customHeight="1">
      <c r="C584" s="292"/>
    </row>
    <row r="585" spans="3:3" ht="15.75" customHeight="1">
      <c r="C585" s="292"/>
    </row>
    <row r="586" spans="3:3" ht="15.75" customHeight="1">
      <c r="C586" s="292"/>
    </row>
    <row r="587" spans="3:3" ht="15.75" customHeight="1">
      <c r="C587" s="292"/>
    </row>
    <row r="588" spans="3:3" ht="15.75" customHeight="1">
      <c r="C588" s="292"/>
    </row>
    <row r="589" spans="3:3" ht="15.75" customHeight="1">
      <c r="C589" s="292"/>
    </row>
    <row r="590" spans="3:3" ht="15.75" customHeight="1">
      <c r="C590" s="292"/>
    </row>
    <row r="591" spans="3:3" ht="15.75" customHeight="1">
      <c r="C591" s="292"/>
    </row>
    <row r="592" spans="3:3" ht="15.75" customHeight="1">
      <c r="C592" s="292"/>
    </row>
    <row r="593" spans="3:3" ht="15.75" customHeight="1">
      <c r="C593" s="292"/>
    </row>
    <row r="594" spans="3:3" ht="15.75" customHeight="1">
      <c r="C594" s="292"/>
    </row>
    <row r="595" spans="3:3" ht="15.75" customHeight="1">
      <c r="C595" s="292"/>
    </row>
    <row r="596" spans="3:3" ht="15.75" customHeight="1">
      <c r="C596" s="292"/>
    </row>
    <row r="597" spans="3:3" ht="15.75" customHeight="1">
      <c r="C597" s="292"/>
    </row>
    <row r="598" spans="3:3" ht="15.75" customHeight="1">
      <c r="C598" s="292"/>
    </row>
    <row r="599" spans="3:3" ht="15.75" customHeight="1">
      <c r="C599" s="292"/>
    </row>
    <row r="600" spans="3:3" ht="15.75" customHeight="1">
      <c r="C600" s="292"/>
    </row>
    <row r="601" spans="3:3" ht="15.75" customHeight="1">
      <c r="C601" s="292"/>
    </row>
    <row r="602" spans="3:3" ht="15.75" customHeight="1">
      <c r="C602" s="292"/>
    </row>
    <row r="603" spans="3:3" ht="15.75" customHeight="1">
      <c r="C603" s="292"/>
    </row>
    <row r="604" spans="3:3" ht="15.75" customHeight="1">
      <c r="C604" s="292"/>
    </row>
    <row r="605" spans="3:3" ht="15.75" customHeight="1">
      <c r="C605" s="292"/>
    </row>
    <row r="606" spans="3:3" ht="15.75" customHeight="1">
      <c r="C606" s="292"/>
    </row>
    <row r="607" spans="3:3" ht="15.75" customHeight="1">
      <c r="C607" s="292"/>
    </row>
    <row r="608" spans="3:3" ht="15.75" customHeight="1">
      <c r="C608" s="292"/>
    </row>
    <row r="609" spans="3:3" ht="15.75" customHeight="1">
      <c r="C609" s="292"/>
    </row>
    <row r="610" spans="3:3" ht="15.75" customHeight="1">
      <c r="C610" s="292"/>
    </row>
    <row r="611" spans="3:3" ht="15.75" customHeight="1">
      <c r="C611" s="292"/>
    </row>
    <row r="612" spans="3:3" ht="15.75" customHeight="1">
      <c r="C612" s="292"/>
    </row>
    <row r="613" spans="3:3" ht="15.75" customHeight="1">
      <c r="C613" s="292"/>
    </row>
    <row r="614" spans="3:3" ht="15.75" customHeight="1">
      <c r="C614" s="292"/>
    </row>
    <row r="615" spans="3:3" ht="15.75" customHeight="1">
      <c r="C615" s="292"/>
    </row>
    <row r="616" spans="3:3" ht="15.75" customHeight="1">
      <c r="C616" s="292"/>
    </row>
    <row r="617" spans="3:3" ht="15.75" customHeight="1">
      <c r="C617" s="292"/>
    </row>
    <row r="618" spans="3:3" ht="15.75" customHeight="1">
      <c r="C618" s="292"/>
    </row>
    <row r="619" spans="3:3" ht="15.75" customHeight="1">
      <c r="C619" s="292"/>
    </row>
    <row r="620" spans="3:3" ht="15.75" customHeight="1">
      <c r="C620" s="292"/>
    </row>
    <row r="621" spans="3:3" ht="15.75" customHeight="1">
      <c r="C621" s="292"/>
    </row>
    <row r="622" spans="3:3" ht="15.75" customHeight="1">
      <c r="C622" s="292"/>
    </row>
    <row r="623" spans="3:3" ht="15.75" customHeight="1">
      <c r="C623" s="292"/>
    </row>
    <row r="624" spans="3:3" ht="15.75" customHeight="1">
      <c r="C624" s="292"/>
    </row>
    <row r="625" spans="3:3" ht="15.75" customHeight="1">
      <c r="C625" s="292"/>
    </row>
    <row r="626" spans="3:3" ht="15.75" customHeight="1">
      <c r="C626" s="292"/>
    </row>
    <row r="627" spans="3:3" ht="15.75" customHeight="1">
      <c r="C627" s="292"/>
    </row>
    <row r="628" spans="3:3" ht="15.75" customHeight="1">
      <c r="C628" s="292"/>
    </row>
    <row r="629" spans="3:3" ht="15.75" customHeight="1">
      <c r="C629" s="292"/>
    </row>
    <row r="630" spans="3:3" ht="15.75" customHeight="1">
      <c r="C630" s="292"/>
    </row>
    <row r="631" spans="3:3" ht="15.75" customHeight="1">
      <c r="C631" s="292"/>
    </row>
    <row r="632" spans="3:3" ht="15.75" customHeight="1">
      <c r="C632" s="292"/>
    </row>
    <row r="633" spans="3:3" ht="15.75" customHeight="1">
      <c r="C633" s="292"/>
    </row>
    <row r="634" spans="3:3" ht="15.75" customHeight="1">
      <c r="C634" s="292"/>
    </row>
    <row r="635" spans="3:3" ht="15.75" customHeight="1">
      <c r="C635" s="292"/>
    </row>
    <row r="636" spans="3:3" ht="15.75" customHeight="1">
      <c r="C636" s="292"/>
    </row>
    <row r="637" spans="3:3" ht="15.75" customHeight="1">
      <c r="C637" s="292"/>
    </row>
    <row r="638" spans="3:3" ht="15.75" customHeight="1">
      <c r="C638" s="292"/>
    </row>
    <row r="639" spans="3:3" ht="15.75" customHeight="1">
      <c r="C639" s="292"/>
    </row>
    <row r="640" spans="3:3" ht="15.75" customHeight="1">
      <c r="C640" s="292"/>
    </row>
    <row r="641" spans="3:3" ht="15.75" customHeight="1">
      <c r="C641" s="292"/>
    </row>
    <row r="642" spans="3:3" ht="15.75" customHeight="1">
      <c r="C642" s="292"/>
    </row>
    <row r="643" spans="3:3" ht="15.75" customHeight="1">
      <c r="C643" s="292"/>
    </row>
    <row r="644" spans="3:3" ht="15.75" customHeight="1">
      <c r="C644" s="292"/>
    </row>
    <row r="645" spans="3:3" ht="15.75" customHeight="1">
      <c r="C645" s="292"/>
    </row>
    <row r="646" spans="3:3" ht="15.75" customHeight="1">
      <c r="C646" s="292"/>
    </row>
    <row r="647" spans="3:3" ht="15.75" customHeight="1">
      <c r="C647" s="292"/>
    </row>
    <row r="648" spans="3:3" ht="15.75" customHeight="1">
      <c r="C648" s="292"/>
    </row>
    <row r="649" spans="3:3" ht="15.75" customHeight="1">
      <c r="C649" s="292"/>
    </row>
    <row r="650" spans="3:3" ht="15.75" customHeight="1">
      <c r="C650" s="292"/>
    </row>
    <row r="651" spans="3:3" ht="15.75" customHeight="1">
      <c r="C651" s="292"/>
    </row>
    <row r="652" spans="3:3" ht="15.75" customHeight="1">
      <c r="C652" s="292"/>
    </row>
    <row r="653" spans="3:3" ht="15.75" customHeight="1">
      <c r="C653" s="292"/>
    </row>
    <row r="654" spans="3:3" ht="15.75" customHeight="1">
      <c r="C654" s="292"/>
    </row>
    <row r="655" spans="3:3" ht="15.75" customHeight="1">
      <c r="C655" s="292"/>
    </row>
    <row r="656" spans="3:3" ht="15.75" customHeight="1">
      <c r="C656" s="292"/>
    </row>
    <row r="657" spans="3:3" ht="15.75" customHeight="1">
      <c r="C657" s="292"/>
    </row>
    <row r="658" spans="3:3" ht="15.75" customHeight="1">
      <c r="C658" s="292"/>
    </row>
    <row r="659" spans="3:3" ht="15.75" customHeight="1">
      <c r="C659" s="292"/>
    </row>
    <row r="660" spans="3:3" ht="15.75" customHeight="1">
      <c r="C660" s="292"/>
    </row>
    <row r="661" spans="3:3" ht="15.75" customHeight="1">
      <c r="C661" s="292"/>
    </row>
    <row r="662" spans="3:3" ht="15.75" customHeight="1">
      <c r="C662" s="292"/>
    </row>
    <row r="663" spans="3:3" ht="15.75" customHeight="1">
      <c r="C663" s="292"/>
    </row>
    <row r="664" spans="3:3" ht="15.75" customHeight="1">
      <c r="C664" s="292"/>
    </row>
    <row r="665" spans="3:3" ht="15.75" customHeight="1">
      <c r="C665" s="292"/>
    </row>
    <row r="666" spans="3:3" ht="15.75" customHeight="1">
      <c r="C666" s="292"/>
    </row>
    <row r="667" spans="3:3" ht="15.75" customHeight="1">
      <c r="C667" s="292"/>
    </row>
    <row r="668" spans="3:3" ht="15.75" customHeight="1">
      <c r="C668" s="292"/>
    </row>
    <row r="669" spans="3:3" ht="15.75" customHeight="1">
      <c r="C669" s="292"/>
    </row>
    <row r="670" spans="3:3" ht="15.75" customHeight="1">
      <c r="C670" s="292"/>
    </row>
    <row r="671" spans="3:3" ht="15.75" customHeight="1">
      <c r="C671" s="292"/>
    </row>
    <row r="672" spans="3:3" ht="15.75" customHeight="1">
      <c r="C672" s="292"/>
    </row>
    <row r="673" spans="3:3" ht="15.75" customHeight="1">
      <c r="C673" s="292"/>
    </row>
    <row r="674" spans="3:3" ht="15.75" customHeight="1">
      <c r="C674" s="292"/>
    </row>
    <row r="675" spans="3:3" ht="15.75" customHeight="1">
      <c r="C675" s="292"/>
    </row>
    <row r="676" spans="3:3" ht="15.75" customHeight="1">
      <c r="C676" s="292"/>
    </row>
    <row r="677" spans="3:3" ht="15.75" customHeight="1">
      <c r="C677" s="292"/>
    </row>
    <row r="678" spans="3:3" ht="15.75" customHeight="1">
      <c r="C678" s="292"/>
    </row>
    <row r="679" spans="3:3" ht="15.75" customHeight="1">
      <c r="C679" s="292"/>
    </row>
    <row r="680" spans="3:3" ht="15.75" customHeight="1">
      <c r="C680" s="292"/>
    </row>
    <row r="681" spans="3:3" ht="15.75" customHeight="1">
      <c r="C681" s="292"/>
    </row>
    <row r="682" spans="3:3" ht="15.75" customHeight="1">
      <c r="C682" s="292"/>
    </row>
    <row r="683" spans="3:3" ht="15.75" customHeight="1">
      <c r="C683" s="292"/>
    </row>
    <row r="684" spans="3:3" ht="15.75" customHeight="1">
      <c r="C684" s="292"/>
    </row>
    <row r="685" spans="3:3" ht="15.75" customHeight="1">
      <c r="C685" s="292"/>
    </row>
    <row r="686" spans="3:3" ht="15.75" customHeight="1">
      <c r="C686" s="292"/>
    </row>
    <row r="687" spans="3:3" ht="15.75" customHeight="1">
      <c r="C687" s="292"/>
    </row>
    <row r="688" spans="3:3" ht="15.75" customHeight="1">
      <c r="C688" s="292"/>
    </row>
    <row r="689" spans="3:3" ht="15.75" customHeight="1">
      <c r="C689" s="292"/>
    </row>
    <row r="690" spans="3:3" ht="15.75" customHeight="1">
      <c r="C690" s="292"/>
    </row>
    <row r="691" spans="3:3" ht="15.75" customHeight="1">
      <c r="C691" s="292"/>
    </row>
    <row r="692" spans="3:3" ht="15.75" customHeight="1">
      <c r="C692" s="292"/>
    </row>
    <row r="693" spans="3:3" ht="15.75" customHeight="1">
      <c r="C693" s="292"/>
    </row>
    <row r="694" spans="3:3" ht="15.75" customHeight="1">
      <c r="C694" s="292"/>
    </row>
    <row r="695" spans="3:3" ht="15.75" customHeight="1">
      <c r="C695" s="292"/>
    </row>
    <row r="696" spans="3:3" ht="15.75" customHeight="1">
      <c r="C696" s="292"/>
    </row>
    <row r="697" spans="3:3" ht="15.75" customHeight="1">
      <c r="C697" s="292"/>
    </row>
    <row r="698" spans="3:3" ht="15.75" customHeight="1">
      <c r="C698" s="292"/>
    </row>
    <row r="699" spans="3:3" ht="15.75" customHeight="1">
      <c r="C699" s="292"/>
    </row>
    <row r="700" spans="3:3" ht="15.75" customHeight="1">
      <c r="C700" s="292"/>
    </row>
    <row r="701" spans="3:3" ht="15.75" customHeight="1">
      <c r="C701" s="292"/>
    </row>
    <row r="702" spans="3:3" ht="15.75" customHeight="1">
      <c r="C702" s="292"/>
    </row>
    <row r="703" spans="3:3" ht="15.75" customHeight="1">
      <c r="C703" s="292"/>
    </row>
    <row r="704" spans="3:3" ht="15.75" customHeight="1">
      <c r="C704" s="292"/>
    </row>
    <row r="705" spans="3:3" ht="15.75" customHeight="1">
      <c r="C705" s="292"/>
    </row>
    <row r="706" spans="3:3" ht="15.75" customHeight="1">
      <c r="C706" s="292"/>
    </row>
    <row r="707" spans="3:3" ht="15.75" customHeight="1">
      <c r="C707" s="292"/>
    </row>
    <row r="708" spans="3:3" ht="15.75" customHeight="1">
      <c r="C708" s="292"/>
    </row>
    <row r="709" spans="3:3" ht="15.75" customHeight="1">
      <c r="C709" s="292"/>
    </row>
    <row r="710" spans="3:3" ht="15.75" customHeight="1">
      <c r="C710" s="292"/>
    </row>
    <row r="711" spans="3:3" ht="15.75" customHeight="1">
      <c r="C711" s="292"/>
    </row>
    <row r="712" spans="3:3" ht="15.75" customHeight="1">
      <c r="C712" s="292"/>
    </row>
    <row r="713" spans="3:3" ht="15.75" customHeight="1">
      <c r="C713" s="292"/>
    </row>
    <row r="714" spans="3:3" ht="15.75" customHeight="1">
      <c r="C714" s="292"/>
    </row>
    <row r="715" spans="3:3" ht="15.75" customHeight="1">
      <c r="C715" s="292"/>
    </row>
    <row r="716" spans="3:3" ht="15.75" customHeight="1">
      <c r="C716" s="292"/>
    </row>
    <row r="717" spans="3:3" ht="15.75" customHeight="1">
      <c r="C717" s="292"/>
    </row>
    <row r="718" spans="3:3" ht="15.75" customHeight="1">
      <c r="C718" s="292"/>
    </row>
    <row r="719" spans="3:3" ht="15.75" customHeight="1">
      <c r="C719" s="292"/>
    </row>
    <row r="720" spans="3:3" ht="15.75" customHeight="1">
      <c r="C720" s="292"/>
    </row>
    <row r="721" spans="3:3" ht="15.75" customHeight="1">
      <c r="C721" s="292"/>
    </row>
    <row r="722" spans="3:3" ht="15.75" customHeight="1">
      <c r="C722" s="292"/>
    </row>
    <row r="723" spans="3:3" ht="15.75" customHeight="1">
      <c r="C723" s="292"/>
    </row>
    <row r="724" spans="3:3" ht="15.75" customHeight="1">
      <c r="C724" s="292"/>
    </row>
    <row r="725" spans="3:3" ht="15.75" customHeight="1">
      <c r="C725" s="292"/>
    </row>
    <row r="726" spans="3:3" ht="15.75" customHeight="1">
      <c r="C726" s="292"/>
    </row>
    <row r="727" spans="3:3" ht="15.75" customHeight="1">
      <c r="C727" s="292"/>
    </row>
    <row r="728" spans="3:3" ht="15.75" customHeight="1">
      <c r="C728" s="292"/>
    </row>
    <row r="729" spans="3:3" ht="15.75" customHeight="1">
      <c r="C729" s="292"/>
    </row>
    <row r="730" spans="3:3" ht="15.75" customHeight="1">
      <c r="C730" s="292"/>
    </row>
    <row r="731" spans="3:3" ht="15.75" customHeight="1">
      <c r="C731" s="292"/>
    </row>
    <row r="732" spans="3:3" ht="15.75" customHeight="1">
      <c r="C732" s="292"/>
    </row>
    <row r="733" spans="3:3" ht="15.75" customHeight="1">
      <c r="C733" s="292"/>
    </row>
    <row r="734" spans="3:3" ht="15.75" customHeight="1">
      <c r="C734" s="292"/>
    </row>
    <row r="735" spans="3:3" ht="15.75" customHeight="1">
      <c r="C735" s="292"/>
    </row>
    <row r="736" spans="3:3" ht="15.75" customHeight="1">
      <c r="C736" s="292"/>
    </row>
    <row r="737" spans="3:3" ht="15.75" customHeight="1">
      <c r="C737" s="292"/>
    </row>
    <row r="738" spans="3:3" ht="15.75" customHeight="1">
      <c r="C738" s="292"/>
    </row>
    <row r="739" spans="3:3" ht="15.75" customHeight="1">
      <c r="C739" s="292"/>
    </row>
    <row r="740" spans="3:3" ht="15.75" customHeight="1">
      <c r="C740" s="292"/>
    </row>
    <row r="741" spans="3:3" ht="15.75" customHeight="1">
      <c r="C741" s="292"/>
    </row>
    <row r="742" spans="3:3" ht="15.75" customHeight="1">
      <c r="C742" s="292"/>
    </row>
    <row r="743" spans="3:3" ht="15.75" customHeight="1">
      <c r="C743" s="292"/>
    </row>
    <row r="744" spans="3:3" ht="15.75" customHeight="1">
      <c r="C744" s="292"/>
    </row>
    <row r="745" spans="3:3" ht="15.75" customHeight="1">
      <c r="C745" s="292"/>
    </row>
    <row r="746" spans="3:3" ht="15.75" customHeight="1">
      <c r="C746" s="292"/>
    </row>
    <row r="747" spans="3:3" ht="15.75" customHeight="1">
      <c r="C747" s="292"/>
    </row>
    <row r="748" spans="3:3" ht="15.75" customHeight="1">
      <c r="C748" s="292"/>
    </row>
    <row r="749" spans="3:3" ht="15.75" customHeight="1">
      <c r="C749" s="292"/>
    </row>
    <row r="750" spans="3:3" ht="15.75" customHeight="1">
      <c r="C750" s="292"/>
    </row>
    <row r="751" spans="3:3" ht="15.75" customHeight="1">
      <c r="C751" s="292"/>
    </row>
    <row r="752" spans="3:3" ht="15.75" customHeight="1">
      <c r="C752" s="292"/>
    </row>
    <row r="753" spans="3:3" ht="15.75" customHeight="1">
      <c r="C753" s="292"/>
    </row>
    <row r="754" spans="3:3" ht="15.75" customHeight="1">
      <c r="C754" s="292"/>
    </row>
    <row r="755" spans="3:3" ht="15.75" customHeight="1">
      <c r="C755" s="292"/>
    </row>
    <row r="756" spans="3:3" ht="15.75" customHeight="1">
      <c r="C756" s="292"/>
    </row>
    <row r="757" spans="3:3" ht="15.75" customHeight="1">
      <c r="C757" s="292"/>
    </row>
    <row r="758" spans="3:3" ht="15.75" customHeight="1">
      <c r="C758" s="292"/>
    </row>
    <row r="759" spans="3:3" ht="15.75" customHeight="1">
      <c r="C759" s="292"/>
    </row>
    <row r="760" spans="3:3" ht="15.75" customHeight="1">
      <c r="C760" s="292"/>
    </row>
    <row r="761" spans="3:3" ht="15.75" customHeight="1">
      <c r="C761" s="292"/>
    </row>
    <row r="762" spans="3:3" ht="15.75" customHeight="1">
      <c r="C762" s="292"/>
    </row>
    <row r="763" spans="3:3" ht="15.75" customHeight="1">
      <c r="C763" s="292"/>
    </row>
    <row r="764" spans="3:3" ht="15.75" customHeight="1">
      <c r="C764" s="292"/>
    </row>
    <row r="765" spans="3:3" ht="15.75" customHeight="1">
      <c r="C765" s="292"/>
    </row>
    <row r="766" spans="3:3" ht="15.75" customHeight="1">
      <c r="C766" s="292"/>
    </row>
    <row r="767" spans="3:3" ht="15.75" customHeight="1">
      <c r="C767" s="292"/>
    </row>
    <row r="768" spans="3:3" ht="15.75" customHeight="1">
      <c r="C768" s="292"/>
    </row>
    <row r="769" spans="3:3" ht="15.75" customHeight="1">
      <c r="C769" s="292"/>
    </row>
    <row r="770" spans="3:3" ht="15.75" customHeight="1">
      <c r="C770" s="292"/>
    </row>
    <row r="771" spans="3:3" ht="15.75" customHeight="1">
      <c r="C771" s="292"/>
    </row>
    <row r="772" spans="3:3" ht="15.75" customHeight="1">
      <c r="C772" s="292"/>
    </row>
    <row r="773" spans="3:3" ht="15.75" customHeight="1">
      <c r="C773" s="292"/>
    </row>
    <row r="774" spans="3:3" ht="15.75" customHeight="1">
      <c r="C774" s="292"/>
    </row>
    <row r="775" spans="3:3" ht="15.75" customHeight="1">
      <c r="C775" s="292"/>
    </row>
    <row r="776" spans="3:3" ht="15.75" customHeight="1">
      <c r="C776" s="292"/>
    </row>
    <row r="777" spans="3:3" ht="15.75" customHeight="1">
      <c r="C777" s="292"/>
    </row>
    <row r="778" spans="3:3" ht="15.75" customHeight="1">
      <c r="C778" s="292"/>
    </row>
    <row r="779" spans="3:3" ht="15.75" customHeight="1">
      <c r="C779" s="292"/>
    </row>
    <row r="780" spans="3:3" ht="15.75" customHeight="1">
      <c r="C780" s="292"/>
    </row>
    <row r="781" spans="3:3" ht="15.75" customHeight="1">
      <c r="C781" s="292"/>
    </row>
    <row r="782" spans="3:3" ht="15.75" customHeight="1">
      <c r="C782" s="292"/>
    </row>
    <row r="783" spans="3:3" ht="15.75" customHeight="1">
      <c r="C783" s="292"/>
    </row>
    <row r="784" spans="3:3" ht="15.75" customHeight="1">
      <c r="C784" s="292"/>
    </row>
    <row r="785" spans="3:3" ht="15.75" customHeight="1">
      <c r="C785" s="292"/>
    </row>
    <row r="786" spans="3:3" ht="15.75" customHeight="1">
      <c r="C786" s="292"/>
    </row>
    <row r="787" spans="3:3" ht="15.75" customHeight="1">
      <c r="C787" s="292"/>
    </row>
    <row r="788" spans="3:3" ht="15.75" customHeight="1">
      <c r="C788" s="292"/>
    </row>
    <row r="789" spans="3:3" ht="15.75" customHeight="1">
      <c r="C789" s="292"/>
    </row>
    <row r="790" spans="3:3" ht="15.75" customHeight="1">
      <c r="C790" s="292"/>
    </row>
    <row r="791" spans="3:3" ht="15.75" customHeight="1">
      <c r="C791" s="292"/>
    </row>
    <row r="792" spans="3:3" ht="15.75" customHeight="1">
      <c r="C792" s="292"/>
    </row>
    <row r="793" spans="3:3" ht="15.75" customHeight="1">
      <c r="C793" s="292"/>
    </row>
    <row r="794" spans="3:3" ht="15.75" customHeight="1">
      <c r="C794" s="292"/>
    </row>
    <row r="795" spans="3:3" ht="15.75" customHeight="1">
      <c r="C795" s="292"/>
    </row>
    <row r="796" spans="3:3" ht="15.75" customHeight="1">
      <c r="C796" s="292"/>
    </row>
    <row r="797" spans="3:3" ht="15.75" customHeight="1">
      <c r="C797" s="292"/>
    </row>
    <row r="798" spans="3:3" ht="15.75" customHeight="1">
      <c r="C798" s="292"/>
    </row>
    <row r="799" spans="3:3" ht="15.75" customHeight="1">
      <c r="C799" s="292"/>
    </row>
    <row r="800" spans="3:3" ht="15.75" customHeight="1">
      <c r="C800" s="292"/>
    </row>
    <row r="801" spans="3:3" ht="15.75" customHeight="1">
      <c r="C801" s="292"/>
    </row>
    <row r="802" spans="3:3" ht="15.75" customHeight="1">
      <c r="C802" s="292"/>
    </row>
    <row r="803" spans="3:3" ht="15.75" customHeight="1">
      <c r="C803" s="292"/>
    </row>
    <row r="804" spans="3:3" ht="15.75" customHeight="1">
      <c r="C804" s="292"/>
    </row>
    <row r="805" spans="3:3" ht="15.75" customHeight="1">
      <c r="C805" s="292"/>
    </row>
    <row r="806" spans="3:3" ht="15.75" customHeight="1">
      <c r="C806" s="292"/>
    </row>
    <row r="807" spans="3:3" ht="15.75" customHeight="1">
      <c r="C807" s="292"/>
    </row>
    <row r="808" spans="3:3" ht="15.75" customHeight="1">
      <c r="C808" s="292"/>
    </row>
    <row r="809" spans="3:3" ht="15.75" customHeight="1">
      <c r="C809" s="292"/>
    </row>
    <row r="810" spans="3:3" ht="15.75" customHeight="1">
      <c r="C810" s="292"/>
    </row>
    <row r="811" spans="3:3" ht="15.75" customHeight="1">
      <c r="C811" s="292"/>
    </row>
    <row r="812" spans="3:3" ht="15.75" customHeight="1">
      <c r="C812" s="292"/>
    </row>
    <row r="813" spans="3:3" ht="15.75" customHeight="1">
      <c r="C813" s="292"/>
    </row>
    <row r="814" spans="3:3" ht="15.75" customHeight="1">
      <c r="C814" s="292"/>
    </row>
    <row r="815" spans="3:3" ht="15.75" customHeight="1">
      <c r="C815" s="292"/>
    </row>
    <row r="816" spans="3:3" ht="15.75" customHeight="1">
      <c r="C816" s="292"/>
    </row>
    <row r="817" spans="3:3" ht="15.75" customHeight="1">
      <c r="C817" s="292"/>
    </row>
    <row r="818" spans="3:3" ht="15.75" customHeight="1">
      <c r="C818" s="292"/>
    </row>
    <row r="819" spans="3:3" ht="15.75" customHeight="1">
      <c r="C819" s="292"/>
    </row>
    <row r="820" spans="3:3" ht="15.75" customHeight="1">
      <c r="C820" s="292"/>
    </row>
    <row r="821" spans="3:3" ht="15.75" customHeight="1">
      <c r="C821" s="292"/>
    </row>
    <row r="822" spans="3:3" ht="15.75" customHeight="1">
      <c r="C822" s="292"/>
    </row>
    <row r="823" spans="3:3" ht="15.75" customHeight="1">
      <c r="C823" s="292"/>
    </row>
    <row r="824" spans="3:3" ht="15.75" customHeight="1">
      <c r="C824" s="292"/>
    </row>
    <row r="825" spans="3:3" ht="15.75" customHeight="1">
      <c r="C825" s="292"/>
    </row>
    <row r="826" spans="3:3" ht="15.75" customHeight="1">
      <c r="C826" s="292"/>
    </row>
    <row r="827" spans="3:3" ht="15.75" customHeight="1">
      <c r="C827" s="292"/>
    </row>
    <row r="828" spans="3:3" ht="15.75" customHeight="1">
      <c r="C828" s="292"/>
    </row>
    <row r="829" spans="3:3" ht="15.75" customHeight="1">
      <c r="C829" s="292"/>
    </row>
    <row r="830" spans="3:3" ht="15.75" customHeight="1">
      <c r="C830" s="292"/>
    </row>
    <row r="831" spans="3:3" ht="15.75" customHeight="1">
      <c r="C831" s="292"/>
    </row>
    <row r="832" spans="3:3" ht="15.75" customHeight="1">
      <c r="C832" s="292"/>
    </row>
    <row r="833" spans="3:3" ht="15.75" customHeight="1">
      <c r="C833" s="292"/>
    </row>
    <row r="834" spans="3:3" ht="15.75" customHeight="1">
      <c r="C834" s="292"/>
    </row>
    <row r="835" spans="3:3" ht="15.75" customHeight="1">
      <c r="C835" s="292"/>
    </row>
    <row r="836" spans="3:3" ht="15.75" customHeight="1">
      <c r="C836" s="292"/>
    </row>
    <row r="837" spans="3:3" ht="15.75" customHeight="1">
      <c r="C837" s="292"/>
    </row>
    <row r="838" spans="3:3" ht="15.75" customHeight="1">
      <c r="C838" s="292"/>
    </row>
    <row r="839" spans="3:3" ht="15.75" customHeight="1">
      <c r="C839" s="292"/>
    </row>
    <row r="840" spans="3:3" ht="15.75" customHeight="1">
      <c r="C840" s="292"/>
    </row>
    <row r="841" spans="3:3" ht="15.75" customHeight="1">
      <c r="C841" s="292"/>
    </row>
    <row r="842" spans="3:3" ht="15.75" customHeight="1">
      <c r="C842" s="292"/>
    </row>
    <row r="843" spans="3:3" ht="15.75" customHeight="1">
      <c r="C843" s="292"/>
    </row>
    <row r="844" spans="3:3" ht="15.75" customHeight="1">
      <c r="C844" s="292"/>
    </row>
    <row r="845" spans="3:3" ht="15.75" customHeight="1">
      <c r="C845" s="292"/>
    </row>
    <row r="846" spans="3:3" ht="15.75" customHeight="1">
      <c r="C846" s="292"/>
    </row>
    <row r="847" spans="3:3" ht="15.75" customHeight="1">
      <c r="C847" s="292"/>
    </row>
    <row r="848" spans="3:3" ht="15.75" customHeight="1">
      <c r="C848" s="292"/>
    </row>
    <row r="849" spans="3:3" ht="15.75" customHeight="1">
      <c r="C849" s="292"/>
    </row>
    <row r="850" spans="3:3" ht="15.75" customHeight="1">
      <c r="C850" s="292"/>
    </row>
    <row r="851" spans="3:3" ht="15.75" customHeight="1">
      <c r="C851" s="292"/>
    </row>
    <row r="852" spans="3:3" ht="15.75" customHeight="1">
      <c r="C852" s="292"/>
    </row>
    <row r="853" spans="3:3" ht="15.75" customHeight="1">
      <c r="C853" s="292"/>
    </row>
    <row r="854" spans="3:3" ht="15.75" customHeight="1">
      <c r="C854" s="292"/>
    </row>
    <row r="855" spans="3:3" ht="15.75" customHeight="1">
      <c r="C855" s="292"/>
    </row>
    <row r="856" spans="3:3" ht="15.75" customHeight="1">
      <c r="C856" s="292"/>
    </row>
    <row r="857" spans="3:3" ht="15.75" customHeight="1">
      <c r="C857" s="292"/>
    </row>
    <row r="858" spans="3:3" ht="15.75" customHeight="1">
      <c r="C858" s="292"/>
    </row>
    <row r="859" spans="3:3" ht="15.75" customHeight="1">
      <c r="C859" s="292"/>
    </row>
    <row r="860" spans="3:3" ht="15.75" customHeight="1">
      <c r="C860" s="292"/>
    </row>
    <row r="861" spans="3:3" ht="15.75" customHeight="1">
      <c r="C861" s="292"/>
    </row>
    <row r="862" spans="3:3" ht="15.75" customHeight="1">
      <c r="C862" s="292"/>
    </row>
    <row r="863" spans="3:3" ht="15.75" customHeight="1">
      <c r="C863" s="292"/>
    </row>
    <row r="864" spans="3:3" ht="15.75" customHeight="1">
      <c r="C864" s="292"/>
    </row>
    <row r="865" spans="3:3" ht="15.75" customHeight="1">
      <c r="C865" s="292"/>
    </row>
    <row r="866" spans="3:3" ht="15.75" customHeight="1">
      <c r="C866" s="292"/>
    </row>
    <row r="867" spans="3:3" ht="15.75" customHeight="1">
      <c r="C867" s="292"/>
    </row>
    <row r="868" spans="3:3" ht="15.75" customHeight="1">
      <c r="C868" s="292"/>
    </row>
    <row r="869" spans="3:3" ht="15.75" customHeight="1">
      <c r="C869" s="292"/>
    </row>
    <row r="870" spans="3:3" ht="15.75" customHeight="1">
      <c r="C870" s="292"/>
    </row>
    <row r="871" spans="3:3" ht="15.75" customHeight="1">
      <c r="C871" s="292"/>
    </row>
    <row r="872" spans="3:3" ht="15.75" customHeight="1">
      <c r="C872" s="292"/>
    </row>
    <row r="873" spans="3:3" ht="15.75" customHeight="1">
      <c r="C873" s="292"/>
    </row>
    <row r="874" spans="3:3" ht="15.75" customHeight="1">
      <c r="C874" s="292"/>
    </row>
    <row r="875" spans="3:3" ht="15.75" customHeight="1">
      <c r="C875" s="292"/>
    </row>
    <row r="876" spans="3:3" ht="15.75" customHeight="1">
      <c r="C876" s="292"/>
    </row>
    <row r="877" spans="3:3" ht="15.75" customHeight="1">
      <c r="C877" s="292"/>
    </row>
    <row r="878" spans="3:3" ht="15.75" customHeight="1">
      <c r="C878" s="292"/>
    </row>
    <row r="879" spans="3:3" ht="15.75" customHeight="1">
      <c r="C879" s="292"/>
    </row>
    <row r="880" spans="3:3" ht="15.75" customHeight="1">
      <c r="C880" s="292"/>
    </row>
    <row r="881" spans="3:3" ht="15.75" customHeight="1">
      <c r="C881" s="292"/>
    </row>
    <row r="882" spans="3:3" ht="15.75" customHeight="1">
      <c r="C882" s="292"/>
    </row>
    <row r="883" spans="3:3" ht="15.75" customHeight="1">
      <c r="C883" s="292"/>
    </row>
    <row r="884" spans="3:3" ht="15.75" customHeight="1">
      <c r="C884" s="292"/>
    </row>
    <row r="885" spans="3:3" ht="15.75" customHeight="1">
      <c r="C885" s="292"/>
    </row>
    <row r="886" spans="3:3" ht="15.75" customHeight="1">
      <c r="C886" s="292"/>
    </row>
    <row r="887" spans="3:3" ht="15.75" customHeight="1">
      <c r="C887" s="292"/>
    </row>
    <row r="888" spans="3:3" ht="15.75" customHeight="1">
      <c r="C888" s="292"/>
    </row>
    <row r="889" spans="3:3" ht="15.75" customHeight="1">
      <c r="C889" s="292"/>
    </row>
    <row r="890" spans="3:3" ht="15.75" customHeight="1">
      <c r="C890" s="292"/>
    </row>
    <row r="891" spans="3:3" ht="15.75" customHeight="1">
      <c r="C891" s="292"/>
    </row>
    <row r="892" spans="3:3" ht="15.75" customHeight="1">
      <c r="C892" s="292"/>
    </row>
    <row r="893" spans="3:3" ht="15.75" customHeight="1">
      <c r="C893" s="292"/>
    </row>
    <row r="894" spans="3:3" ht="15.75" customHeight="1">
      <c r="C894" s="292"/>
    </row>
    <row r="895" spans="3:3" ht="15.75" customHeight="1">
      <c r="C895" s="292"/>
    </row>
    <row r="896" spans="3:3" ht="15.75" customHeight="1">
      <c r="C896" s="292"/>
    </row>
    <row r="897" spans="3:3" ht="15.75" customHeight="1">
      <c r="C897" s="292"/>
    </row>
    <row r="898" spans="3:3" ht="15.75" customHeight="1">
      <c r="C898" s="292"/>
    </row>
    <row r="899" spans="3:3" ht="15.75" customHeight="1">
      <c r="C899" s="292"/>
    </row>
    <row r="900" spans="3:3" ht="15.75" customHeight="1">
      <c r="C900" s="292"/>
    </row>
    <row r="901" spans="3:3" ht="15.75" customHeight="1">
      <c r="C901" s="292"/>
    </row>
    <row r="902" spans="3:3" ht="15.75" customHeight="1">
      <c r="C902" s="292"/>
    </row>
    <row r="903" spans="3:3" ht="15.75" customHeight="1">
      <c r="C903" s="292"/>
    </row>
    <row r="904" spans="3:3" ht="15.75" customHeight="1">
      <c r="C904" s="292"/>
    </row>
    <row r="905" spans="3:3" ht="15.75" customHeight="1">
      <c r="C905" s="292"/>
    </row>
  </sheetData>
  <mergeCells count="8">
    <mergeCell ref="AG30:AK30"/>
    <mergeCell ref="C48:G48"/>
    <mergeCell ref="H48:V48"/>
    <mergeCell ref="C1:G1"/>
    <mergeCell ref="H1:S1"/>
    <mergeCell ref="T1:Y1"/>
    <mergeCell ref="Z1:AB1"/>
    <mergeCell ref="C24:G24"/>
  </mergeCells>
  <conditionalFormatting sqref="D26:D30 E32:G34">
    <cfRule type="cellIs" dxfId="29" priority="6" operator="lessThan">
      <formula>0</formula>
    </cfRule>
    <cfRule type="cellIs" dxfId="28" priority="7" operator="greaterThan">
      <formula>0</formula>
    </cfRule>
  </conditionalFormatting>
  <conditionalFormatting sqref="M4:M15 M19:M20 M50:M55">
    <cfRule type="cellIs" dxfId="27" priority="10" operator="greaterThan">
      <formula>0</formula>
    </cfRule>
  </conditionalFormatting>
  <conditionalFormatting sqref="M4:N15 M19:N20 M50:M55">
    <cfRule type="cellIs" dxfId="26" priority="11" operator="lessThanOrEqual">
      <formula>0</formula>
    </cfRule>
  </conditionalFormatting>
  <conditionalFormatting sqref="M4:N15 M19:N20 M50:N57">
    <cfRule type="cellIs" dxfId="25" priority="25" operator="greaterThan">
      <formula>0</formula>
    </cfRule>
  </conditionalFormatting>
  <conditionalFormatting sqref="M22:N22 M50:N57">
    <cfRule type="cellIs" dxfId="24" priority="26" operator="lessThanOrEqual">
      <formula>0</formula>
    </cfRule>
  </conditionalFormatting>
  <conditionalFormatting sqref="N4:N15 N19:N20 M22:N22 L24 N50:N57">
    <cfRule type="cellIs" dxfId="23" priority="9" operator="greaterThan">
      <formula>0</formula>
    </cfRule>
  </conditionalFormatting>
  <conditionalFormatting sqref="N4:N15 N19:N20 N22 L24 N50:N57">
    <cfRule type="cellIs" dxfId="22" priority="8" operator="lessThan">
      <formula>0</formula>
    </cfRule>
  </conditionalFormatting>
  <conditionalFormatting sqref="Q6 Q4 Q8 Q10 Q12 Q14 Q18:Q20">
    <cfRule type="colorScale" priority="29">
      <colorScale>
        <cfvo type="min"/>
        <cfvo type="percentile" val="50"/>
        <cfvo type="max"/>
        <color rgb="FF57BB8A"/>
        <color rgb="FFFFFFFF"/>
        <color rgb="FFE67C73"/>
      </colorScale>
    </cfRule>
  </conditionalFormatting>
  <conditionalFormatting sqref="S6 S4 S8 S10 S12 S14 S18:S20">
    <cfRule type="colorScale" priority="30">
      <colorScale>
        <cfvo type="min"/>
        <cfvo type="max"/>
        <color rgb="FFE67C73"/>
        <color rgb="FFFFFFFF"/>
      </colorScale>
    </cfRule>
  </conditionalFormatting>
  <conditionalFormatting sqref="T4:Y4 T6:Y6 T8:Y8 T10:Y10 T12:Y12 T14:Y14 T18:Y20 L24">
    <cfRule type="cellIs" dxfId="21" priority="28" operator="lessThanOrEqual">
      <formula>0</formula>
    </cfRule>
  </conditionalFormatting>
  <conditionalFormatting sqref="T4:Y4 T6:Y6 T8:Y8 T10:Y10 T12:Y12 T14:Y14 T18:Y20">
    <cfRule type="cellIs" dxfId="20" priority="27" operator="greaterThan">
      <formula>0</formula>
    </cfRule>
  </conditionalFormatting>
  <conditionalFormatting sqref="T4:Y4 T6:Y6 T8:Y8 T10:Y10 T12:Y12 T14:Y14 T19:Y19">
    <cfRule type="cellIs" dxfId="19" priority="1" operator="greaterThan">
      <formula>0</formula>
    </cfRule>
    <cfRule type="cellIs" dxfId="18" priority="2" operator="lessThanOrEqual">
      <formula>0</formula>
    </cfRule>
  </conditionalFormatting>
  <conditionalFormatting sqref="AA6 AA4 AA8 AA10 AA12 AA14 AA18:AA19">
    <cfRule type="colorScale" priority="23">
      <colorScale>
        <cfvo type="min"/>
        <cfvo type="percentile" val="50"/>
        <cfvo type="max"/>
        <color rgb="FFE67C73"/>
        <color rgb="FFFFFFFF"/>
        <color rgb="FF57BB8A"/>
      </colorScale>
    </cfRule>
  </conditionalFormatting>
  <conditionalFormatting sqref="AA4:AB4 AA6:AB6 AA8:AB8 AA10:AB10 AA12:AB12 AA14:AB14 AA18:AB20">
    <cfRule type="cellIs" dxfId="17" priority="12" operator="equal">
      <formula>"Alcista"</formula>
    </cfRule>
    <cfRule type="cellIs" dxfId="16" priority="13" operator="equal">
      <formula>"Neutral"</formula>
    </cfRule>
    <cfRule type="cellIs" dxfId="15" priority="14" operator="equal">
      <formula>"Bajista"</formula>
    </cfRule>
  </conditionalFormatting>
  <conditionalFormatting sqref="AB6 AB4 AB8 AB10 AB12 AB14 AB18:AB19">
    <cfRule type="colorScale" priority="24">
      <colorScale>
        <cfvo type="min"/>
        <cfvo type="percentile" val="50"/>
        <cfvo type="max"/>
        <color rgb="FF57BB8A"/>
        <color rgb="FFFFFFFF"/>
        <color rgb="FFE67C73"/>
      </colorScale>
    </cfRule>
  </conditionalFormatting>
  <conditionalFormatting sqref="AC4 AC6 AC8 AC10 AC12 AC14 AC18:AC20">
    <cfRule type="cellIs" dxfId="14" priority="15" operator="equal">
      <formula>"Baja"</formula>
    </cfRule>
    <cfRule type="cellIs" dxfId="13" priority="16" operator="equal">
      <formula>"Media"</formula>
    </cfRule>
    <cfRule type="cellIs" dxfId="12" priority="17" operator="equal">
      <formula>"Alta"</formula>
    </cfRule>
  </conditionalFormatting>
  <conditionalFormatting sqref="AC4:AD4 AC6:AD6 AC8:AD8 AC10:AD10 AC12:AD12 AC14:AD14 AC18:AD20 Z4:AA4 Z6:AA6 Z8:AA8 Z10:AA10 Z12:AA12 Z14:AA14 AA18:AA19 Z18:Z21">
    <cfRule type="cellIs" dxfId="11" priority="20" operator="equal">
      <formula>"Atractivo"</formula>
    </cfRule>
    <cfRule type="cellIs" dxfId="10" priority="21" operator="equal">
      <formula>"Neutral"</formula>
    </cfRule>
    <cfRule type="cellIs" dxfId="9" priority="22" operator="equal">
      <formula>"Esperar"</formula>
    </cfRule>
  </conditionalFormatting>
  <conditionalFormatting sqref="AD4 AD6 AD8 AD10 AD12 AD14 AD19">
    <cfRule type="containsText" dxfId="8" priority="3" operator="containsText" text="Alta">
      <formula>NOT(ISERROR(SEARCH(("Alta"),(AD4))))</formula>
    </cfRule>
    <cfRule type="containsText" dxfId="7" priority="4" operator="containsText" text="Media">
      <formula>NOT(ISERROR(SEARCH(("Media"),(AD4))))</formula>
    </cfRule>
    <cfRule type="containsText" dxfId="6" priority="5" operator="containsText" text="Baja">
      <formula>NOT(ISERROR(SEARCH(("Baja"),(AD4))))</formula>
    </cfRule>
  </conditionalFormatting>
  <conditionalFormatting sqref="AD19:AD20 AC4 AC6 AC8 AC10 AC12 AC14 AC18:AC20 Z19:Z21">
    <cfRule type="cellIs" dxfId="5" priority="18" operator="equal">
      <formula>"Core"</formula>
    </cfRule>
    <cfRule type="cellIs" dxfId="4" priority="19" operator="equal">
      <formula>"Satellite"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6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5"/>
      <c r="B1" s="25"/>
      <c r="C1" s="460" t="s">
        <v>24</v>
      </c>
      <c r="D1" s="461"/>
      <c r="E1" s="461"/>
      <c r="F1" s="462"/>
      <c r="G1" s="463"/>
      <c r="H1" s="461"/>
      <c r="I1" s="461"/>
      <c r="J1" s="461"/>
      <c r="K1" s="462"/>
      <c r="L1" s="460" t="s">
        <v>26</v>
      </c>
      <c r="M1" s="461"/>
      <c r="N1" s="461"/>
      <c r="O1" s="461"/>
      <c r="P1" s="461"/>
      <c r="Q1" s="462"/>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row>
    <row r="2" spans="1:61" ht="48">
      <c r="A2" s="32"/>
      <c r="B2" s="33" t="s">
        <v>0</v>
      </c>
      <c r="C2" s="34" t="s">
        <v>1</v>
      </c>
      <c r="D2" s="33" t="s">
        <v>29</v>
      </c>
      <c r="E2" s="33" t="s">
        <v>2</v>
      </c>
      <c r="F2" s="33" t="s">
        <v>30</v>
      </c>
      <c r="G2" s="35" t="s">
        <v>3</v>
      </c>
      <c r="H2" s="35" t="s">
        <v>234</v>
      </c>
      <c r="I2" s="36" t="s">
        <v>166</v>
      </c>
      <c r="J2" s="36" t="s">
        <v>167</v>
      </c>
      <c r="K2" s="36" t="s">
        <v>168</v>
      </c>
      <c r="L2" s="37" t="s">
        <v>4</v>
      </c>
      <c r="M2" s="33" t="s">
        <v>45</v>
      </c>
      <c r="N2" s="33" t="s">
        <v>46</v>
      </c>
      <c r="O2" s="33" t="s">
        <v>47</v>
      </c>
      <c r="P2" s="33" t="s">
        <v>48</v>
      </c>
      <c r="Q2" s="33" t="s">
        <v>49</v>
      </c>
      <c r="R2" s="40"/>
      <c r="S2" s="40"/>
      <c r="T2" s="40"/>
      <c r="U2" s="40"/>
      <c r="V2" s="40"/>
      <c r="W2" s="40"/>
      <c r="X2" s="40"/>
      <c r="Y2" s="40"/>
      <c r="Z2" s="40"/>
      <c r="AA2" s="40"/>
      <c r="AB2" s="40"/>
      <c r="AC2" s="40"/>
      <c r="AD2" s="40"/>
      <c r="AE2" s="40"/>
      <c r="AF2" s="40"/>
      <c r="AG2" s="40"/>
      <c r="AH2" s="40"/>
      <c r="AI2" s="40"/>
      <c r="AJ2" s="40"/>
      <c r="AK2" s="40"/>
      <c r="AL2" s="40"/>
      <c r="AM2" s="40"/>
      <c r="AN2" s="32"/>
      <c r="AO2" s="32"/>
      <c r="AP2" s="32"/>
      <c r="AQ2" s="32"/>
      <c r="AR2" s="32"/>
      <c r="AS2" s="32"/>
      <c r="AT2" s="32"/>
      <c r="AU2" s="32"/>
      <c r="AV2" s="32"/>
      <c r="AW2" s="32"/>
      <c r="AX2" s="32"/>
      <c r="AY2" s="32"/>
      <c r="AZ2" s="32"/>
    </row>
    <row r="3" spans="1:61" ht="13.2">
      <c r="A3" s="167"/>
      <c r="B3" s="302" t="s">
        <v>235</v>
      </c>
      <c r="C3" s="303"/>
      <c r="D3" s="304"/>
      <c r="E3" s="305"/>
      <c r="F3" s="305"/>
      <c r="G3" s="306"/>
      <c r="H3" s="306"/>
      <c r="I3" s="306"/>
      <c r="J3" s="306"/>
      <c r="K3" s="306"/>
      <c r="L3" s="306"/>
      <c r="M3" s="306"/>
      <c r="N3" s="306"/>
      <c r="O3" s="306"/>
      <c r="P3" s="306"/>
      <c r="Q3" s="306"/>
      <c r="R3" s="20"/>
      <c r="S3" s="20"/>
      <c r="T3" s="20"/>
      <c r="U3" s="20"/>
      <c r="V3" s="25"/>
      <c r="W3" s="20"/>
      <c r="X3" s="25"/>
      <c r="Y3" s="20"/>
      <c r="Z3" s="25"/>
      <c r="AA3" s="20"/>
      <c r="AB3" s="25"/>
      <c r="AC3" s="20"/>
      <c r="AD3" s="25"/>
      <c r="AE3" s="22"/>
      <c r="AF3" s="22"/>
      <c r="AG3" s="22"/>
      <c r="AH3" s="22"/>
      <c r="AK3" s="22"/>
      <c r="AQ3" s="22"/>
      <c r="AR3" s="22"/>
      <c r="AS3" s="22"/>
      <c r="AT3" s="22"/>
      <c r="AU3" s="22"/>
      <c r="AV3" s="22"/>
      <c r="AW3" s="22"/>
      <c r="AX3" s="22"/>
      <c r="AY3" s="22"/>
      <c r="AZ3" s="22"/>
    </row>
    <row r="4" spans="1:61" ht="13.2">
      <c r="A4" s="41">
        <v>1</v>
      </c>
      <c r="B4" s="1" t="s">
        <v>236</v>
      </c>
      <c r="C4" s="42" t="str">
        <f ca="1">IFERROR(__xludf.DUMMYFUNCTION("GoogleFinance(B4,""name"")"),"CVS Health Corp")</f>
        <v>CVS Health Corp</v>
      </c>
      <c r="D4" s="43">
        <f ca="1">IFERROR(__xludf.DUMMYFUNCTION("GoogleFinance(B4,""marketcap"")/1000000"),94226.52669)</f>
        <v>94226.526689999999</v>
      </c>
      <c r="E4" s="21" t="s">
        <v>15</v>
      </c>
      <c r="F4" s="21" t="s">
        <v>120</v>
      </c>
      <c r="G4" s="46">
        <f ca="1">IFERROR(__xludf.DUMMYFUNCTION("GOOGLEFINANCE(B4)"),73.22)</f>
        <v>73.22</v>
      </c>
      <c r="H4" s="80">
        <v>67</v>
      </c>
      <c r="I4" s="51">
        <f ca="1">H4/G4-1</f>
        <v>-8.494946735864517E-2</v>
      </c>
      <c r="J4" s="44">
        <v>90</v>
      </c>
      <c r="K4" s="95">
        <f ca="1">J4/G4-1</f>
        <v>0.22917235727943197</v>
      </c>
      <c r="L4" s="8">
        <f ca="1">IFERROR(__xludf.DUMMYFUNCTION("GoogleFinance(B4,""changepct"")/100"),0.0001)</f>
        <v>1E-4</v>
      </c>
      <c r="M4" s="8" t="e">
        <f ca="1">G4/V5-1</f>
        <v>#DIV/0!</v>
      </c>
      <c r="N4" s="8" t="e">
        <f ca="1">G4/X5-1</f>
        <v>#DIV/0!</v>
      </c>
      <c r="O4" s="8" t="e">
        <f ca="1">G4/Z5-1</f>
        <v>#DIV/0!</v>
      </c>
      <c r="P4" s="8" t="e">
        <f ca="1">G4/AB5-1</f>
        <v>#DIV/0!</v>
      </c>
      <c r="Q4" s="8">
        <f ca="1">G4/AD5-1</f>
        <v>-0.21429337911793112</v>
      </c>
      <c r="R4" s="2"/>
      <c r="S4" s="2"/>
      <c r="T4" s="2"/>
      <c r="U4" s="2" t="str">
        <f ca="1">IFERROR(__xludf.DUMMYFUNCTION("GoogleFinance(B4,""price"",today()-7)"),"#N/A")</f>
        <v>#N/A</v>
      </c>
      <c r="V4" s="25"/>
      <c r="W4" s="2" t="str">
        <f ca="1">IFERROR(__xludf.DUMMYFUNCTION("GoogleFinance(B4,""price"",today()-31)"),"#N/A")</f>
        <v>#N/A</v>
      </c>
      <c r="X4" s="25"/>
      <c r="Y4" s="2" t="str">
        <f ca="1">IFERROR(__xludf.DUMMYFUNCTION("GoogleFinance(B4,""price"",today()-91)"),"#N/A")</f>
        <v>#N/A</v>
      </c>
      <c r="Z4" s="25"/>
      <c r="AA4" s="2" t="str">
        <f ca="1">IFERROR(__xludf.DUMMYFUNCTION("GoogleFinance(B4,""price"",today()-182)"),"#N/A")</f>
        <v>#N/A</v>
      </c>
      <c r="AB4" s="25"/>
      <c r="AC4" s="2" t="str">
        <f ca="1">IFERROR(__xludf.DUMMYFUNCTION("GoogleFinance(B4,""price"",DATE(2022,12,30))"),"Date")</f>
        <v>Date</v>
      </c>
      <c r="AD4" s="25" t="str">
        <f ca="1">IFERROR(__xludf.DUMMYFUNCTION("""COMPUTED_VALUE"""),"Close")</f>
        <v>Close</v>
      </c>
      <c r="AE4" s="5"/>
      <c r="AF4" s="5"/>
      <c r="AG4" s="5"/>
      <c r="AH4" s="5"/>
      <c r="AK4" s="5"/>
      <c r="AQ4" s="5"/>
      <c r="AR4" s="5"/>
      <c r="AS4" s="5"/>
      <c r="AT4" s="5"/>
      <c r="AU4" s="5"/>
      <c r="AV4" s="5"/>
      <c r="AW4" s="5"/>
      <c r="AX4" s="5"/>
      <c r="AY4" s="5"/>
      <c r="AZ4" s="5"/>
    </row>
    <row r="5" spans="1:61" ht="13.2" hidden="1">
      <c r="A5" s="41" t="e">
        <f>1+#REF!</f>
        <v>#REF!</v>
      </c>
      <c r="B5" s="297"/>
      <c r="C5" s="298"/>
      <c r="D5" s="297"/>
      <c r="E5" s="297"/>
      <c r="F5" s="297"/>
      <c r="G5" s="299"/>
      <c r="H5" s="299"/>
      <c r="I5" s="300"/>
      <c r="J5" s="300"/>
      <c r="K5" s="300"/>
      <c r="L5" s="301"/>
      <c r="M5" s="301"/>
      <c r="N5" s="301"/>
      <c r="O5" s="301"/>
      <c r="P5" s="301"/>
      <c r="Q5" s="301"/>
      <c r="R5" s="20"/>
      <c r="S5" s="20"/>
      <c r="T5" s="20"/>
      <c r="U5" s="20"/>
      <c r="V5" s="19"/>
      <c r="W5" s="20"/>
      <c r="X5" s="19"/>
      <c r="Y5" s="20"/>
      <c r="Z5" s="19"/>
      <c r="AA5" s="20"/>
      <c r="AB5" s="19"/>
      <c r="AC5" s="20">
        <f ca="1">IFERROR(__xludf.DUMMYFUNCTION("""COMPUTED_VALUE"""),44925.6666666666)</f>
        <v>44925.666666666599</v>
      </c>
      <c r="AD5" s="19">
        <f ca="1">IFERROR(__xludf.DUMMYFUNCTION("""COMPUTED_VALUE"""),93.19)</f>
        <v>93.19</v>
      </c>
      <c r="AE5" s="22"/>
      <c r="AF5" s="22"/>
      <c r="AG5" s="22"/>
      <c r="AH5" s="22"/>
      <c r="AI5" s="296"/>
      <c r="AJ5" s="296"/>
      <c r="AK5" s="22"/>
      <c r="AL5" s="296"/>
      <c r="AM5" s="296"/>
      <c r="AN5" s="296"/>
      <c r="AO5" s="296"/>
      <c r="AP5" s="296"/>
      <c r="AQ5" s="22"/>
      <c r="AR5" s="22"/>
      <c r="AS5" s="22"/>
      <c r="AT5" s="22"/>
      <c r="AU5" s="22"/>
      <c r="AV5" s="22"/>
      <c r="AW5" s="22"/>
      <c r="AX5" s="22"/>
      <c r="AY5" s="22"/>
      <c r="AZ5" s="22"/>
      <c r="BA5" s="296"/>
      <c r="BB5" s="296"/>
      <c r="BC5" s="296"/>
      <c r="BD5" s="296"/>
      <c r="BE5" s="296"/>
      <c r="BF5" s="296"/>
      <c r="BG5" s="296"/>
      <c r="BH5" s="296"/>
      <c r="BI5" s="296"/>
    </row>
    <row r="6" spans="1:61" ht="13.2">
      <c r="A6" s="41">
        <f t="shared" ref="A6:A10" si="0">1+A4</f>
        <v>2</v>
      </c>
      <c r="B6" s="1" t="s">
        <v>237</v>
      </c>
      <c r="C6" s="42" t="str">
        <f ca="1">IFERROR(__xludf.DUMMYFUNCTION("GoogleFinance(B6,""name"")"),"Lockheed Martin Corp")</f>
        <v>Lockheed Martin Corp</v>
      </c>
      <c r="D6" s="43">
        <f ca="1">IFERROR(__xludf.DUMMYFUNCTION("GoogleFinance(B6,""marketcap"")/1000000"),113569.617558)</f>
        <v>113569.617558</v>
      </c>
      <c r="E6" s="21" t="s">
        <v>10</v>
      </c>
      <c r="F6" s="21" t="s">
        <v>238</v>
      </c>
      <c r="G6" s="46">
        <f ca="1">IFERROR(__xludf.DUMMYFUNCTION("GOOGLEFINANCE(B6)"),457.76)</f>
        <v>457.76</v>
      </c>
      <c r="H6" s="53">
        <v>430</v>
      </c>
      <c r="I6" s="51">
        <f ca="1">H6/G6-1</f>
        <v>-6.0643131772107672E-2</v>
      </c>
      <c r="J6" s="44">
        <v>540</v>
      </c>
      <c r="K6" s="95">
        <f ca="1">J6/G6-1</f>
        <v>0.17965746242572522</v>
      </c>
      <c r="L6" s="8">
        <f ca="1">IFERROR(__xludf.DUMMYFUNCTION("GoogleFinance(B6,""changepct"")/100"),-0.0039)</f>
        <v>-3.8999999999999998E-3</v>
      </c>
      <c r="M6" s="8" t="e">
        <f ca="1">G6/V7-1</f>
        <v>#DIV/0!</v>
      </c>
      <c r="N6" s="8" t="e">
        <f ca="1">G6/X7-1</f>
        <v>#DIV/0!</v>
      </c>
      <c r="O6" s="8" t="e">
        <f ca="1">G6/Z7-1</f>
        <v>#DIV/0!</v>
      </c>
      <c r="P6" s="8" t="e">
        <f ca="1">G6/AB7-1</f>
        <v>#DIV/0!</v>
      </c>
      <c r="Q6" s="8">
        <f ca="1">G6/AD7-1</f>
        <v>-5.9055684597833502E-2</v>
      </c>
      <c r="R6" s="2"/>
      <c r="S6" s="2"/>
      <c r="T6" s="2"/>
      <c r="U6" s="2" t="str">
        <f ca="1">IFERROR(__xludf.DUMMYFUNCTION("GoogleFinance(B6,""price"",today()-7)"),"#N/A")</f>
        <v>#N/A</v>
      </c>
      <c r="V6" s="25"/>
      <c r="W6" s="2" t="str">
        <f ca="1">IFERROR(__xludf.DUMMYFUNCTION("GoogleFinance(B6,""price"",today()-31)"),"#N/A")</f>
        <v>#N/A</v>
      </c>
      <c r="X6" s="25"/>
      <c r="Y6" s="2" t="str">
        <f ca="1">IFERROR(__xludf.DUMMYFUNCTION("GoogleFinance(B6,""price"",today()-91)"),"#N/A")</f>
        <v>#N/A</v>
      </c>
      <c r="Z6" s="25"/>
      <c r="AA6" s="2" t="str">
        <f ca="1">IFERROR(__xludf.DUMMYFUNCTION("GoogleFinance(B6,""price"",today()-182)"),"#N/A")</f>
        <v>#N/A</v>
      </c>
      <c r="AB6" s="25"/>
      <c r="AC6" s="2" t="str">
        <f ca="1">IFERROR(__xludf.DUMMYFUNCTION("GoogleFinance(B6,""price"",DATE(2022,12,30))"),"Date")</f>
        <v>Date</v>
      </c>
      <c r="AD6" s="25" t="str">
        <f ca="1">IFERROR(__xludf.DUMMYFUNCTION("""COMPUTED_VALUE"""),"Close")</f>
        <v>Close</v>
      </c>
      <c r="AE6" s="5"/>
      <c r="AF6" s="5"/>
      <c r="AG6" s="5"/>
      <c r="AH6" s="5"/>
      <c r="AK6" s="5"/>
      <c r="AQ6" s="5"/>
      <c r="AR6" s="5"/>
      <c r="AS6" s="5"/>
      <c r="AT6" s="5"/>
      <c r="AU6" s="5"/>
      <c r="AV6" s="5"/>
      <c r="AW6" s="5"/>
      <c r="AX6" s="5"/>
      <c r="AY6" s="5"/>
      <c r="AZ6" s="5"/>
    </row>
    <row r="7" spans="1:61" ht="13.2" hidden="1">
      <c r="A7" s="41" t="e">
        <f t="shared" si="0"/>
        <v>#REF!</v>
      </c>
      <c r="B7" s="297"/>
      <c r="C7" s="298"/>
      <c r="D7" s="297"/>
      <c r="E7" s="297"/>
      <c r="F7" s="297"/>
      <c r="G7" s="299"/>
      <c r="H7" s="299"/>
      <c r="I7" s="300"/>
      <c r="J7" s="300"/>
      <c r="K7" s="300"/>
      <c r="L7" s="301"/>
      <c r="M7" s="301"/>
      <c r="N7" s="301"/>
      <c r="O7" s="301"/>
      <c r="P7" s="301"/>
      <c r="Q7" s="301"/>
      <c r="R7" s="20"/>
      <c r="S7" s="20"/>
      <c r="T7" s="20"/>
      <c r="U7" s="20"/>
      <c r="V7" s="19"/>
      <c r="W7" s="20"/>
      <c r="X7" s="19"/>
      <c r="Y7" s="20"/>
      <c r="Z7" s="19"/>
      <c r="AA7" s="20"/>
      <c r="AB7" s="19"/>
      <c r="AC7" s="20">
        <f ca="1">IFERROR(__xludf.DUMMYFUNCTION("""COMPUTED_VALUE"""),44925.6666666666)</f>
        <v>44925.666666666599</v>
      </c>
      <c r="AD7" s="19">
        <f ca="1">IFERROR(__xludf.DUMMYFUNCTION("""COMPUTED_VALUE"""),486.49)</f>
        <v>486.49</v>
      </c>
      <c r="AE7" s="22"/>
      <c r="AF7" s="22"/>
      <c r="AG7" s="22"/>
      <c r="AH7" s="22"/>
      <c r="AI7" s="296"/>
      <c r="AJ7" s="296"/>
      <c r="AK7" s="22"/>
      <c r="AL7" s="296"/>
      <c r="AM7" s="296"/>
      <c r="AN7" s="296"/>
      <c r="AO7" s="296"/>
      <c r="AP7" s="296"/>
      <c r="AQ7" s="22"/>
      <c r="AR7" s="22"/>
      <c r="AS7" s="22"/>
      <c r="AT7" s="22"/>
      <c r="AU7" s="22"/>
      <c r="AV7" s="22"/>
      <c r="AW7" s="22"/>
      <c r="AX7" s="22"/>
      <c r="AY7" s="22"/>
      <c r="AZ7" s="22"/>
      <c r="BA7" s="296"/>
      <c r="BB7" s="296"/>
      <c r="BC7" s="296"/>
      <c r="BD7" s="296"/>
      <c r="BE7" s="296"/>
      <c r="BF7" s="296"/>
      <c r="BG7" s="296"/>
      <c r="BH7" s="296"/>
      <c r="BI7" s="296"/>
    </row>
    <row r="8" spans="1:61" ht="13.2">
      <c r="A8" s="41">
        <f t="shared" si="0"/>
        <v>3</v>
      </c>
      <c r="B8" s="1" t="s">
        <v>239</v>
      </c>
      <c r="C8" s="42" t="str">
        <f ca="1">IFERROR(__xludf.DUMMYFUNCTION("GoogleFinance(B8,""name"")"),"Northrop Grumman Corp")</f>
        <v>Northrop Grumman Corp</v>
      </c>
      <c r="D8" s="43">
        <f ca="1">IFERROR(__xludf.DUMMYFUNCTION("GoogleFinance(B8,""marketcap"")/1000000"),70944.904104)</f>
        <v>70944.904104000001</v>
      </c>
      <c r="E8" s="21" t="s">
        <v>10</v>
      </c>
      <c r="F8" s="21" t="s">
        <v>238</v>
      </c>
      <c r="G8" s="46">
        <f ca="1">IFERROR(__xludf.DUMMYFUNCTION("GOOGLEFINANCE(B8)"),470.48)</f>
        <v>470.48</v>
      </c>
      <c r="H8" s="53">
        <v>450</v>
      </c>
      <c r="I8" s="51">
        <f ca="1">H8/G8-1</f>
        <v>-4.3530011902737642E-2</v>
      </c>
      <c r="J8" s="44">
        <v>540</v>
      </c>
      <c r="K8" s="95">
        <f ca="1">J8/G8-1</f>
        <v>0.14776398571671479</v>
      </c>
      <c r="L8" s="8">
        <f ca="1">IFERROR(__xludf.DUMMYFUNCTION("GoogleFinance(B8,""changepct"")/100"),-0.0087)</f>
        <v>-8.6999999999999994E-3</v>
      </c>
      <c r="M8" s="8" t="e">
        <f ca="1">G8/V9-1</f>
        <v>#DIV/0!</v>
      </c>
      <c r="N8" s="8" t="e">
        <f ca="1">G8/X9-1</f>
        <v>#DIV/0!</v>
      </c>
      <c r="O8" s="8" t="e">
        <f ca="1">G8/Z9-1</f>
        <v>#DIV/0!</v>
      </c>
      <c r="P8" s="8" t="e">
        <f ca="1">G8/AB9-1</f>
        <v>#DIV/0!</v>
      </c>
      <c r="Q8" s="8">
        <f ca="1">G8/AD9-1</f>
        <v>-0.13769908909294182</v>
      </c>
      <c r="R8" s="2"/>
      <c r="S8" s="2"/>
      <c r="T8" s="2"/>
      <c r="U8" s="2" t="str">
        <f ca="1">IFERROR(__xludf.DUMMYFUNCTION("GoogleFinance(B8,""price"",today()-7)"),"#N/A")</f>
        <v>#N/A</v>
      </c>
      <c r="V8" s="25"/>
      <c r="W8" s="2" t="str">
        <f ca="1">IFERROR(__xludf.DUMMYFUNCTION("GoogleFinance(B8,""price"",today()-31)"),"#N/A")</f>
        <v>#N/A</v>
      </c>
      <c r="X8" s="25"/>
      <c r="Y8" s="2" t="str">
        <f ca="1">IFERROR(__xludf.DUMMYFUNCTION("GoogleFinance(B8,""price"",today()-91)"),"#N/A")</f>
        <v>#N/A</v>
      </c>
      <c r="Z8" s="25"/>
      <c r="AA8" s="2" t="str">
        <f ca="1">IFERROR(__xludf.DUMMYFUNCTION("GoogleFinance(B8,""price"",today()-182)"),"#N/A")</f>
        <v>#N/A</v>
      </c>
      <c r="AB8" s="25"/>
      <c r="AC8" s="2" t="str">
        <f ca="1">IFERROR(__xludf.DUMMYFUNCTION("GoogleFinance(B8,""price"",DATE(2022,12,30))"),"Date")</f>
        <v>Date</v>
      </c>
      <c r="AD8" s="25" t="str">
        <f ca="1">IFERROR(__xludf.DUMMYFUNCTION("""COMPUTED_VALUE"""),"Close")</f>
        <v>Close</v>
      </c>
      <c r="AE8" s="5"/>
      <c r="AF8" s="5"/>
      <c r="AG8" s="5"/>
      <c r="AH8" s="5"/>
      <c r="AK8" s="5"/>
      <c r="AQ8" s="5"/>
      <c r="AR8" s="5"/>
      <c r="AS8" s="5"/>
      <c r="AT8" s="5"/>
      <c r="AU8" s="5"/>
      <c r="AV8" s="5"/>
      <c r="AW8" s="5"/>
      <c r="AX8" s="5"/>
      <c r="AY8" s="5"/>
      <c r="AZ8" s="5"/>
    </row>
    <row r="9" spans="1:61" ht="13.2" hidden="1">
      <c r="A9" s="41" t="e">
        <f t="shared" si="0"/>
        <v>#REF!</v>
      </c>
      <c r="B9" s="297"/>
      <c r="C9" s="298"/>
      <c r="D9" s="297"/>
      <c r="E9" s="297"/>
      <c r="F9" s="297"/>
      <c r="G9" s="299"/>
      <c r="H9" s="299"/>
      <c r="I9" s="300"/>
      <c r="J9" s="300"/>
      <c r="K9" s="300"/>
      <c r="L9" s="301"/>
      <c r="M9" s="301"/>
      <c r="N9" s="301"/>
      <c r="O9" s="301"/>
      <c r="P9" s="301"/>
      <c r="Q9" s="301"/>
      <c r="R9" s="20"/>
      <c r="S9" s="20"/>
      <c r="T9" s="20"/>
      <c r="U9" s="20"/>
      <c r="V9" s="19"/>
      <c r="W9" s="20"/>
      <c r="X9" s="19"/>
      <c r="Y9" s="20"/>
      <c r="Z9" s="19"/>
      <c r="AA9" s="20"/>
      <c r="AB9" s="19"/>
      <c r="AC9" s="20">
        <f ca="1">IFERROR(__xludf.DUMMYFUNCTION("""COMPUTED_VALUE"""),44925.6666666666)</f>
        <v>44925.666666666599</v>
      </c>
      <c r="AD9" s="19">
        <f ca="1">IFERROR(__xludf.DUMMYFUNCTION("""COMPUTED_VALUE"""),545.61)</f>
        <v>545.61</v>
      </c>
      <c r="AE9" s="22"/>
      <c r="AF9" s="22"/>
      <c r="AG9" s="22"/>
      <c r="AH9" s="22"/>
      <c r="AI9" s="296"/>
      <c r="AJ9" s="296"/>
      <c r="AK9" s="22"/>
      <c r="AL9" s="296"/>
      <c r="AM9" s="296"/>
      <c r="AN9" s="296"/>
      <c r="AO9" s="296"/>
      <c r="AP9" s="296"/>
      <c r="AQ9" s="22"/>
      <c r="AR9" s="22"/>
      <c r="AS9" s="22"/>
      <c r="AT9" s="22"/>
      <c r="AU9" s="22"/>
      <c r="AV9" s="22"/>
      <c r="AW9" s="22"/>
      <c r="AX9" s="22"/>
      <c r="AY9" s="22"/>
      <c r="AZ9" s="22"/>
      <c r="BA9" s="296"/>
      <c r="BB9" s="296"/>
      <c r="BC9" s="296"/>
      <c r="BD9" s="296"/>
      <c r="BE9" s="296"/>
      <c r="BF9" s="296"/>
      <c r="BG9" s="296"/>
      <c r="BH9" s="296"/>
      <c r="BI9" s="296"/>
    </row>
    <row r="10" spans="1:61" ht="13.2">
      <c r="A10" s="41">
        <f t="shared" si="0"/>
        <v>4</v>
      </c>
      <c r="B10" s="1" t="s">
        <v>70</v>
      </c>
      <c r="C10" s="42" t="str">
        <f ca="1">IFERROR(__xludf.DUMMYFUNCTION("GoogleFinance(B10,""name"")"),"UnitedHealth Group Inc")</f>
        <v>UnitedHealth Group Inc</v>
      </c>
      <c r="D10" s="43">
        <f ca="1">IFERROR(__xludf.DUMMYFUNCTION("GoogleFinance(B10,""marketcap"")/1000000"),465755.381809)</f>
        <v>465755.38180899998</v>
      </c>
      <c r="E10" s="21" t="s">
        <v>15</v>
      </c>
      <c r="F10" s="21" t="s">
        <v>120</v>
      </c>
      <c r="G10" s="46">
        <f ca="1">IFERROR(__xludf.DUMMYFUNCTION("GOOGLEFINANCE(B10)"),503.56)</f>
        <v>503.56</v>
      </c>
      <c r="H10" s="53">
        <v>490</v>
      </c>
      <c r="I10" s="51">
        <f ca="1">H10/G10-1</f>
        <v>-2.6928270712526792E-2</v>
      </c>
      <c r="J10" s="44">
        <v>620</v>
      </c>
      <c r="K10" s="95">
        <f ca="1">J10/G10-1</f>
        <v>0.23123361664945596</v>
      </c>
      <c r="L10" s="8">
        <f ca="1">IFERROR(__xludf.DUMMYFUNCTION("GoogleFinance(B10,""changepct"")/100"),-0.0248)</f>
        <v>-2.4799999999999999E-2</v>
      </c>
      <c r="M10" s="8" t="e">
        <f ca="1">G10/V11-1</f>
        <v>#DIV/0!</v>
      </c>
      <c r="N10" s="8" t="e">
        <f ca="1">G10/X11-1</f>
        <v>#DIV/0!</v>
      </c>
      <c r="O10" s="8" t="e">
        <f ca="1">G10/Z11-1</f>
        <v>#DIV/0!</v>
      </c>
      <c r="P10" s="8" t="e">
        <f ca="1">G10/AB11-1</f>
        <v>#DIV/0!</v>
      </c>
      <c r="Q10" s="8">
        <f ca="1">G10/AD11-1</f>
        <v>-5.0209362857897233E-2</v>
      </c>
      <c r="R10" s="2"/>
      <c r="S10" s="2"/>
      <c r="T10" s="2"/>
      <c r="U10" s="2" t="str">
        <f ca="1">IFERROR(__xludf.DUMMYFUNCTION("GoogleFinance(B10,""price"",today()-7)"),"#N/A")</f>
        <v>#N/A</v>
      </c>
      <c r="V10" s="25"/>
      <c r="W10" s="2" t="str">
        <f ca="1">IFERROR(__xludf.DUMMYFUNCTION("GoogleFinance(B10,""price"",today()-31)"),"#N/A")</f>
        <v>#N/A</v>
      </c>
      <c r="X10" s="25"/>
      <c r="Y10" s="2" t="str">
        <f ca="1">IFERROR(__xludf.DUMMYFUNCTION("GoogleFinance(B10,""price"",today()-91)"),"#N/A")</f>
        <v>#N/A</v>
      </c>
      <c r="Z10" s="25"/>
      <c r="AA10" s="2" t="str">
        <f ca="1">IFERROR(__xludf.DUMMYFUNCTION("GoogleFinance(B10,""price"",today()-182)"),"#N/A")</f>
        <v>#N/A</v>
      </c>
      <c r="AB10" s="25"/>
      <c r="AC10" s="2" t="str">
        <f ca="1">IFERROR(__xludf.DUMMYFUNCTION("GoogleFinance(B10,""price"",DATE(2022,12,30))"),"Date")</f>
        <v>Date</v>
      </c>
      <c r="AD10" s="25" t="str">
        <f ca="1">IFERROR(__xludf.DUMMYFUNCTION("""COMPUTED_VALUE"""),"Close")</f>
        <v>Close</v>
      </c>
      <c r="AE10" s="5"/>
      <c r="AF10" s="5"/>
      <c r="AG10" s="5"/>
      <c r="AH10" s="5"/>
      <c r="AK10" s="5"/>
      <c r="AQ10" s="5"/>
      <c r="AR10" s="5"/>
      <c r="AS10" s="5"/>
      <c r="AT10" s="5"/>
      <c r="AU10" s="5"/>
      <c r="AV10" s="5"/>
      <c r="AW10" s="5"/>
      <c r="AX10" s="5"/>
      <c r="AY10" s="5"/>
      <c r="AZ10" s="5"/>
    </row>
    <row r="11" spans="1:61" ht="13.2" hidden="1">
      <c r="A11" s="66" t="e">
        <f>1+A7</f>
        <v>#REF!</v>
      </c>
      <c r="B11" s="297"/>
      <c r="C11" s="298"/>
      <c r="D11" s="297"/>
      <c r="E11" s="297"/>
      <c r="F11" s="297"/>
      <c r="G11" s="299"/>
      <c r="H11" s="299"/>
      <c r="I11" s="300"/>
      <c r="J11" s="300"/>
      <c r="K11" s="300"/>
      <c r="L11" s="301"/>
      <c r="M11" s="301"/>
      <c r="N11" s="301"/>
      <c r="O11" s="301"/>
      <c r="P11" s="301"/>
      <c r="Q11" s="301"/>
      <c r="R11" s="20"/>
      <c r="S11" s="20"/>
      <c r="T11" s="20"/>
      <c r="U11" s="20"/>
      <c r="V11" s="19"/>
      <c r="W11" s="20"/>
      <c r="X11" s="19"/>
      <c r="Y11" s="20"/>
      <c r="Z11" s="19"/>
      <c r="AA11" s="20"/>
      <c r="AB11" s="19"/>
      <c r="AC11" s="20">
        <f ca="1">IFERROR(__xludf.DUMMYFUNCTION("""COMPUTED_VALUE"""),44925.6666666666)</f>
        <v>44925.666666666599</v>
      </c>
      <c r="AD11" s="19">
        <f ca="1">IFERROR(__xludf.DUMMYFUNCTION("""COMPUTED_VALUE"""),530.18)</f>
        <v>530.17999999999995</v>
      </c>
      <c r="AE11" s="22"/>
      <c r="AF11" s="22"/>
      <c r="AG11" s="22"/>
      <c r="AH11" s="22"/>
      <c r="AI11" s="296"/>
      <c r="AJ11" s="296"/>
      <c r="AK11" s="22"/>
      <c r="AL11" s="296"/>
      <c r="AM11" s="296"/>
      <c r="AN11" s="296"/>
      <c r="AO11" s="296"/>
      <c r="AP11" s="296"/>
      <c r="AQ11" s="22"/>
      <c r="AR11" s="22"/>
      <c r="AS11" s="22"/>
      <c r="AT11" s="22"/>
      <c r="AU11" s="22"/>
      <c r="AV11" s="22"/>
      <c r="AW11" s="22"/>
      <c r="AX11" s="22"/>
      <c r="AY11" s="22"/>
      <c r="AZ11" s="22"/>
      <c r="BA11" s="296"/>
      <c r="BB11" s="296"/>
      <c r="BC11" s="296"/>
      <c r="BD11" s="296"/>
      <c r="BE11" s="296"/>
      <c r="BF11" s="296"/>
      <c r="BG11" s="296"/>
      <c r="BH11" s="296"/>
      <c r="BI11" s="296"/>
    </row>
    <row r="12" spans="1:61" ht="13.2">
      <c r="A12" s="41">
        <f>1+A10</f>
        <v>5</v>
      </c>
      <c r="B12" s="1" t="s">
        <v>240</v>
      </c>
      <c r="C12" s="42" t="str">
        <f ca="1">IFERROR(__xludf.DUMMYFUNCTION("GoogleFinance(B12,""name"")"),"Verizon Communications Inc.")</f>
        <v>Verizon Communications Inc.</v>
      </c>
      <c r="D12" s="43">
        <f ca="1">IFERROR(__xludf.DUMMYFUNCTION("GoogleFinance(B12,""marketcap"")/1000000"),165347.260697)</f>
        <v>165347.26069699999</v>
      </c>
      <c r="E12" s="44" t="s">
        <v>12</v>
      </c>
      <c r="F12" s="44" t="s">
        <v>120</v>
      </c>
      <c r="G12" s="46">
        <f ca="1">IFERROR(__xludf.DUMMYFUNCTION("GOOGLEFINANCE(B12)"),39.33)</f>
        <v>39.33</v>
      </c>
      <c r="H12" s="53">
        <v>35</v>
      </c>
      <c r="I12" s="51">
        <f ca="1">H12/G12-1</f>
        <v>-0.11009407576913299</v>
      </c>
      <c r="J12" s="44">
        <v>47</v>
      </c>
      <c r="K12" s="95">
        <f ca="1">J12/G12-1</f>
        <v>0.19501652682430715</v>
      </c>
      <c r="L12" s="8">
        <f ca="1">IFERROR(__xludf.DUMMYFUNCTION("GoogleFinance(B12,""changepct"")/100"),0.01)</f>
        <v>0.01</v>
      </c>
      <c r="M12" s="8" t="e">
        <f ca="1">G12/V13-1</f>
        <v>#DIV/0!</v>
      </c>
      <c r="N12" s="8" t="e">
        <f ca="1">G12/X13-1</f>
        <v>#DIV/0!</v>
      </c>
      <c r="O12" s="8" t="e">
        <f ca="1">G12/Z13-1</f>
        <v>#DIV/0!</v>
      </c>
      <c r="P12" s="8" t="e">
        <f ca="1">G12/AB13-1</f>
        <v>#DIV/0!</v>
      </c>
      <c r="Q12" s="8">
        <f ca="1">G12/AD13-1</f>
        <v>-1.7766497461928488E-3</v>
      </c>
      <c r="R12" s="2"/>
      <c r="S12" s="2"/>
      <c r="T12" s="2"/>
      <c r="U12" s="2" t="str">
        <f ca="1">IFERROR(__xludf.DUMMYFUNCTION("GoogleFinance(B12,""price"",today()-7)"),"#N/A")</f>
        <v>#N/A</v>
      </c>
      <c r="V12" s="19"/>
      <c r="W12" s="2" t="str">
        <f ca="1">IFERROR(__xludf.DUMMYFUNCTION("GoogleFinance(B12,""price"",today()-31)"),"#N/A")</f>
        <v>#N/A</v>
      </c>
      <c r="X12" s="19"/>
      <c r="Y12" s="2" t="str">
        <f ca="1">IFERROR(__xludf.DUMMYFUNCTION("GoogleFinance(B12,""price"",today()-91)"),"#N/A")</f>
        <v>#N/A</v>
      </c>
      <c r="Z12" s="19"/>
      <c r="AA12" s="2" t="str">
        <f ca="1">IFERROR(__xludf.DUMMYFUNCTION("GoogleFinance(B12,""price"",today()-182)"),"#N/A")</f>
        <v>#N/A</v>
      </c>
      <c r="AB12" s="19"/>
      <c r="AC12" s="2" t="str">
        <f ca="1">IFERROR(__xludf.DUMMYFUNCTION("GoogleFinance(B12,""price"",DATE(2022,12,30))"),"Date")</f>
        <v>Date</v>
      </c>
      <c r="AD12" s="19" t="str">
        <f ca="1">IFERROR(__xludf.DUMMYFUNCTION("""COMPUTED_VALUE"""),"Close")</f>
        <v>Close</v>
      </c>
      <c r="AE12" s="5"/>
      <c r="AF12" s="5"/>
      <c r="AG12" s="5"/>
      <c r="AH12" s="5"/>
      <c r="AI12" s="296"/>
      <c r="AJ12" s="296"/>
      <c r="AK12" s="5"/>
      <c r="AL12" s="296"/>
      <c r="AM12" s="296"/>
      <c r="AN12" s="296"/>
      <c r="AO12" s="296"/>
      <c r="AP12" s="296"/>
      <c r="AQ12" s="5"/>
      <c r="AR12" s="5"/>
      <c r="AS12" s="5"/>
      <c r="AT12" s="5"/>
      <c r="AU12" s="5"/>
      <c r="AV12" s="5"/>
      <c r="AW12" s="5"/>
      <c r="AX12" s="5"/>
      <c r="AY12" s="5"/>
      <c r="AZ12" s="5"/>
      <c r="BA12" s="296"/>
      <c r="BB12" s="296"/>
      <c r="BC12" s="296"/>
      <c r="BD12" s="296"/>
      <c r="BE12" s="296"/>
      <c r="BF12" s="296"/>
      <c r="BG12" s="296"/>
      <c r="BH12" s="296"/>
      <c r="BI12" s="296"/>
    </row>
    <row r="13" spans="1:61" ht="13.2" hidden="1">
      <c r="A13" s="167"/>
      <c r="B13" s="445"/>
      <c r="C13" s="446"/>
      <c r="D13" s="447"/>
      <c r="E13" s="448"/>
      <c r="F13" s="448"/>
      <c r="G13" s="310"/>
      <c r="H13" s="310"/>
      <c r="I13" s="449"/>
      <c r="J13" s="449"/>
      <c r="K13" s="449"/>
      <c r="L13" s="450"/>
      <c r="M13" s="451"/>
      <c r="N13" s="451"/>
      <c r="O13" s="451"/>
      <c r="P13" s="451"/>
      <c r="Q13" s="451"/>
      <c r="R13" s="20"/>
      <c r="S13" s="20"/>
      <c r="T13" s="20"/>
      <c r="U13" s="20"/>
      <c r="V13" s="19"/>
      <c r="W13" s="20"/>
      <c r="X13" s="19"/>
      <c r="Y13" s="20"/>
      <c r="Z13" s="19"/>
      <c r="AA13" s="20"/>
      <c r="AB13" s="19"/>
      <c r="AC13" s="20">
        <f ca="1">IFERROR(__xludf.DUMMYFUNCTION("""COMPUTED_VALUE"""),44925.6666666666)</f>
        <v>44925.666666666599</v>
      </c>
      <c r="AD13" s="19">
        <f ca="1">IFERROR(__xludf.DUMMYFUNCTION("""COMPUTED_VALUE"""),39.4)</f>
        <v>39.4</v>
      </c>
      <c r="AE13" s="22"/>
      <c r="AF13" s="22"/>
      <c r="AG13" s="22"/>
      <c r="AH13" s="22"/>
      <c r="AI13" s="296"/>
      <c r="AJ13" s="296"/>
      <c r="AK13" s="22"/>
      <c r="AL13" s="296"/>
      <c r="AM13" s="296"/>
      <c r="AN13" s="296"/>
      <c r="AO13" s="296"/>
      <c r="AP13" s="296"/>
      <c r="AQ13" s="22"/>
      <c r="AR13" s="22"/>
      <c r="AS13" s="22"/>
      <c r="AT13" s="22"/>
      <c r="AU13" s="22"/>
      <c r="AV13" s="22"/>
      <c r="AW13" s="22"/>
      <c r="AX13" s="22"/>
      <c r="AY13" s="22"/>
      <c r="AZ13" s="22"/>
      <c r="BA13" s="296"/>
      <c r="BB13" s="296"/>
      <c r="BC13" s="296"/>
      <c r="BD13" s="296"/>
      <c r="BE13" s="296"/>
      <c r="BF13" s="296"/>
      <c r="BG13" s="296"/>
      <c r="BH13" s="296"/>
      <c r="BI13" s="296"/>
    </row>
    <row r="14" spans="1:61" ht="13.2">
      <c r="A14" s="41">
        <f>1+A12</f>
        <v>6</v>
      </c>
      <c r="B14" s="1" t="s">
        <v>241</v>
      </c>
      <c r="C14" s="42" t="str">
        <f ca="1">IFERROR(__xludf.DUMMYFUNCTION("GoogleFinance(B14,""name"")"),"Crowdstrike Holdings Inc")</f>
        <v>Crowdstrike Holdings Inc</v>
      </c>
      <c r="D14" s="43">
        <f ca="1">IFERROR(__xludf.DUMMYFUNCTION("GoogleFinance(B14,""marketcap"")/1000000"),69771.64319)</f>
        <v>69771.643190000003</v>
      </c>
      <c r="E14" s="44" t="s">
        <v>7</v>
      </c>
      <c r="F14" s="44" t="s">
        <v>242</v>
      </c>
      <c r="G14" s="46">
        <f ca="1">IFERROR(__xludf.DUMMYFUNCTION("GOOGLEFINANCE(B14)"),290.54)</f>
        <v>290.54000000000002</v>
      </c>
      <c r="H14" s="53">
        <v>205</v>
      </c>
      <c r="I14" s="51">
        <f ca="1">H14/G14-1</f>
        <v>-0.2944172919391479</v>
      </c>
      <c r="J14" s="44">
        <v>300</v>
      </c>
      <c r="K14" s="95">
        <f ca="1">J14/G14-1</f>
        <v>3.2560060576856786E-2</v>
      </c>
      <c r="L14" s="8">
        <f ca="1">IFERROR(__xludf.DUMMYFUNCTION("GoogleFinance(B14,""changepct"")/100"),0.0262)</f>
        <v>2.6200000000000001E-2</v>
      </c>
      <c r="M14" s="8" t="e">
        <f ca="1">G14/V15-1</f>
        <v>#DIV/0!</v>
      </c>
      <c r="N14" s="8" t="e">
        <f ca="1">G14/X15-1</f>
        <v>#DIV/0!</v>
      </c>
      <c r="O14" s="8" t="e">
        <f ca="1">G14/Z15-1</f>
        <v>#DIV/0!</v>
      </c>
      <c r="P14" s="8" t="e">
        <f ca="1">G14/AB15-1</f>
        <v>#DIV/0!</v>
      </c>
      <c r="Q14" s="8">
        <f ca="1">G14/AD15-1</f>
        <v>1.7594263462816984</v>
      </c>
      <c r="R14" s="2"/>
      <c r="S14" s="2"/>
      <c r="T14" s="2"/>
      <c r="U14" s="2" t="str">
        <f ca="1">IFERROR(__xludf.DUMMYFUNCTION("GoogleFinance(B14,""price"",today()-7)"),"#N/A")</f>
        <v>#N/A</v>
      </c>
      <c r="V14" s="19"/>
      <c r="W14" s="2" t="str">
        <f ca="1">IFERROR(__xludf.DUMMYFUNCTION("GoogleFinance(B14,""price"",today()-31)"),"#N/A")</f>
        <v>#N/A</v>
      </c>
      <c r="X14" s="19"/>
      <c r="Y14" s="2" t="str">
        <f ca="1">IFERROR(__xludf.DUMMYFUNCTION("GoogleFinance(B14,""price"",today()-91)"),"#N/A")</f>
        <v>#N/A</v>
      </c>
      <c r="Z14" s="19"/>
      <c r="AA14" s="2" t="str">
        <f ca="1">IFERROR(__xludf.DUMMYFUNCTION("GoogleFinance(B14,""price"",today()-182)"),"#N/A")</f>
        <v>#N/A</v>
      </c>
      <c r="AB14" s="19"/>
      <c r="AC14" s="2" t="str">
        <f ca="1">IFERROR(__xludf.DUMMYFUNCTION("GoogleFinance(B14,""price"",DATE(2022,12,30))"),"Date")</f>
        <v>Date</v>
      </c>
      <c r="AD14" s="19" t="str">
        <f ca="1">IFERROR(__xludf.DUMMYFUNCTION("""COMPUTED_VALUE"""),"Close")</f>
        <v>Close</v>
      </c>
      <c r="AE14" s="5"/>
      <c r="AF14" s="5"/>
      <c r="AG14" s="5"/>
      <c r="AH14" s="5"/>
      <c r="AI14" s="296"/>
      <c r="AJ14" s="296"/>
      <c r="AK14" s="5"/>
      <c r="AL14" s="296"/>
      <c r="AM14" s="296"/>
      <c r="AN14" s="296"/>
      <c r="AO14" s="296"/>
      <c r="AP14" s="296"/>
      <c r="AQ14" s="5"/>
      <c r="AR14" s="5"/>
      <c r="AS14" s="5"/>
      <c r="AT14" s="5"/>
      <c r="AU14" s="5"/>
      <c r="AV14" s="5"/>
      <c r="AW14" s="5"/>
      <c r="AX14" s="5"/>
      <c r="AY14" s="5"/>
      <c r="AZ14" s="5"/>
      <c r="BA14" s="296"/>
      <c r="BB14" s="296"/>
      <c r="BC14" s="296"/>
      <c r="BD14" s="296"/>
      <c r="BE14" s="296"/>
      <c r="BF14" s="296"/>
      <c r="BG14" s="296"/>
      <c r="BH14" s="296"/>
      <c r="BI14" s="296"/>
    </row>
    <row r="15" spans="1:61" ht="13.2" hidden="1">
      <c r="A15" s="167"/>
      <c r="B15" s="445"/>
      <c r="C15" s="446"/>
      <c r="D15" s="447"/>
      <c r="E15" s="448"/>
      <c r="F15" s="448"/>
      <c r="G15" s="310"/>
      <c r="H15" s="310"/>
      <c r="I15" s="449"/>
      <c r="J15" s="449"/>
      <c r="K15" s="449"/>
      <c r="L15" s="450"/>
      <c r="M15" s="451"/>
      <c r="N15" s="451"/>
      <c r="O15" s="451"/>
      <c r="P15" s="451"/>
      <c r="Q15" s="451"/>
      <c r="R15" s="20"/>
      <c r="S15" s="20"/>
      <c r="T15" s="20"/>
      <c r="U15" s="20"/>
      <c r="V15" s="19"/>
      <c r="W15" s="20"/>
      <c r="X15" s="19"/>
      <c r="Y15" s="20"/>
      <c r="Z15" s="19"/>
      <c r="AA15" s="20"/>
      <c r="AB15" s="19"/>
      <c r="AC15" s="20">
        <f ca="1">IFERROR(__xludf.DUMMYFUNCTION("""COMPUTED_VALUE"""),44925.6666666666)</f>
        <v>44925.666666666599</v>
      </c>
      <c r="AD15" s="19">
        <f ca="1">IFERROR(__xludf.DUMMYFUNCTION("""COMPUTED_VALUE"""),105.29)</f>
        <v>105.29</v>
      </c>
      <c r="AE15" s="22"/>
      <c r="AF15" s="22"/>
      <c r="AG15" s="22"/>
      <c r="AH15" s="22"/>
      <c r="AI15" s="296"/>
      <c r="AJ15" s="296"/>
      <c r="AK15" s="22"/>
      <c r="AL15" s="296"/>
      <c r="AM15" s="296"/>
      <c r="AN15" s="296"/>
      <c r="AO15" s="296"/>
      <c r="AP15" s="296"/>
      <c r="AQ15" s="22"/>
      <c r="AR15" s="22"/>
      <c r="AS15" s="22"/>
      <c r="AT15" s="22"/>
      <c r="AU15" s="22"/>
      <c r="AV15" s="22"/>
      <c r="AW15" s="22"/>
      <c r="AX15" s="22"/>
      <c r="AY15" s="22"/>
      <c r="AZ15" s="22"/>
      <c r="BA15" s="296"/>
      <c r="BB15" s="296"/>
      <c r="BC15" s="296"/>
      <c r="BD15" s="296"/>
      <c r="BE15" s="296"/>
      <c r="BF15" s="296"/>
      <c r="BG15" s="296"/>
      <c r="BH15" s="296"/>
      <c r="BI15" s="296"/>
    </row>
    <row r="16" spans="1:61" ht="13.2">
      <c r="A16" s="41">
        <f>1+A14</f>
        <v>7</v>
      </c>
      <c r="B16" s="1" t="s">
        <v>243</v>
      </c>
      <c r="C16" s="42" t="str">
        <f ca="1">IFERROR(__xludf.DUMMYFUNCTION("GoogleFinance(B16,""name"")"),"Smith &amp; Wesson Brands Inc")</f>
        <v>Smith &amp; Wesson Brands Inc</v>
      </c>
      <c r="D16" s="43">
        <f ca="1">IFERROR(__xludf.DUMMYFUNCTION("GoogleFinance(B16,""marketcap"")/1000000"),599.24467)</f>
        <v>599.24467000000004</v>
      </c>
      <c r="E16" s="44" t="s">
        <v>10</v>
      </c>
      <c r="F16" s="44"/>
      <c r="G16" s="46">
        <f ca="1">IFERROR(__xludf.DUMMYFUNCTION("GOOGLEFINANCE(B16)"),13.13)</f>
        <v>13.13</v>
      </c>
      <c r="H16" s="53">
        <v>13</v>
      </c>
      <c r="I16" s="51">
        <f ca="1">H16/G16-1</f>
        <v>-9.9009900990099098E-3</v>
      </c>
      <c r="J16" s="44">
        <v>17</v>
      </c>
      <c r="K16" s="95">
        <f ca="1">J16/G16-1</f>
        <v>0.29474485910129467</v>
      </c>
      <c r="L16" s="8">
        <f ca="1">IFERROR(__xludf.DUMMYFUNCTION("GoogleFinance(B16,""changepct"")/100"),0.00609999999999999)</f>
        <v>6.09999999999999E-3</v>
      </c>
      <c r="M16" s="8" t="e">
        <f ca="1">G16/V17-1</f>
        <v>#DIV/0!</v>
      </c>
      <c r="N16" s="8" t="e">
        <f ca="1">G16/X17-1</f>
        <v>#DIV/0!</v>
      </c>
      <c r="O16" s="8" t="e">
        <f ca="1">G16/Z17-1</f>
        <v>#DIV/0!</v>
      </c>
      <c r="P16" s="8" t="e">
        <f ca="1">G16/AB17-1</f>
        <v>#DIV/0!</v>
      </c>
      <c r="Q16" s="8">
        <f ca="1">G16/AD17-1</f>
        <v>0.51267281105990792</v>
      </c>
      <c r="R16" s="2"/>
      <c r="S16" s="2"/>
      <c r="T16" s="2"/>
      <c r="U16" s="2" t="str">
        <f ca="1">IFERROR(__xludf.DUMMYFUNCTION("GoogleFinance(B16,""price"",today()-7)"),"#N/A")</f>
        <v>#N/A</v>
      </c>
      <c r="V16" s="19"/>
      <c r="W16" s="2" t="str">
        <f ca="1">IFERROR(__xludf.DUMMYFUNCTION("GoogleFinance(B16,""price"",today()-31)"),"#N/A")</f>
        <v>#N/A</v>
      </c>
      <c r="X16" s="19"/>
      <c r="Y16" s="2" t="str">
        <f ca="1">IFERROR(__xludf.DUMMYFUNCTION("GoogleFinance(B16,""price"",today()-91)"),"#N/A")</f>
        <v>#N/A</v>
      </c>
      <c r="Z16" s="19"/>
      <c r="AA16" s="2" t="str">
        <f ca="1">IFERROR(__xludf.DUMMYFUNCTION("GoogleFinance(B16,""price"",today()-182)"),"#N/A")</f>
        <v>#N/A</v>
      </c>
      <c r="AB16" s="19"/>
      <c r="AC16" s="2" t="str">
        <f ca="1">IFERROR(__xludf.DUMMYFUNCTION("GoogleFinance(B16,""price"",DATE(2022,12,30))"),"Date")</f>
        <v>Date</v>
      </c>
      <c r="AD16" s="19" t="str">
        <f ca="1">IFERROR(__xludf.DUMMYFUNCTION("""COMPUTED_VALUE"""),"Close")</f>
        <v>Close</v>
      </c>
      <c r="AE16" s="5"/>
      <c r="AF16" s="5"/>
      <c r="AG16" s="5"/>
      <c r="AH16" s="5"/>
      <c r="AI16" s="296"/>
      <c r="AJ16" s="296"/>
      <c r="AK16" s="5"/>
      <c r="AL16" s="296"/>
      <c r="AM16" s="296"/>
      <c r="AN16" s="296"/>
      <c r="AO16" s="296"/>
      <c r="AP16" s="296"/>
      <c r="AQ16" s="5"/>
      <c r="AR16" s="5"/>
      <c r="AS16" s="5"/>
      <c r="AT16" s="5"/>
      <c r="AU16" s="5"/>
      <c r="AV16" s="5"/>
      <c r="AW16" s="5"/>
      <c r="AX16" s="5"/>
      <c r="AY16" s="5"/>
      <c r="AZ16" s="5"/>
      <c r="BA16" s="296"/>
      <c r="BB16" s="296"/>
      <c r="BC16" s="296"/>
      <c r="BD16" s="296"/>
      <c r="BE16" s="296"/>
      <c r="BF16" s="296"/>
      <c r="BG16" s="296"/>
      <c r="BH16" s="296"/>
      <c r="BI16" s="296"/>
    </row>
    <row r="17" spans="1:61" ht="13.2">
      <c r="A17" s="167"/>
      <c r="B17" s="445"/>
      <c r="C17" s="446"/>
      <c r="D17" s="447"/>
      <c r="E17" s="448"/>
      <c r="F17" s="448"/>
      <c r="G17" s="310"/>
      <c r="H17" s="310"/>
      <c r="I17" s="449"/>
      <c r="J17" s="449"/>
      <c r="K17" s="449"/>
      <c r="L17" s="450"/>
      <c r="M17" s="451"/>
      <c r="N17" s="451"/>
      <c r="O17" s="451"/>
      <c r="P17" s="451"/>
      <c r="Q17" s="451"/>
      <c r="R17" s="20"/>
      <c r="S17" s="20"/>
      <c r="T17" s="20"/>
      <c r="U17" s="20"/>
      <c r="V17" s="19"/>
      <c r="W17" s="20"/>
      <c r="X17" s="19"/>
      <c r="Y17" s="20"/>
      <c r="Z17" s="19"/>
      <c r="AA17" s="20"/>
      <c r="AB17" s="19"/>
      <c r="AC17" s="20">
        <f ca="1">IFERROR(__xludf.DUMMYFUNCTION("""COMPUTED_VALUE"""),44925.6666666666)</f>
        <v>44925.666666666599</v>
      </c>
      <c r="AD17" s="19">
        <f ca="1">IFERROR(__xludf.DUMMYFUNCTION("""COMPUTED_VALUE"""),8.68)</f>
        <v>8.68</v>
      </c>
      <c r="AE17" s="22"/>
      <c r="AF17" s="22"/>
      <c r="AG17" s="22"/>
      <c r="AH17" s="22"/>
      <c r="AI17" s="296"/>
      <c r="AJ17" s="296"/>
      <c r="AK17" s="22"/>
      <c r="AL17" s="296"/>
      <c r="AM17" s="296"/>
      <c r="AN17" s="296"/>
      <c r="AO17" s="296"/>
      <c r="AP17" s="296"/>
      <c r="AQ17" s="22"/>
      <c r="AR17" s="22"/>
      <c r="AS17" s="22"/>
      <c r="AT17" s="22"/>
      <c r="AU17" s="22"/>
      <c r="AV17" s="22"/>
      <c r="AW17" s="22"/>
      <c r="AX17" s="22"/>
      <c r="AY17" s="22"/>
      <c r="AZ17" s="22"/>
      <c r="BA17" s="296"/>
      <c r="BB17" s="296"/>
      <c r="BC17" s="296"/>
      <c r="BD17" s="296"/>
      <c r="BE17" s="296"/>
      <c r="BF17" s="296"/>
      <c r="BG17" s="296"/>
      <c r="BH17" s="296"/>
      <c r="BI17" s="296"/>
    </row>
    <row r="18" spans="1:61" ht="13.2">
      <c r="A18" s="167"/>
      <c r="B18" s="302" t="s">
        <v>244</v>
      </c>
      <c r="C18" s="303"/>
      <c r="D18" s="304"/>
      <c r="E18" s="305"/>
      <c r="F18" s="305"/>
      <c r="G18" s="306"/>
      <c r="H18" s="306"/>
      <c r="I18" s="306"/>
      <c r="J18" s="306"/>
      <c r="K18" s="306"/>
      <c r="L18" s="306"/>
      <c r="M18" s="306"/>
      <c r="N18" s="306"/>
      <c r="O18" s="306"/>
      <c r="P18" s="306"/>
      <c r="Q18" s="306"/>
      <c r="R18" s="20"/>
      <c r="S18" s="20"/>
      <c r="T18" s="20"/>
      <c r="U18" s="20"/>
      <c r="V18" s="25"/>
      <c r="W18" s="20"/>
      <c r="X18" s="25"/>
      <c r="Y18" s="20"/>
      <c r="Z18" s="25"/>
      <c r="AA18" s="20"/>
      <c r="AB18" s="25"/>
      <c r="AC18" s="20"/>
      <c r="AD18" s="25"/>
      <c r="AE18" s="22"/>
      <c r="AF18" s="22"/>
      <c r="AG18" s="22"/>
      <c r="AH18" s="22"/>
      <c r="AK18" s="22"/>
      <c r="AQ18" s="22"/>
      <c r="AR18" s="22"/>
      <c r="AS18" s="22"/>
      <c r="AT18" s="22"/>
      <c r="AU18" s="22"/>
      <c r="AV18" s="22"/>
      <c r="AW18" s="22"/>
      <c r="AX18" s="22"/>
      <c r="AY18" s="22"/>
      <c r="AZ18" s="22"/>
    </row>
    <row r="19" spans="1:61" ht="13.2">
      <c r="A19" s="41">
        <v>1</v>
      </c>
      <c r="B19" s="1" t="s">
        <v>245</v>
      </c>
      <c r="C19" s="42" t="str">
        <f ca="1">IFERROR(__xludf.DUMMYFUNCTION("GoogleFinance(B19,""name"")"),"Equinor ASA")</f>
        <v>Equinor ASA</v>
      </c>
      <c r="D19" s="43">
        <f ca="1">IFERROR(__xludf.DUMMYFUNCTION("GoogleFinance(B19,""marketcap"")/1000000"),85693.745299)</f>
        <v>85693.745299000002</v>
      </c>
      <c r="E19" s="44" t="s">
        <v>14</v>
      </c>
      <c r="F19" s="44" t="s">
        <v>116</v>
      </c>
      <c r="G19" s="46">
        <f ca="1">IFERROR(__xludf.DUMMYFUNCTION("GOOGLEFINANCE(B19)"),28.33)</f>
        <v>28.33</v>
      </c>
      <c r="H19" s="53">
        <v>30.2</v>
      </c>
      <c r="I19" s="51">
        <f ca="1">H19/G19-1</f>
        <v>6.6007765619484626E-2</v>
      </c>
      <c r="J19" s="44">
        <v>37</v>
      </c>
      <c r="K19" s="95">
        <f ca="1">J19/G19-1</f>
        <v>0.30603600423579258</v>
      </c>
      <c r="L19" s="8">
        <f ca="1">IFERROR(__xludf.DUMMYFUNCTION("GoogleFinance(B19,""changepct"")/100"),-0.0056)</f>
        <v>-5.5999999999999999E-3</v>
      </c>
      <c r="M19" s="8" t="e">
        <f ca="1">G19/V20-1</f>
        <v>#DIV/0!</v>
      </c>
      <c r="N19" s="8" t="e">
        <f ca="1">G19/X20-1</f>
        <v>#DIV/0!</v>
      </c>
      <c r="O19" s="8" t="e">
        <f ca="1">G19/Z20-1</f>
        <v>#DIV/0!</v>
      </c>
      <c r="P19" s="8" t="e">
        <f ca="1">G19/AB20-1</f>
        <v>#DIV/0!</v>
      </c>
      <c r="Q19" s="8">
        <f ca="1">G19/AD20-1</f>
        <v>-0.20888020106115623</v>
      </c>
      <c r="R19" s="2"/>
      <c r="S19" s="2"/>
      <c r="T19" s="2"/>
      <c r="U19" s="2" t="str">
        <f ca="1">IFERROR(__xludf.DUMMYFUNCTION("GoogleFinance(B19,""price"",today()-7)"),"#N/A")</f>
        <v>#N/A</v>
      </c>
      <c r="V19" s="25"/>
      <c r="W19" s="2" t="str">
        <f ca="1">IFERROR(__xludf.DUMMYFUNCTION("GoogleFinance(B19,""price"",today()-31)"),"#N/A")</f>
        <v>#N/A</v>
      </c>
      <c r="X19" s="25"/>
      <c r="Y19" s="2" t="str">
        <f ca="1">IFERROR(__xludf.DUMMYFUNCTION("GoogleFinance(B19,""price"",today()-91)"),"#N/A")</f>
        <v>#N/A</v>
      </c>
      <c r="Z19" s="25"/>
      <c r="AA19" s="2" t="str">
        <f ca="1">IFERROR(__xludf.DUMMYFUNCTION("GoogleFinance(B19,""price"",today()-182)"),"#N/A")</f>
        <v>#N/A</v>
      </c>
      <c r="AB19" s="25"/>
      <c r="AC19" s="2" t="str">
        <f ca="1">IFERROR(__xludf.DUMMYFUNCTION("GoogleFinance(B19,""price"",DATE(2022,12,30))"),"Date")</f>
        <v>Date</v>
      </c>
      <c r="AD19" s="25" t="str">
        <f ca="1">IFERROR(__xludf.DUMMYFUNCTION("""COMPUTED_VALUE"""),"Close")</f>
        <v>Close</v>
      </c>
      <c r="AE19" s="5"/>
      <c r="AF19" s="5"/>
      <c r="AG19" s="5"/>
      <c r="AH19" s="5"/>
      <c r="AK19" s="5"/>
      <c r="AQ19" s="5"/>
      <c r="AR19" s="5"/>
      <c r="AS19" s="5"/>
      <c r="AT19" s="5"/>
      <c r="AU19" s="5"/>
      <c r="AV19" s="5"/>
      <c r="AW19" s="5"/>
      <c r="AX19" s="5"/>
      <c r="AY19" s="5"/>
      <c r="AZ19" s="5"/>
    </row>
    <row r="20" spans="1:61" ht="13.2" hidden="1">
      <c r="A20" s="41" t="e">
        <f>1+#REF!</f>
        <v>#REF!</v>
      </c>
      <c r="B20" s="452"/>
      <c r="C20" s="453"/>
      <c r="D20" s="452"/>
      <c r="E20" s="452"/>
      <c r="F20" s="452"/>
      <c r="G20" s="454"/>
      <c r="H20" s="454"/>
      <c r="I20" s="455"/>
      <c r="J20" s="455"/>
      <c r="K20" s="455"/>
      <c r="L20" s="456"/>
      <c r="M20" s="452"/>
      <c r="N20" s="452"/>
      <c r="O20" s="452"/>
      <c r="P20" s="452"/>
      <c r="Q20" s="452"/>
      <c r="R20" s="20"/>
      <c r="S20" s="20"/>
      <c r="T20" s="20"/>
      <c r="U20" s="20"/>
      <c r="V20" s="19"/>
      <c r="W20" s="20"/>
      <c r="X20" s="19"/>
      <c r="Y20" s="20"/>
      <c r="Z20" s="19"/>
      <c r="AA20" s="20"/>
      <c r="AB20" s="19"/>
      <c r="AC20" s="20">
        <f ca="1">IFERROR(__xludf.DUMMYFUNCTION("""COMPUTED_VALUE"""),44925.6666666666)</f>
        <v>44925.666666666599</v>
      </c>
      <c r="AD20" s="19">
        <f ca="1">IFERROR(__xludf.DUMMYFUNCTION("""COMPUTED_VALUE"""),35.81)</f>
        <v>35.81</v>
      </c>
      <c r="AE20" s="22"/>
      <c r="AF20" s="22"/>
      <c r="AG20" s="22"/>
      <c r="AH20" s="22"/>
      <c r="AI20" s="296"/>
      <c r="AJ20" s="296"/>
      <c r="AK20" s="22"/>
      <c r="AL20" s="296"/>
      <c r="AM20" s="296"/>
      <c r="AN20" s="296"/>
      <c r="AO20" s="296"/>
      <c r="AP20" s="296"/>
      <c r="AQ20" s="22"/>
      <c r="AR20" s="22"/>
      <c r="AS20" s="22"/>
      <c r="AT20" s="22"/>
      <c r="AU20" s="22"/>
      <c r="AV20" s="22"/>
      <c r="AW20" s="22"/>
      <c r="AX20" s="22"/>
      <c r="AY20" s="22"/>
      <c r="AZ20" s="22"/>
      <c r="BA20" s="296"/>
      <c r="BB20" s="296"/>
      <c r="BC20" s="296"/>
      <c r="BD20" s="296"/>
      <c r="BE20" s="296"/>
      <c r="BF20" s="296"/>
      <c r="BG20" s="296"/>
      <c r="BH20" s="296"/>
      <c r="BI20" s="296"/>
    </row>
    <row r="21" spans="1:61" ht="13.2">
      <c r="A21" s="41">
        <v>2</v>
      </c>
      <c r="B21" s="1" t="s">
        <v>246</v>
      </c>
      <c r="C21" s="42" t="str">
        <f ca="1">IFERROR(__xludf.DUMMYFUNCTION("GoogleFinance(B21,""name"")"),"Consol Energy Inc")</f>
        <v>Consol Energy Inc</v>
      </c>
      <c r="D21" s="43">
        <f ca="1">IFERROR(__xludf.DUMMYFUNCTION("GoogleFinance(B21,""marketcap"")/1000000"),3129.515014)</f>
        <v>3129.5150140000001</v>
      </c>
      <c r="E21" s="44" t="s">
        <v>14</v>
      </c>
      <c r="F21" s="44" t="s">
        <v>247</v>
      </c>
      <c r="G21" s="46">
        <f ca="1">IFERROR(__xludf.DUMMYFUNCTION("GOOGLEFINANCE(B21)"),100.92)</f>
        <v>100.92</v>
      </c>
      <c r="H21" s="53">
        <v>90</v>
      </c>
      <c r="I21" s="51">
        <f ca="1">H21/G21-1</f>
        <v>-0.10820451843043999</v>
      </c>
      <c r="J21" s="44">
        <v>130</v>
      </c>
      <c r="K21" s="95">
        <f ca="1">J21/G21-1</f>
        <v>0.28814902893380889</v>
      </c>
      <c r="L21" s="8">
        <f ca="1">IFERROR(__xludf.DUMMYFUNCTION("GoogleFinance(B21,""changepct"")/100"),0.0152)</f>
        <v>1.52E-2</v>
      </c>
      <c r="M21" s="8" t="e">
        <f ca="1">G21/V22-1</f>
        <v>#DIV/0!</v>
      </c>
      <c r="N21" s="8" t="e">
        <f ca="1">G21/X22-1</f>
        <v>#DIV/0!</v>
      </c>
      <c r="O21" s="8" t="e">
        <f ca="1">G21/Z22-1</f>
        <v>#DIV/0!</v>
      </c>
      <c r="P21" s="8" t="e">
        <f ca="1">G21/AB22-1</f>
        <v>#DIV/0!</v>
      </c>
      <c r="Q21" s="8">
        <f ca="1">G21/AD22-1</f>
        <v>0.55261538461538473</v>
      </c>
      <c r="R21" s="2"/>
      <c r="S21" s="2"/>
      <c r="T21" s="2"/>
      <c r="U21" s="2" t="str">
        <f ca="1">IFERROR(__xludf.DUMMYFUNCTION("GoogleFinance(B21,""price"",today()-7)"),"#N/A")</f>
        <v>#N/A</v>
      </c>
      <c r="V21" s="25"/>
      <c r="W21" s="2" t="str">
        <f ca="1">IFERROR(__xludf.DUMMYFUNCTION("GoogleFinance(B21,""price"",today()-31)"),"#N/A")</f>
        <v>#N/A</v>
      </c>
      <c r="X21" s="25"/>
      <c r="Y21" s="2" t="str">
        <f ca="1">IFERROR(__xludf.DUMMYFUNCTION("GoogleFinance(B21,""price"",today()-91)"),"#N/A")</f>
        <v>#N/A</v>
      </c>
      <c r="Z21" s="25"/>
      <c r="AA21" s="2" t="str">
        <f ca="1">IFERROR(__xludf.DUMMYFUNCTION("GoogleFinance(B21,""price"",today()-182)"),"#N/A")</f>
        <v>#N/A</v>
      </c>
      <c r="AB21" s="25"/>
      <c r="AC21" s="2" t="str">
        <f ca="1">IFERROR(__xludf.DUMMYFUNCTION("GoogleFinance(B21,""price"",DATE(2022,12,30))"),"Date")</f>
        <v>Date</v>
      </c>
      <c r="AD21" s="25" t="str">
        <f ca="1">IFERROR(__xludf.DUMMYFUNCTION("""COMPUTED_VALUE"""),"Close")</f>
        <v>Close</v>
      </c>
      <c r="AE21" s="5"/>
      <c r="AF21" s="5"/>
      <c r="AG21" s="5"/>
      <c r="AH21" s="5"/>
      <c r="AK21" s="5"/>
      <c r="AQ21" s="5"/>
      <c r="AR21" s="5"/>
      <c r="AS21" s="5"/>
      <c r="AT21" s="5"/>
      <c r="AU21" s="5"/>
      <c r="AV21" s="5"/>
      <c r="AW21" s="5"/>
      <c r="AX21" s="5"/>
      <c r="AY21" s="5"/>
      <c r="AZ21" s="5"/>
    </row>
    <row r="22" spans="1:61" ht="13.2" hidden="1">
      <c r="A22" s="167"/>
      <c r="B22" s="297"/>
      <c r="C22" s="298"/>
      <c r="D22" s="297"/>
      <c r="E22" s="297"/>
      <c r="F22" s="297"/>
      <c r="G22" s="299"/>
      <c r="H22" s="299"/>
      <c r="I22" s="300"/>
      <c r="J22" s="300"/>
      <c r="K22" s="300"/>
      <c r="L22" s="301"/>
      <c r="M22" s="297"/>
      <c r="N22" s="297"/>
      <c r="O22" s="297"/>
      <c r="P22" s="297"/>
      <c r="Q22" s="297"/>
      <c r="R22" s="20"/>
      <c r="S22" s="20"/>
      <c r="T22" s="20"/>
      <c r="U22" s="20"/>
      <c r="V22" s="19"/>
      <c r="W22" s="20"/>
      <c r="X22" s="19"/>
      <c r="Y22" s="20"/>
      <c r="Z22" s="19"/>
      <c r="AA22" s="20"/>
      <c r="AB22" s="19"/>
      <c r="AC22" s="20">
        <f ca="1">IFERROR(__xludf.DUMMYFUNCTION("""COMPUTED_VALUE"""),44925.6666666666)</f>
        <v>44925.666666666599</v>
      </c>
      <c r="AD22" s="19">
        <f ca="1">IFERROR(__xludf.DUMMYFUNCTION("""COMPUTED_VALUE"""),65)</f>
        <v>65</v>
      </c>
      <c r="AE22" s="22"/>
      <c r="AF22" s="22"/>
      <c r="AG22" s="22"/>
      <c r="AH22" s="22"/>
      <c r="AI22" s="296"/>
      <c r="AJ22" s="296"/>
      <c r="AK22" s="22"/>
      <c r="AL22" s="296"/>
      <c r="AM22" s="296"/>
      <c r="AN22" s="296"/>
      <c r="AO22" s="296"/>
      <c r="AP22" s="296"/>
      <c r="AQ22" s="22"/>
      <c r="AR22" s="22"/>
      <c r="AS22" s="22"/>
      <c r="AT22" s="22"/>
      <c r="AU22" s="22"/>
      <c r="AV22" s="22"/>
      <c r="AW22" s="22"/>
      <c r="AX22" s="22"/>
      <c r="AY22" s="22"/>
      <c r="AZ22" s="22"/>
      <c r="BA22" s="296"/>
      <c r="BB22" s="296"/>
      <c r="BC22" s="296"/>
      <c r="BD22" s="296"/>
      <c r="BE22" s="296"/>
      <c r="BF22" s="296"/>
      <c r="BG22" s="296"/>
      <c r="BH22" s="296"/>
      <c r="BI22" s="296"/>
    </row>
    <row r="23" spans="1:61" ht="13.2">
      <c r="A23" s="41">
        <v>3</v>
      </c>
      <c r="B23" s="1" t="s">
        <v>248</v>
      </c>
      <c r="C23" s="42" t="str">
        <f ca="1">IFERROR(__xludf.DUMMYFUNCTION("GoogleFinance(B23,""name"")"),"Propetro Holding Corp")</f>
        <v>Propetro Holding Corp</v>
      </c>
      <c r="D23" s="43">
        <f ca="1">IFERROR(__xludf.DUMMYFUNCTION("GoogleFinance(B23,""marketcap"")/1000000"),838.908911)</f>
        <v>838.90891099999999</v>
      </c>
      <c r="E23" s="44" t="s">
        <v>14</v>
      </c>
      <c r="F23" s="44" t="s">
        <v>120</v>
      </c>
      <c r="G23" s="46">
        <f ca="1">IFERROR(__xludf.DUMMYFUNCTION("GOOGLEFINANCE(B23)"),7.61)</f>
        <v>7.61</v>
      </c>
      <c r="H23" s="53">
        <v>9.8000000000000007</v>
      </c>
      <c r="I23" s="51">
        <f ca="1">H23/G23-1</f>
        <v>0.28777923784494086</v>
      </c>
      <c r="J23" s="44">
        <v>14</v>
      </c>
      <c r="K23" s="95">
        <f ca="1">J23/G23-1</f>
        <v>0.83968462549277256</v>
      </c>
      <c r="L23" s="8">
        <f ca="1">IFERROR(__xludf.DUMMYFUNCTION("GoogleFinance(B23,""changepct"")/100"),-0.013)</f>
        <v>-1.2999999999999999E-2</v>
      </c>
      <c r="M23" s="8" t="e">
        <f ca="1">G23/V24-1</f>
        <v>#DIV/0!</v>
      </c>
      <c r="N23" s="8" t="e">
        <f ca="1">G23/X24-1</f>
        <v>#DIV/0!</v>
      </c>
      <c r="O23" s="8" t="e">
        <f ca="1">G23/Z24-1</f>
        <v>#DIV/0!</v>
      </c>
      <c r="P23" s="8" t="e">
        <f ca="1">G23/AB24-1</f>
        <v>#DIV/0!</v>
      </c>
      <c r="Q23" s="8">
        <f ca="1">G23/AD24-1</f>
        <v>-0.26615236258437791</v>
      </c>
      <c r="R23" s="2"/>
      <c r="S23" s="2"/>
      <c r="T23" s="2"/>
      <c r="U23" s="2" t="str">
        <f ca="1">IFERROR(__xludf.DUMMYFUNCTION("GoogleFinance(B23,""price"",today()-7)"),"#N/A")</f>
        <v>#N/A</v>
      </c>
      <c r="V23" s="25"/>
      <c r="W23" s="2" t="str">
        <f ca="1">IFERROR(__xludf.DUMMYFUNCTION("GoogleFinance(B23,""price"",today()-31)"),"#N/A")</f>
        <v>#N/A</v>
      </c>
      <c r="X23" s="25"/>
      <c r="Y23" s="2" t="str">
        <f ca="1">IFERROR(__xludf.DUMMYFUNCTION("GoogleFinance(B23,""price"",today()-91)"),"#N/A")</f>
        <v>#N/A</v>
      </c>
      <c r="Z23" s="25"/>
      <c r="AA23" s="2" t="str">
        <f ca="1">IFERROR(__xludf.DUMMYFUNCTION("GoogleFinance(B23,""price"",today()-182)"),"#N/A")</f>
        <v>#N/A</v>
      </c>
      <c r="AB23" s="25"/>
      <c r="AC23" s="2" t="str">
        <f ca="1">IFERROR(__xludf.DUMMYFUNCTION("GoogleFinance(B23,""price"",DATE(2022,12,30))"),"Date")</f>
        <v>Date</v>
      </c>
      <c r="AD23" s="25" t="str">
        <f ca="1">IFERROR(__xludf.DUMMYFUNCTION("""COMPUTED_VALUE"""),"Close")</f>
        <v>Close</v>
      </c>
      <c r="AE23" s="5"/>
      <c r="AF23" s="5"/>
      <c r="AG23" s="5"/>
      <c r="AH23" s="5"/>
      <c r="AK23" s="5"/>
      <c r="AQ23" s="5"/>
      <c r="AR23" s="5"/>
      <c r="AS23" s="5"/>
      <c r="AT23" s="5"/>
      <c r="AU23" s="5"/>
      <c r="AV23" s="5"/>
      <c r="AW23" s="5"/>
      <c r="AX23" s="5"/>
      <c r="AY23" s="5"/>
      <c r="AZ23" s="5"/>
    </row>
    <row r="24" spans="1:61" ht="13.2" hidden="1">
      <c r="A24" s="167"/>
      <c r="B24" s="297"/>
      <c r="C24" s="298"/>
      <c r="D24" s="297"/>
      <c r="E24" s="297"/>
      <c r="F24" s="297"/>
      <c r="G24" s="299"/>
      <c r="H24" s="299"/>
      <c r="I24" s="300"/>
      <c r="J24" s="300"/>
      <c r="K24" s="300"/>
      <c r="L24" s="301"/>
      <c r="M24" s="297"/>
      <c r="N24" s="297"/>
      <c r="O24" s="297"/>
      <c r="P24" s="297"/>
      <c r="Q24" s="297"/>
      <c r="R24" s="20"/>
      <c r="S24" s="20"/>
      <c r="T24" s="20"/>
      <c r="U24" s="20"/>
      <c r="V24" s="19"/>
      <c r="W24" s="20"/>
      <c r="X24" s="19"/>
      <c r="Y24" s="20"/>
      <c r="Z24" s="19"/>
      <c r="AA24" s="20"/>
      <c r="AB24" s="19"/>
      <c r="AC24" s="20">
        <f ca="1">IFERROR(__xludf.DUMMYFUNCTION("""COMPUTED_VALUE"""),44925.6666666666)</f>
        <v>44925.666666666599</v>
      </c>
      <c r="AD24" s="19">
        <f ca="1">IFERROR(__xludf.DUMMYFUNCTION("""COMPUTED_VALUE"""),10.37)</f>
        <v>10.37</v>
      </c>
      <c r="AE24" s="22"/>
      <c r="AF24" s="22"/>
      <c r="AG24" s="22"/>
      <c r="AH24" s="22"/>
      <c r="AI24" s="296"/>
      <c r="AJ24" s="296"/>
      <c r="AK24" s="22"/>
      <c r="AL24" s="296"/>
      <c r="AM24" s="296"/>
      <c r="AN24" s="296"/>
      <c r="AO24" s="296"/>
      <c r="AP24" s="296"/>
      <c r="AQ24" s="22"/>
      <c r="AR24" s="22"/>
      <c r="AS24" s="22"/>
      <c r="AT24" s="22"/>
      <c r="AU24" s="22"/>
      <c r="AV24" s="22"/>
      <c r="AW24" s="22"/>
      <c r="AX24" s="22"/>
      <c r="AY24" s="22"/>
      <c r="AZ24" s="22"/>
      <c r="BA24" s="296"/>
      <c r="BB24" s="296"/>
      <c r="BC24" s="296"/>
      <c r="BD24" s="296"/>
      <c r="BE24" s="296"/>
      <c r="BF24" s="296"/>
      <c r="BG24" s="296"/>
      <c r="BH24" s="296"/>
      <c r="BI24" s="296"/>
    </row>
    <row r="25" spans="1:61" ht="13.2">
      <c r="A25" s="66">
        <v>4</v>
      </c>
      <c r="B25" s="24" t="s">
        <v>249</v>
      </c>
      <c r="C25" s="67" t="str">
        <f ca="1">IFERROR(__xludf.DUMMYFUNCTION("GoogleFinance(B25,""name"")"),"Copa Holdings, S.A.")</f>
        <v>Copa Holdings, S.A.</v>
      </c>
      <c r="D25" s="68">
        <f ca="1">IFERROR(__xludf.DUMMYFUNCTION("GoogleFinance(B25,""marketcap"")/1000000"),3799.776136)</f>
        <v>3799.776136</v>
      </c>
      <c r="E25" s="69" t="s">
        <v>10</v>
      </c>
      <c r="F25" s="69" t="s">
        <v>250</v>
      </c>
      <c r="G25" s="73">
        <f ca="1">IFERROR(__xludf.DUMMYFUNCTION("GOOGLEFINANCE(B25)"),90.29)</f>
        <v>90.29</v>
      </c>
      <c r="H25" s="80">
        <v>85</v>
      </c>
      <c r="I25" s="78">
        <f ca="1">H25/G25-1</f>
        <v>-5.8588991028906912E-2</v>
      </c>
      <c r="J25" s="69">
        <v>105</v>
      </c>
      <c r="K25" s="144">
        <f ca="1">J25/G25-1</f>
        <v>0.16291948167017378</v>
      </c>
      <c r="L25" s="81">
        <f ca="1">IFERROR(__xludf.DUMMYFUNCTION("GoogleFinance(B25,""changepct"")/100"),-0.0058)</f>
        <v>-5.7999999999999996E-3</v>
      </c>
      <c r="M25" s="81" t="e">
        <f ca="1">G25/V26-1</f>
        <v>#DIV/0!</v>
      </c>
      <c r="N25" s="81" t="e">
        <f ca="1">G25/X26-1</f>
        <v>#DIV/0!</v>
      </c>
      <c r="O25" s="81" t="e">
        <f ca="1">G25/Z26-1</f>
        <v>#DIV/0!</v>
      </c>
      <c r="P25" s="81" t="e">
        <f ca="1">G25/AB26-1</f>
        <v>#DIV/0!</v>
      </c>
      <c r="Q25" s="81">
        <f ca="1">G25/AD26-1</f>
        <v>8.560779127089102E-2</v>
      </c>
      <c r="R25" s="71"/>
      <c r="S25" s="71"/>
      <c r="T25" s="71"/>
      <c r="U25" s="71" t="str">
        <f ca="1">IFERROR(__xludf.DUMMYFUNCTION("GoogleFinance(B25,""price"",today()-7)"),"#N/A")</f>
        <v>#N/A</v>
      </c>
      <c r="V25" s="86"/>
      <c r="W25" s="71" t="str">
        <f ca="1">IFERROR(__xludf.DUMMYFUNCTION("GoogleFinance(B25,""price"",today()-31)"),"#N/A")</f>
        <v>#N/A</v>
      </c>
      <c r="X25" s="86"/>
      <c r="Y25" s="71" t="str">
        <f ca="1">IFERROR(__xludf.DUMMYFUNCTION("GoogleFinance(B25,""price"",today()-91)"),"#N/A")</f>
        <v>#N/A</v>
      </c>
      <c r="Z25" s="86"/>
      <c r="AA25" s="71" t="str">
        <f ca="1">IFERROR(__xludf.DUMMYFUNCTION("GoogleFinance(B25,""price"",today()-182)"),"#N/A")</f>
        <v>#N/A</v>
      </c>
      <c r="AB25" s="86"/>
      <c r="AC25" s="71" t="str">
        <f ca="1">IFERROR(__xludf.DUMMYFUNCTION("GoogleFinance(B25,""price"",DATE(2022,12,30))"),"Date")</f>
        <v>Date</v>
      </c>
      <c r="AD25" s="86" t="str">
        <f ca="1">IFERROR(__xludf.DUMMYFUNCTION("""COMPUTED_VALUE"""),"Close")</f>
        <v>Close</v>
      </c>
      <c r="AE25" s="87"/>
      <c r="AF25" s="87"/>
      <c r="AG25" s="87"/>
      <c r="AH25" s="87"/>
      <c r="AI25" s="88"/>
      <c r="AJ25" s="88"/>
      <c r="AK25" s="87"/>
      <c r="AL25" s="88"/>
      <c r="AM25" s="88"/>
      <c r="AN25" s="88"/>
      <c r="AO25" s="88"/>
      <c r="AP25" s="88"/>
      <c r="AQ25" s="87"/>
      <c r="AR25" s="87"/>
      <c r="AS25" s="87"/>
      <c r="AT25" s="87"/>
      <c r="AU25" s="87"/>
      <c r="AV25" s="87"/>
      <c r="AW25" s="87"/>
      <c r="AX25" s="87"/>
      <c r="AY25" s="87"/>
      <c r="AZ25" s="87"/>
      <c r="BA25" s="88"/>
      <c r="BB25" s="88"/>
      <c r="BC25" s="88"/>
      <c r="BD25" s="88"/>
      <c r="BE25" s="88"/>
      <c r="BF25" s="88"/>
      <c r="BG25" s="88"/>
      <c r="BH25" s="88"/>
      <c r="BI25" s="88"/>
    </row>
    <row r="26" spans="1:61" ht="13.2">
      <c r="A26" s="167"/>
      <c r="B26" s="297"/>
      <c r="C26" s="298"/>
      <c r="D26" s="297"/>
      <c r="E26" s="297"/>
      <c r="F26" s="297"/>
      <c r="G26" s="299"/>
      <c r="H26" s="299"/>
      <c r="I26" s="300"/>
      <c r="J26" s="300"/>
      <c r="K26" s="300"/>
      <c r="L26" s="301"/>
      <c r="M26" s="297"/>
      <c r="N26" s="297"/>
      <c r="O26" s="297"/>
      <c r="P26" s="297"/>
      <c r="Q26" s="297"/>
      <c r="R26" s="20"/>
      <c r="S26" s="20"/>
      <c r="T26" s="20"/>
      <c r="U26" s="20"/>
      <c r="V26" s="19"/>
      <c r="W26" s="20"/>
      <c r="X26" s="19"/>
      <c r="Y26" s="20"/>
      <c r="Z26" s="19"/>
      <c r="AA26" s="20"/>
      <c r="AB26" s="19"/>
      <c r="AC26" s="20">
        <f ca="1">IFERROR(__xludf.DUMMYFUNCTION("""COMPUTED_VALUE"""),44925.6666666666)</f>
        <v>44925.666666666599</v>
      </c>
      <c r="AD26" s="19">
        <f ca="1">IFERROR(__xludf.DUMMYFUNCTION("""COMPUTED_VALUE"""),83.17)</f>
        <v>83.17</v>
      </c>
      <c r="AE26" s="22"/>
      <c r="AF26" s="22"/>
      <c r="AG26" s="22"/>
      <c r="AH26" s="22"/>
      <c r="AI26" s="296"/>
      <c r="AJ26" s="296"/>
      <c r="AK26" s="22"/>
      <c r="AL26" s="296"/>
      <c r="AM26" s="296"/>
      <c r="AN26" s="296"/>
      <c r="AO26" s="296"/>
      <c r="AP26" s="296"/>
      <c r="AQ26" s="22"/>
      <c r="AR26" s="22"/>
      <c r="AS26" s="22"/>
      <c r="AT26" s="22"/>
      <c r="AU26" s="22"/>
      <c r="AV26" s="22"/>
      <c r="AW26" s="22"/>
      <c r="AX26" s="22"/>
      <c r="AY26" s="22"/>
      <c r="AZ26" s="22"/>
      <c r="BA26" s="296"/>
      <c r="BB26" s="296"/>
      <c r="BC26" s="296"/>
      <c r="BD26" s="296"/>
      <c r="BE26" s="296"/>
      <c r="BF26" s="296"/>
      <c r="BG26" s="296"/>
      <c r="BH26" s="296"/>
      <c r="BI26" s="296"/>
    </row>
    <row r="27" spans="1:61" ht="5.25" customHeight="1">
      <c r="A27" s="167"/>
      <c r="B27" s="355"/>
      <c r="C27" s="356"/>
      <c r="D27" s="355"/>
      <c r="E27" s="355"/>
      <c r="F27" s="355"/>
      <c r="G27" s="457"/>
      <c r="H27" s="457"/>
      <c r="I27" s="360"/>
      <c r="J27" s="360"/>
      <c r="K27" s="360"/>
      <c r="L27" s="359"/>
      <c r="M27" s="355"/>
      <c r="N27" s="355"/>
      <c r="O27" s="355"/>
      <c r="P27" s="355"/>
      <c r="Q27" s="355"/>
      <c r="R27" s="20"/>
      <c r="S27" s="20"/>
      <c r="T27" s="20"/>
      <c r="U27" s="20"/>
      <c r="V27" s="25"/>
      <c r="W27" s="20"/>
      <c r="X27" s="25"/>
      <c r="Y27" s="20"/>
      <c r="Z27" s="25"/>
      <c r="AA27" s="20"/>
      <c r="AB27" s="25"/>
      <c r="AC27" s="20"/>
      <c r="AD27" s="25"/>
      <c r="AE27" s="22"/>
      <c r="AF27" s="22"/>
      <c r="AG27" s="22"/>
      <c r="AH27" s="22"/>
      <c r="AK27" s="22"/>
      <c r="AQ27" s="22"/>
      <c r="AR27" s="22"/>
      <c r="AS27" s="22"/>
      <c r="AT27" s="22"/>
      <c r="AU27" s="22"/>
      <c r="AV27" s="22"/>
      <c r="AW27" s="22"/>
      <c r="AX27" s="22"/>
      <c r="AY27" s="22"/>
      <c r="AZ27" s="22"/>
    </row>
    <row r="28" spans="1:61" ht="36">
      <c r="A28" s="167"/>
      <c r="B28" s="33" t="s">
        <v>0</v>
      </c>
      <c r="C28" s="34" t="s">
        <v>1</v>
      </c>
      <c r="D28" s="33" t="s">
        <v>29</v>
      </c>
      <c r="E28" s="33" t="s">
        <v>2</v>
      </c>
      <c r="F28" s="33" t="s">
        <v>30</v>
      </c>
      <c r="G28" s="35" t="s">
        <v>3</v>
      </c>
      <c r="H28" s="35" t="s">
        <v>251</v>
      </c>
      <c r="I28" s="36" t="s">
        <v>252</v>
      </c>
      <c r="J28" s="36" t="s">
        <v>253</v>
      </c>
      <c r="K28" s="36" t="s">
        <v>254</v>
      </c>
      <c r="L28" s="37" t="s">
        <v>4</v>
      </c>
      <c r="M28" s="33" t="s">
        <v>45</v>
      </c>
      <c r="N28" s="33" t="s">
        <v>46</v>
      </c>
      <c r="O28" s="33" t="s">
        <v>47</v>
      </c>
      <c r="P28" s="33" t="s">
        <v>48</v>
      </c>
      <c r="Q28" s="33" t="s">
        <v>49</v>
      </c>
      <c r="R28" s="20"/>
      <c r="S28" s="20"/>
      <c r="T28" s="20"/>
      <c r="U28" s="20"/>
      <c r="V28" s="25"/>
      <c r="W28" s="20"/>
      <c r="X28" s="25"/>
      <c r="Y28" s="20"/>
      <c r="Z28" s="25"/>
      <c r="AA28" s="20"/>
      <c r="AB28" s="25"/>
      <c r="AC28" s="20"/>
      <c r="AD28" s="25"/>
      <c r="AE28" s="22"/>
      <c r="AF28" s="22"/>
      <c r="AG28" s="22"/>
      <c r="AH28" s="22"/>
      <c r="AK28" s="22"/>
      <c r="AQ28" s="22"/>
      <c r="AR28" s="22"/>
      <c r="AS28" s="22"/>
      <c r="AT28" s="22"/>
      <c r="AU28" s="22"/>
      <c r="AV28" s="22"/>
      <c r="AW28" s="22"/>
      <c r="AX28" s="22"/>
      <c r="AY28" s="22"/>
      <c r="AZ28" s="22"/>
    </row>
    <row r="29" spans="1:61" ht="13.2">
      <c r="A29" s="167"/>
      <c r="B29" s="363" t="s">
        <v>255</v>
      </c>
      <c r="C29" s="364"/>
      <c r="D29" s="365"/>
      <c r="E29" s="366"/>
      <c r="F29" s="366"/>
      <c r="G29" s="367"/>
      <c r="H29" s="367"/>
      <c r="I29" s="367"/>
      <c r="J29" s="367"/>
      <c r="K29" s="367"/>
      <c r="L29" s="367"/>
      <c r="M29" s="367"/>
      <c r="N29" s="367"/>
      <c r="O29" s="367"/>
      <c r="P29" s="367"/>
      <c r="Q29" s="367"/>
      <c r="R29" s="20"/>
      <c r="S29" s="20"/>
      <c r="T29" s="20"/>
      <c r="U29" s="20"/>
      <c r="V29" s="25"/>
      <c r="W29" s="20"/>
      <c r="X29" s="25"/>
      <c r="Y29" s="20"/>
      <c r="Z29" s="25"/>
      <c r="AA29" s="20"/>
      <c r="AB29" s="25"/>
      <c r="AC29" s="20"/>
      <c r="AD29" s="25"/>
      <c r="AE29" s="22"/>
      <c r="AF29" s="22"/>
      <c r="AG29" s="22"/>
      <c r="AH29" s="22"/>
      <c r="AK29" s="22"/>
      <c r="AQ29" s="22"/>
      <c r="AR29" s="22"/>
      <c r="AS29" s="22"/>
      <c r="AT29" s="22"/>
      <c r="AU29" s="22"/>
      <c r="AV29" s="22"/>
      <c r="AW29" s="22"/>
      <c r="AX29" s="22"/>
      <c r="AY29" s="22"/>
      <c r="AZ29" s="22"/>
    </row>
    <row r="30" spans="1:61" ht="13.2">
      <c r="A30" s="41">
        <v>1</v>
      </c>
      <c r="B30" s="1" t="s">
        <v>256</v>
      </c>
      <c r="C30" s="42" t="str">
        <f ca="1">IFERROR(__xludf.DUMMYFUNCTION("GoogleFinance(B30,""name"")"),"eBay Inc")</f>
        <v>eBay Inc</v>
      </c>
      <c r="D30" s="43">
        <f ca="1">IFERROR(__xludf.DUMMYFUNCTION("GoogleFinance(B30,""marketcap"")/1000000"),21346.470554)</f>
        <v>21346.470554</v>
      </c>
      <c r="E30" s="44" t="s">
        <v>150</v>
      </c>
      <c r="F30" s="44" t="s">
        <v>20</v>
      </c>
      <c r="G30" s="46">
        <f ca="1">IFERROR(__xludf.DUMMYFUNCTION("GOOGLEFINANCE(B30)"),41.13)</f>
        <v>41.13</v>
      </c>
      <c r="H30" s="53">
        <v>46</v>
      </c>
      <c r="I30" s="51">
        <f ca="1">H30/G30-1</f>
        <v>0.11840505713591054</v>
      </c>
      <c r="J30" s="44">
        <v>34</v>
      </c>
      <c r="K30" s="95">
        <f>H30/J30-1</f>
        <v>0.35294117647058831</v>
      </c>
      <c r="L30" s="8">
        <f ca="1">IFERROR(__xludf.DUMMYFUNCTION("GoogleFinance(B30,""changepct"")/100"),0.0083)</f>
        <v>8.3000000000000001E-3</v>
      </c>
      <c r="M30" s="8" t="e">
        <f ca="1">G30/V31-1</f>
        <v>#DIV/0!</v>
      </c>
      <c r="N30" s="8" t="e">
        <f ca="1">G30/X31-1</f>
        <v>#DIV/0!</v>
      </c>
      <c r="O30" s="8" t="e">
        <f ca="1">G30/Z31-1</f>
        <v>#DIV/0!</v>
      </c>
      <c r="P30" s="8" t="e">
        <f ca="1">G30/AB31-1</f>
        <v>#DIV/0!</v>
      </c>
      <c r="Q30" s="8">
        <f ca="1">G30/AD31-1</f>
        <v>-8.1986978538701738E-3</v>
      </c>
      <c r="R30" s="2"/>
      <c r="S30" s="2"/>
      <c r="T30" s="2"/>
      <c r="U30" s="2" t="str">
        <f ca="1">IFERROR(__xludf.DUMMYFUNCTION("GoogleFinance(B30,""price"",today()-7)"),"#N/A")</f>
        <v>#N/A</v>
      </c>
      <c r="V30" s="25"/>
      <c r="W30" s="2" t="str">
        <f ca="1">IFERROR(__xludf.DUMMYFUNCTION("GoogleFinance(B30,""price"",today()-31)"),"#N/A")</f>
        <v>#N/A</v>
      </c>
      <c r="X30" s="25"/>
      <c r="Y30" s="2" t="str">
        <f ca="1">IFERROR(__xludf.DUMMYFUNCTION("GoogleFinance(B30,""price"",today()-91)"),"#N/A")</f>
        <v>#N/A</v>
      </c>
      <c r="Z30" s="25"/>
      <c r="AA30" s="2" t="str">
        <f ca="1">IFERROR(__xludf.DUMMYFUNCTION("GoogleFinance(B30,""price"",today()-182)"),"#N/A")</f>
        <v>#N/A</v>
      </c>
      <c r="AB30" s="25"/>
      <c r="AC30" s="2" t="str">
        <f ca="1">IFERROR(__xludf.DUMMYFUNCTION("GoogleFinance(B30,""price"",DATE(2022,12,30))"),"Date")</f>
        <v>Date</v>
      </c>
      <c r="AD30" s="25" t="str">
        <f ca="1">IFERROR(__xludf.DUMMYFUNCTION("""COMPUTED_VALUE"""),"Close")</f>
        <v>Close</v>
      </c>
      <c r="AE30" s="5"/>
      <c r="AF30" s="5"/>
      <c r="AG30" s="5"/>
      <c r="AH30" s="5"/>
      <c r="AK30" s="5"/>
      <c r="AQ30" s="5"/>
      <c r="AR30" s="5"/>
      <c r="AS30" s="5"/>
      <c r="AT30" s="5"/>
      <c r="AU30" s="5"/>
      <c r="AV30" s="5"/>
      <c r="AW30" s="5"/>
      <c r="AX30" s="5"/>
      <c r="AY30" s="5"/>
      <c r="AZ30" s="5"/>
    </row>
    <row r="31" spans="1:61" ht="13.2" hidden="1">
      <c r="A31" s="41">
        <v>1</v>
      </c>
      <c r="B31" s="1"/>
      <c r="C31" s="42"/>
      <c r="D31" s="43"/>
      <c r="E31" s="44"/>
      <c r="F31" s="44"/>
      <c r="G31" s="46"/>
      <c r="H31" s="53"/>
      <c r="I31" s="51"/>
      <c r="J31" s="44"/>
      <c r="K31" s="95"/>
      <c r="L31" s="63"/>
      <c r="M31" s="51"/>
      <c r="N31" s="51"/>
      <c r="O31" s="51"/>
      <c r="P31" s="51"/>
      <c r="Q31" s="51"/>
      <c r="R31" s="2"/>
      <c r="S31" s="2"/>
      <c r="T31" s="2"/>
      <c r="U31" s="2"/>
      <c r="V31" s="25"/>
      <c r="W31" s="2"/>
      <c r="X31" s="25"/>
      <c r="Y31" s="2"/>
      <c r="Z31" s="25"/>
      <c r="AA31" s="2"/>
      <c r="AB31" s="25"/>
      <c r="AC31" s="2">
        <f ca="1">IFERROR(__xludf.DUMMYFUNCTION("""COMPUTED_VALUE"""),44925.6666666666)</f>
        <v>44925.666666666599</v>
      </c>
      <c r="AD31" s="25">
        <f ca="1">IFERROR(__xludf.DUMMYFUNCTION("""COMPUTED_VALUE"""),41.47)</f>
        <v>41.47</v>
      </c>
      <c r="AE31" s="5"/>
      <c r="AF31" s="5"/>
      <c r="AG31" s="5" t="s">
        <v>69</v>
      </c>
      <c r="AH31" s="5">
        <v>4.65E-2</v>
      </c>
      <c r="AI31" s="27">
        <v>-1.0200000000000001E-2</v>
      </c>
      <c r="AK31" s="5"/>
      <c r="AQ31" s="5"/>
      <c r="AR31" s="5"/>
      <c r="AS31" s="5"/>
      <c r="AT31" s="5"/>
      <c r="AU31" s="5"/>
      <c r="AV31" s="5"/>
      <c r="AW31" s="5"/>
      <c r="AX31" s="5"/>
      <c r="AY31" s="5"/>
      <c r="AZ31" s="5"/>
    </row>
    <row r="32" spans="1:61" ht="13.2">
      <c r="A32" s="41">
        <f t="shared" ref="A32:A34" si="1">1+A30</f>
        <v>2</v>
      </c>
      <c r="B32" s="1" t="s">
        <v>257</v>
      </c>
      <c r="C32" s="42" t="str">
        <f ca="1">IFERROR(__xludf.DUMMYFUNCTION("GoogleFinance(B32,""name"")"),"Alcoa Corp")</f>
        <v>Alcoa Corp</v>
      </c>
      <c r="D32" s="43">
        <f ca="1">IFERROR(__xludf.DUMMYFUNCTION("GoogleFinance(B32,""marketcap"")/1000000"),4882.991292)</f>
        <v>4882.9912919999997</v>
      </c>
      <c r="E32" s="44" t="s">
        <v>258</v>
      </c>
      <c r="F32" s="44" t="s">
        <v>259</v>
      </c>
      <c r="G32" s="46">
        <f ca="1">IFERROR(__xludf.DUMMYFUNCTION("GOOGLEFINANCE(B32)"),27.36)</f>
        <v>27.36</v>
      </c>
      <c r="H32" s="53">
        <v>30</v>
      </c>
      <c r="I32" s="458">
        <f ca="1">H32/G32-1</f>
        <v>9.6491228070175517E-2</v>
      </c>
      <c r="J32" s="21">
        <v>24</v>
      </c>
      <c r="K32" s="459">
        <f>H32/J32-1</f>
        <v>0.25</v>
      </c>
      <c r="L32" s="8">
        <f ca="1">IFERROR(__xludf.DUMMYFUNCTION("GoogleFinance(B32,""changepct"")/100"),0.0227999999999999)</f>
        <v>2.27999999999999E-2</v>
      </c>
      <c r="M32" s="8" t="e">
        <f ca="1">G32/V33-1</f>
        <v>#DIV/0!</v>
      </c>
      <c r="N32" s="8" t="e">
        <f ca="1">G32/X33-1</f>
        <v>#DIV/0!</v>
      </c>
      <c r="O32" s="8" t="e">
        <f ca="1">G32/Z33-1</f>
        <v>#DIV/0!</v>
      </c>
      <c r="P32" s="8" t="e">
        <f ca="1">G32/AB33-1</f>
        <v>#DIV/0!</v>
      </c>
      <c r="Q32" s="8">
        <f ca="1">G32/AD33-1</f>
        <v>-0.3982845832416978</v>
      </c>
      <c r="R32" s="2"/>
      <c r="S32" s="2"/>
      <c r="T32" s="2"/>
      <c r="U32" s="2" t="str">
        <f ca="1">IFERROR(__xludf.DUMMYFUNCTION("GoogleFinance(B32,""price"",today()-7)"),"#N/A")</f>
        <v>#N/A</v>
      </c>
      <c r="V32" s="25"/>
      <c r="W32" s="2" t="str">
        <f ca="1">IFERROR(__xludf.DUMMYFUNCTION("GoogleFinance(B32,""price"",today()-31)"),"#N/A")</f>
        <v>#N/A</v>
      </c>
      <c r="X32" s="25"/>
      <c r="Y32" s="2" t="str">
        <f ca="1">IFERROR(__xludf.DUMMYFUNCTION("GoogleFinance(B32,""price"",today()-91)"),"#N/A")</f>
        <v>#N/A</v>
      </c>
      <c r="Z32" s="25"/>
      <c r="AA32" s="2" t="str">
        <f ca="1">IFERROR(__xludf.DUMMYFUNCTION("GoogleFinance(B32,""price"",today()-182)"),"#N/A")</f>
        <v>#N/A</v>
      </c>
      <c r="AB32" s="25"/>
      <c r="AC32" s="2" t="str">
        <f ca="1">IFERROR(__xludf.DUMMYFUNCTION("GoogleFinance(B32,""price"",DATE(2022,12,30))"),"Date")</f>
        <v>Date</v>
      </c>
      <c r="AD32" s="25" t="str">
        <f ca="1">IFERROR(__xludf.DUMMYFUNCTION("""COMPUTED_VALUE"""),"Close")</f>
        <v>Close</v>
      </c>
      <c r="AE32" s="5"/>
      <c r="AF32" s="5"/>
      <c r="AG32" s="5"/>
      <c r="AH32" s="5"/>
      <c r="AK32" s="5"/>
      <c r="AQ32" s="5"/>
      <c r="AR32" s="5"/>
      <c r="AS32" s="5"/>
      <c r="AT32" s="5"/>
      <c r="AU32" s="5"/>
      <c r="AV32" s="5"/>
      <c r="AW32" s="5"/>
      <c r="AX32" s="5"/>
      <c r="AY32" s="5"/>
      <c r="AZ32" s="5"/>
    </row>
    <row r="33" spans="1:61" ht="13.2" hidden="1">
      <c r="A33" s="41">
        <f t="shared" si="1"/>
        <v>2</v>
      </c>
      <c r="B33" s="1"/>
      <c r="C33" s="42"/>
      <c r="D33" s="43"/>
      <c r="E33" s="44"/>
      <c r="F33" s="44"/>
      <c r="G33" s="73"/>
      <c r="H33" s="53"/>
      <c r="I33" s="51"/>
      <c r="J33" s="44"/>
      <c r="K33" s="95"/>
      <c r="L33" s="63"/>
      <c r="M33" s="51"/>
      <c r="N33" s="51"/>
      <c r="O33" s="51"/>
      <c r="P33" s="51"/>
      <c r="Q33" s="51"/>
      <c r="R33" s="2"/>
      <c r="S33" s="2"/>
      <c r="T33" s="2"/>
      <c r="U33" s="2"/>
      <c r="V33" s="25"/>
      <c r="W33" s="2"/>
      <c r="X33" s="25"/>
      <c r="Y33" s="2"/>
      <c r="Z33" s="25"/>
      <c r="AA33" s="2"/>
      <c r="AB33" s="25"/>
      <c r="AC33" s="2">
        <f ca="1">IFERROR(__xludf.DUMMYFUNCTION("""COMPUTED_VALUE"""),44925.6666666666)</f>
        <v>44925.666666666599</v>
      </c>
      <c r="AD33" s="25">
        <f ca="1">IFERROR(__xludf.DUMMYFUNCTION("""COMPUTED_VALUE"""),45.47)</f>
        <v>45.47</v>
      </c>
      <c r="AE33" s="5"/>
      <c r="AF33" s="5"/>
      <c r="AG33" s="5" t="s">
        <v>69</v>
      </c>
      <c r="AH33" s="5">
        <v>4.65E-2</v>
      </c>
      <c r="AI33" s="27">
        <v>-1.0200000000000001E-2</v>
      </c>
      <c r="AK33" s="5"/>
      <c r="AQ33" s="5"/>
      <c r="AR33" s="5"/>
      <c r="AS33" s="5"/>
      <c r="AT33" s="5"/>
      <c r="AU33" s="5"/>
      <c r="AV33" s="5"/>
      <c r="AW33" s="5"/>
      <c r="AX33" s="5"/>
      <c r="AY33" s="5"/>
      <c r="AZ33" s="5"/>
    </row>
    <row r="34" spans="1:61" ht="13.2">
      <c r="A34" s="41">
        <f t="shared" si="1"/>
        <v>3</v>
      </c>
      <c r="B34" s="1" t="s">
        <v>260</v>
      </c>
      <c r="C34" s="42" t="str">
        <f ca="1">IFERROR(__xludf.DUMMYFUNCTION("GoogleFinance(B34,""name"")"),"Air Products and Chemicals Inc")</f>
        <v>Air Products and Chemicals Inc</v>
      </c>
      <c r="D34" s="43">
        <f ca="1">IFERROR(__xludf.DUMMYFUNCTION("GoogleFinance(B34,""marketcap"")/1000000"),57921.535239)</f>
        <v>57921.535238999997</v>
      </c>
      <c r="E34" s="44" t="s">
        <v>11</v>
      </c>
      <c r="F34" s="44" t="s">
        <v>261</v>
      </c>
      <c r="G34" s="46">
        <f ca="1">IFERROR(__xludf.DUMMYFUNCTION("GOOGLEFINANCE(B34)"),260.64)</f>
        <v>260.64</v>
      </c>
      <c r="H34" s="53">
        <v>294</v>
      </c>
      <c r="I34" s="458">
        <f ca="1">H34/G34-1</f>
        <v>0.12799263351749546</v>
      </c>
      <c r="J34" s="21">
        <v>250</v>
      </c>
      <c r="K34" s="459">
        <f>H34/J34-1</f>
        <v>0.17599999999999993</v>
      </c>
      <c r="L34" s="8">
        <f ca="1">IFERROR(__xludf.DUMMYFUNCTION("GoogleFinance(B34,""changepct"")/100"),0.0023)</f>
        <v>2.3E-3</v>
      </c>
      <c r="M34" s="8" t="e">
        <f ca="1">G34/V35-1</f>
        <v>#DIV/0!</v>
      </c>
      <c r="N34" s="8" t="e">
        <f ca="1">G34/X35-1</f>
        <v>#DIV/0!</v>
      </c>
      <c r="O34" s="8" t="e">
        <f ca="1">G34/Z35-1</f>
        <v>#DIV/0!</v>
      </c>
      <c r="P34" s="8" t="e">
        <f ca="1">G34/AB35-1</f>
        <v>#DIV/0!</v>
      </c>
      <c r="Q34" s="8">
        <f ca="1">G34/AD35-1</f>
        <v>-0.15447998442872901</v>
      </c>
      <c r="R34" s="2"/>
      <c r="S34" s="2"/>
      <c r="T34" s="2"/>
      <c r="U34" s="2" t="str">
        <f ca="1">IFERROR(__xludf.DUMMYFUNCTION("GoogleFinance(B34,""price"",today()-7)"),"#N/A")</f>
        <v>#N/A</v>
      </c>
      <c r="V34" s="25"/>
      <c r="W34" s="2" t="str">
        <f ca="1">IFERROR(__xludf.DUMMYFUNCTION("GoogleFinance(B34,""price"",today()-31)"),"#N/A")</f>
        <v>#N/A</v>
      </c>
      <c r="X34" s="25"/>
      <c r="Y34" s="2" t="str">
        <f ca="1">IFERROR(__xludf.DUMMYFUNCTION("GoogleFinance(B34,""price"",today()-91)"),"#N/A")</f>
        <v>#N/A</v>
      </c>
      <c r="Z34" s="25"/>
      <c r="AA34" s="2" t="str">
        <f ca="1">IFERROR(__xludf.DUMMYFUNCTION("GoogleFinance(B34,""price"",today()-182)"),"#N/A")</f>
        <v>#N/A</v>
      </c>
      <c r="AB34" s="25"/>
      <c r="AC34" s="2" t="str">
        <f ca="1">IFERROR(__xludf.DUMMYFUNCTION("GoogleFinance(B34,""price"",DATE(2022,12,30))"),"Date")</f>
        <v>Date</v>
      </c>
      <c r="AD34" s="25" t="str">
        <f ca="1">IFERROR(__xludf.DUMMYFUNCTION("""COMPUTED_VALUE"""),"Close")</f>
        <v>Close</v>
      </c>
      <c r="AE34" s="5"/>
      <c r="AF34" s="5"/>
      <c r="AG34" s="5"/>
      <c r="AH34" s="5"/>
      <c r="AK34" s="5"/>
      <c r="AQ34" s="5"/>
      <c r="AR34" s="5"/>
      <c r="AS34" s="5"/>
      <c r="AT34" s="5"/>
      <c r="AU34" s="5"/>
      <c r="AV34" s="5"/>
      <c r="AW34" s="5"/>
      <c r="AX34" s="5"/>
      <c r="AY34" s="5"/>
      <c r="AZ34" s="5"/>
    </row>
    <row r="35" spans="1:61" ht="13.2" hidden="1">
      <c r="A35" s="41"/>
      <c r="B35" s="1"/>
      <c r="C35" s="42"/>
      <c r="D35" s="43"/>
      <c r="E35" s="44"/>
      <c r="F35" s="44"/>
      <c r="G35" s="73"/>
      <c r="H35" s="53"/>
      <c r="I35" s="51"/>
      <c r="J35" s="44"/>
      <c r="K35" s="95"/>
      <c r="L35" s="63"/>
      <c r="M35" s="51"/>
      <c r="N35" s="51"/>
      <c r="O35" s="51"/>
      <c r="P35" s="51"/>
      <c r="Q35" s="51"/>
      <c r="R35" s="2"/>
      <c r="S35" s="2"/>
      <c r="T35" s="2"/>
      <c r="U35" s="2"/>
      <c r="V35" s="25"/>
      <c r="W35" s="2"/>
      <c r="X35" s="25"/>
      <c r="Y35" s="2"/>
      <c r="Z35" s="25"/>
      <c r="AA35" s="2"/>
      <c r="AB35" s="25"/>
      <c r="AC35" s="2">
        <f ca="1">IFERROR(__xludf.DUMMYFUNCTION("""COMPUTED_VALUE"""),44925.6666666666)</f>
        <v>44925.666666666599</v>
      </c>
      <c r="AD35" s="25">
        <f ca="1">IFERROR(__xludf.DUMMYFUNCTION("""COMPUTED_VALUE"""),308.26)</f>
        <v>308.26</v>
      </c>
      <c r="AE35" s="5"/>
      <c r="AF35" s="5"/>
      <c r="AG35" s="5" t="s">
        <v>69</v>
      </c>
      <c r="AH35" s="5">
        <v>4.65E-2</v>
      </c>
      <c r="AI35" s="27">
        <v>-1.0200000000000001E-2</v>
      </c>
      <c r="AK35" s="5"/>
      <c r="AQ35" s="5"/>
      <c r="AR35" s="5"/>
      <c r="AS35" s="5"/>
      <c r="AT35" s="5"/>
      <c r="AU35" s="5"/>
      <c r="AV35" s="5"/>
      <c r="AW35" s="5"/>
      <c r="AX35" s="5"/>
      <c r="AY35" s="5"/>
      <c r="AZ35" s="5"/>
    </row>
    <row r="36" spans="1:61" ht="13.2">
      <c r="A36" s="41">
        <f>1+A34</f>
        <v>4</v>
      </c>
      <c r="B36" s="1" t="s">
        <v>262</v>
      </c>
      <c r="C36" s="42" t="str">
        <f ca="1">IFERROR(__xludf.DUMMYFUNCTION("GoogleFinance(B36,""name"")"),"Eli Lilly And Co")</f>
        <v>Eli Lilly And Co</v>
      </c>
      <c r="D36" s="43">
        <f ca="1">IFERROR(__xludf.DUMMYFUNCTION("GoogleFinance(B36,""marketcap"")/1000000"),596715.535999)</f>
        <v>596715.53599899996</v>
      </c>
      <c r="E36" s="44" t="s">
        <v>15</v>
      </c>
      <c r="F36" s="44" t="s">
        <v>263</v>
      </c>
      <c r="G36" s="46">
        <f ca="1">IFERROR(__xludf.DUMMYFUNCTION("GOOGLEFINANCE(B36)"),628.58)</f>
        <v>628.58000000000004</v>
      </c>
      <c r="H36" s="53">
        <v>560</v>
      </c>
      <c r="I36" s="458">
        <f ca="1">H36/G36-1</f>
        <v>-0.10910305768557704</v>
      </c>
      <c r="J36" s="21">
        <v>430</v>
      </c>
      <c r="K36" s="459">
        <f>H36/J36-1</f>
        <v>0.30232558139534893</v>
      </c>
      <c r="L36" s="8">
        <f ca="1">IFERROR(__xludf.DUMMYFUNCTION("GoogleFinance(B36,""changepct"")/100"),0.0084)</f>
        <v>8.3999999999999995E-3</v>
      </c>
      <c r="M36" s="8" t="e">
        <f ca="1">G36/V37-1</f>
        <v>#DIV/0!</v>
      </c>
      <c r="N36" s="8" t="e">
        <f ca="1">G36/X37-1</f>
        <v>#DIV/0!</v>
      </c>
      <c r="O36" s="8" t="e">
        <f ca="1">G36/Z37-1</f>
        <v>#DIV/0!</v>
      </c>
      <c r="P36" s="8" t="e">
        <f ca="1">G36/AB37-1</f>
        <v>#DIV/0!</v>
      </c>
      <c r="Q36" s="8">
        <f ca="1">G36/AD37-1</f>
        <v>0.71818281215832092</v>
      </c>
      <c r="R36" s="2"/>
      <c r="S36" s="2"/>
      <c r="T36" s="2"/>
      <c r="U36" s="2" t="str">
        <f ca="1">IFERROR(__xludf.DUMMYFUNCTION("GoogleFinance(B36,""price"",today()-7)"),"#N/A")</f>
        <v>#N/A</v>
      </c>
      <c r="V36" s="25"/>
      <c r="W36" s="2" t="str">
        <f ca="1">IFERROR(__xludf.DUMMYFUNCTION("GoogleFinance(B36,""price"",today()-31)"),"#N/A")</f>
        <v>#N/A</v>
      </c>
      <c r="X36" s="25"/>
      <c r="Y36" s="2" t="str">
        <f ca="1">IFERROR(__xludf.DUMMYFUNCTION("GoogleFinance(B36,""price"",today()-91)"),"#N/A")</f>
        <v>#N/A</v>
      </c>
      <c r="Z36" s="25"/>
      <c r="AA36" s="2" t="str">
        <f ca="1">IFERROR(__xludf.DUMMYFUNCTION("GoogleFinance(B36,""price"",today()-182)"),"#N/A")</f>
        <v>#N/A</v>
      </c>
      <c r="AB36" s="25"/>
      <c r="AC36" s="2" t="str">
        <f ca="1">IFERROR(__xludf.DUMMYFUNCTION("GoogleFinance(B36,""price"",DATE(2022,12,30))"),"Date")</f>
        <v>Date</v>
      </c>
      <c r="AD36" s="25" t="str">
        <f ca="1">IFERROR(__xludf.DUMMYFUNCTION("""COMPUTED_VALUE"""),"Close")</f>
        <v>Close</v>
      </c>
      <c r="AE36" s="5"/>
      <c r="AF36" s="5"/>
      <c r="AG36" s="5"/>
      <c r="AH36" s="5"/>
      <c r="AK36" s="5"/>
      <c r="AQ36" s="5"/>
      <c r="AR36" s="5"/>
      <c r="AS36" s="5"/>
      <c r="AT36" s="5"/>
      <c r="AU36" s="5"/>
      <c r="AV36" s="5"/>
      <c r="AW36" s="5"/>
      <c r="AX36" s="5"/>
      <c r="AY36" s="5"/>
      <c r="AZ36" s="5"/>
    </row>
    <row r="37" spans="1:61" ht="13.2" hidden="1">
      <c r="A37" s="41"/>
      <c r="B37" s="1"/>
      <c r="C37" s="42"/>
      <c r="D37" s="43"/>
      <c r="E37" s="44"/>
      <c r="F37" s="44"/>
      <c r="G37" s="73"/>
      <c r="H37" s="53"/>
      <c r="I37" s="51"/>
      <c r="J37" s="44"/>
      <c r="K37" s="95"/>
      <c r="L37" s="63"/>
      <c r="M37" s="51"/>
      <c r="N37" s="51"/>
      <c r="O37" s="51"/>
      <c r="P37" s="51"/>
      <c r="Q37" s="51"/>
      <c r="R37" s="2"/>
      <c r="S37" s="2"/>
      <c r="T37" s="2"/>
      <c r="U37" s="2"/>
      <c r="V37" s="25"/>
      <c r="W37" s="2"/>
      <c r="X37" s="25"/>
      <c r="Y37" s="2"/>
      <c r="Z37" s="25"/>
      <c r="AA37" s="2"/>
      <c r="AB37" s="25"/>
      <c r="AC37" s="2">
        <f ca="1">IFERROR(__xludf.DUMMYFUNCTION("""COMPUTED_VALUE"""),44925.6666666666)</f>
        <v>44925.666666666599</v>
      </c>
      <c r="AD37" s="25">
        <f ca="1">IFERROR(__xludf.DUMMYFUNCTION("""COMPUTED_VALUE"""),365.84)</f>
        <v>365.84</v>
      </c>
      <c r="AE37" s="5"/>
      <c r="AF37" s="5"/>
      <c r="AG37" s="5" t="s">
        <v>69</v>
      </c>
      <c r="AH37" s="5">
        <v>4.65E-2</v>
      </c>
      <c r="AI37" s="27">
        <v>-1.0200000000000001E-2</v>
      </c>
      <c r="AK37" s="5"/>
      <c r="AQ37" s="5"/>
      <c r="AR37" s="5"/>
      <c r="AS37" s="5"/>
      <c r="AT37" s="5"/>
      <c r="AU37" s="5"/>
      <c r="AV37" s="5"/>
      <c r="AW37" s="5"/>
      <c r="AX37" s="5"/>
      <c r="AY37" s="5"/>
      <c r="AZ37" s="5"/>
    </row>
    <row r="38" spans="1:61" ht="13.2">
      <c r="A38" s="41">
        <f>1+A36</f>
        <v>5</v>
      </c>
      <c r="B38" s="1" t="s">
        <v>264</v>
      </c>
      <c r="C38" s="42" t="str">
        <f ca="1">IFERROR(__xludf.DUMMYFUNCTION("GoogleFinance(B38,""name"")"),"Madison Square Garden Sports Corp")</f>
        <v>Madison Square Garden Sports Corp</v>
      </c>
      <c r="D38" s="43">
        <f ca="1">IFERROR(__xludf.DUMMYFUNCTION("GoogleFinance(B38,""marketcap"")/1000000"),4434.469)</f>
        <v>4434.4690000000001</v>
      </c>
      <c r="E38" s="44" t="s">
        <v>12</v>
      </c>
      <c r="F38" s="44" t="s">
        <v>93</v>
      </c>
      <c r="G38" s="46">
        <f ca="1">IFERROR(__xludf.DUMMYFUNCTION("GOOGLEFINANCE(B38)"),189.94)</f>
        <v>189.94</v>
      </c>
      <c r="H38" s="53">
        <v>185</v>
      </c>
      <c r="I38" s="458">
        <f ca="1">H38/G38-1</f>
        <v>-2.6008213119932622E-2</v>
      </c>
      <c r="J38" s="21">
        <v>130</v>
      </c>
      <c r="K38" s="459">
        <f>H38/J38-1</f>
        <v>0.42307692307692313</v>
      </c>
      <c r="L38" s="8">
        <f ca="1">IFERROR(__xludf.DUMMYFUNCTION("GoogleFinance(B38,""changepct"")/100"),0.0076)</f>
        <v>7.6E-3</v>
      </c>
      <c r="M38" s="8" t="e">
        <f ca="1">G38/V39-1</f>
        <v>#DIV/0!</v>
      </c>
      <c r="N38" s="8" t="e">
        <f ca="1">G38/X39-1</f>
        <v>#DIV/0!</v>
      </c>
      <c r="O38" s="8" t="e">
        <f ca="1">G38/Z39-1</f>
        <v>#DIV/0!</v>
      </c>
      <c r="P38" s="8" t="e">
        <f ca="1">G38/AB39-1</f>
        <v>#DIV/0!</v>
      </c>
      <c r="Q38" s="8">
        <f ca="1">G38/AD39-1</f>
        <v>3.6055201003654558E-2</v>
      </c>
      <c r="R38" s="2"/>
      <c r="S38" s="2"/>
      <c r="T38" s="2"/>
      <c r="U38" s="2" t="str">
        <f ca="1">IFERROR(__xludf.DUMMYFUNCTION("GoogleFinance(B38,""price"",today()-7)"),"#N/A")</f>
        <v>#N/A</v>
      </c>
      <c r="V38" s="25"/>
      <c r="W38" s="2" t="str">
        <f ca="1">IFERROR(__xludf.DUMMYFUNCTION("GoogleFinance(B38,""price"",today()-31)"),"#N/A")</f>
        <v>#N/A</v>
      </c>
      <c r="X38" s="25"/>
      <c r="Y38" s="2" t="str">
        <f ca="1">IFERROR(__xludf.DUMMYFUNCTION("GoogleFinance(B38,""price"",today()-91)"),"#N/A")</f>
        <v>#N/A</v>
      </c>
      <c r="Z38" s="25"/>
      <c r="AA38" s="2" t="str">
        <f ca="1">IFERROR(__xludf.DUMMYFUNCTION("GoogleFinance(B38,""price"",today()-182)"),"#N/A")</f>
        <v>#N/A</v>
      </c>
      <c r="AB38" s="25"/>
      <c r="AC38" s="2" t="str">
        <f ca="1">IFERROR(__xludf.DUMMYFUNCTION("GoogleFinance(B38,""price"",DATE(2022,12,30))"),"Date")</f>
        <v>Date</v>
      </c>
      <c r="AD38" s="25" t="str">
        <f ca="1">IFERROR(__xludf.DUMMYFUNCTION("""COMPUTED_VALUE"""),"Close")</f>
        <v>Close</v>
      </c>
      <c r="AE38" s="5"/>
      <c r="AF38" s="5"/>
      <c r="AG38" s="5"/>
      <c r="AH38" s="5"/>
      <c r="AK38" s="5"/>
      <c r="AQ38" s="5"/>
      <c r="AR38" s="5"/>
      <c r="AS38" s="5"/>
      <c r="AT38" s="5"/>
      <c r="AU38" s="5"/>
      <c r="AV38" s="5"/>
      <c r="AW38" s="5"/>
      <c r="AX38" s="5"/>
      <c r="AY38" s="5"/>
      <c r="AZ38" s="5"/>
    </row>
    <row r="39" spans="1:61" ht="13.2" hidden="1">
      <c r="A39" s="41"/>
      <c r="B39" s="1"/>
      <c r="C39" s="42"/>
      <c r="D39" s="43"/>
      <c r="E39" s="44"/>
      <c r="F39" s="44"/>
      <c r="G39" s="73"/>
      <c r="H39" s="53"/>
      <c r="I39" s="51"/>
      <c r="J39" s="44"/>
      <c r="K39" s="95"/>
      <c r="L39" s="63"/>
      <c r="M39" s="51"/>
      <c r="N39" s="51"/>
      <c r="O39" s="51"/>
      <c r="P39" s="51"/>
      <c r="Q39" s="51"/>
      <c r="R39" s="2"/>
      <c r="S39" s="2"/>
      <c r="T39" s="2"/>
      <c r="U39" s="2"/>
      <c r="V39" s="25"/>
      <c r="W39" s="2"/>
      <c r="X39" s="25"/>
      <c r="Y39" s="2"/>
      <c r="Z39" s="25"/>
      <c r="AA39" s="2"/>
      <c r="AB39" s="25"/>
      <c r="AC39" s="2">
        <f ca="1">IFERROR(__xludf.DUMMYFUNCTION("""COMPUTED_VALUE"""),44925.6666666666)</f>
        <v>44925.666666666599</v>
      </c>
      <c r="AD39" s="25">
        <f ca="1">IFERROR(__xludf.DUMMYFUNCTION("""COMPUTED_VALUE"""),183.33)</f>
        <v>183.33</v>
      </c>
      <c r="AE39" s="5"/>
      <c r="AF39" s="5"/>
      <c r="AG39" s="5" t="s">
        <v>69</v>
      </c>
      <c r="AH39" s="5">
        <v>4.65E-2</v>
      </c>
      <c r="AI39" s="27">
        <v>-1.0200000000000001E-2</v>
      </c>
      <c r="AK39" s="5"/>
      <c r="AQ39" s="5"/>
      <c r="AR39" s="5"/>
      <c r="AS39" s="5"/>
      <c r="AT39" s="5"/>
      <c r="AU39" s="5"/>
      <c r="AV39" s="5"/>
      <c r="AW39" s="5"/>
      <c r="AX39" s="5"/>
      <c r="AY39" s="5"/>
      <c r="AZ39" s="5"/>
    </row>
    <row r="40" spans="1:61" ht="13.2">
      <c r="A40" s="41">
        <f>1+A38</f>
        <v>6</v>
      </c>
      <c r="B40" s="1" t="s">
        <v>265</v>
      </c>
      <c r="C40" s="42" t="str">
        <f ca="1">IFERROR(__xludf.DUMMYFUNCTION("GoogleFinance(B40,""name"")"),"Lowe's Companies Inc")</f>
        <v>Lowe's Companies Inc</v>
      </c>
      <c r="D40" s="43">
        <f ca="1">IFERROR(__xludf.DUMMYFUNCTION("GoogleFinance(B40,""marketcap"")/1000000"),126530.497965)</f>
        <v>126530.497965</v>
      </c>
      <c r="E40" s="44" t="s">
        <v>266</v>
      </c>
      <c r="F40" s="44" t="s">
        <v>267</v>
      </c>
      <c r="G40" s="46">
        <f ca="1">IFERROR(__xludf.DUMMYFUNCTION("GOOGLEFINANCE(B40)"),220.01)</f>
        <v>220.01</v>
      </c>
      <c r="H40" s="53">
        <v>220</v>
      </c>
      <c r="I40" s="458">
        <f ca="1">H40/G40-1</f>
        <v>-4.5452479432661619E-5</v>
      </c>
      <c r="J40" s="21">
        <v>162</v>
      </c>
      <c r="K40" s="459">
        <f>H40/J40-1</f>
        <v>0.35802469135802473</v>
      </c>
      <c r="L40" s="8">
        <f ca="1">IFERROR(__xludf.DUMMYFUNCTION("GoogleFinance(B40,""changepct"")/100"),0.00819999999999999)</f>
        <v>8.1999999999999903E-3</v>
      </c>
      <c r="M40" s="8" t="e">
        <f ca="1">G40/V41-1</f>
        <v>#DIV/0!</v>
      </c>
      <c r="N40" s="8" t="e">
        <f ca="1">G40/X41-1</f>
        <v>#DIV/0!</v>
      </c>
      <c r="O40" s="8" t="e">
        <f ca="1">G40/Z41-1</f>
        <v>#DIV/0!</v>
      </c>
      <c r="P40" s="8" t="e">
        <f ca="1">G40/AB41-1</f>
        <v>#DIV/0!</v>
      </c>
      <c r="Q40" s="8">
        <f ca="1">G40/AD41-1</f>
        <v>0.10424613531419391</v>
      </c>
      <c r="R40" s="2"/>
      <c r="S40" s="2"/>
      <c r="T40" s="2"/>
      <c r="U40" s="2" t="str">
        <f ca="1">IFERROR(__xludf.DUMMYFUNCTION("GoogleFinance(B40,""price"",today()-7)"),"#N/A")</f>
        <v>#N/A</v>
      </c>
      <c r="V40" s="25"/>
      <c r="W40" s="2" t="str">
        <f ca="1">IFERROR(__xludf.DUMMYFUNCTION("GoogleFinance(B40,""price"",today()-31)"),"#N/A")</f>
        <v>#N/A</v>
      </c>
      <c r="X40" s="25"/>
      <c r="Y40" s="2" t="str">
        <f ca="1">IFERROR(__xludf.DUMMYFUNCTION("GoogleFinance(B40,""price"",today()-91)"),"#N/A")</f>
        <v>#N/A</v>
      </c>
      <c r="Z40" s="25"/>
      <c r="AA40" s="2" t="str">
        <f ca="1">IFERROR(__xludf.DUMMYFUNCTION("GoogleFinance(B40,""price"",today()-182)"),"#N/A")</f>
        <v>#N/A</v>
      </c>
      <c r="AB40" s="25"/>
      <c r="AC40" s="2" t="str">
        <f ca="1">IFERROR(__xludf.DUMMYFUNCTION("GoogleFinance(B40,""price"",DATE(2022,12,30))"),"Date")</f>
        <v>Date</v>
      </c>
      <c r="AD40" s="25" t="str">
        <f ca="1">IFERROR(__xludf.DUMMYFUNCTION("""COMPUTED_VALUE"""),"Close")</f>
        <v>Close</v>
      </c>
      <c r="AE40" s="5"/>
      <c r="AF40" s="5"/>
      <c r="AG40" s="5"/>
      <c r="AH40" s="5"/>
      <c r="AK40" s="5"/>
      <c r="AQ40" s="5"/>
      <c r="AR40" s="5"/>
      <c r="AS40" s="5"/>
      <c r="AT40" s="5"/>
      <c r="AU40" s="5"/>
      <c r="AV40" s="5"/>
      <c r="AW40" s="5"/>
      <c r="AX40" s="5"/>
      <c r="AY40" s="5"/>
      <c r="AZ40" s="5"/>
    </row>
    <row r="41" spans="1:61" ht="13.2">
      <c r="A41" s="41"/>
      <c r="B41" s="1"/>
      <c r="C41" s="42"/>
      <c r="D41" s="43"/>
      <c r="E41" s="44"/>
      <c r="F41" s="44"/>
      <c r="G41" s="73"/>
      <c r="H41" s="53"/>
      <c r="I41" s="51"/>
      <c r="J41" s="44"/>
      <c r="K41" s="95"/>
      <c r="L41" s="63"/>
      <c r="M41" s="51"/>
      <c r="N41" s="51"/>
      <c r="O41" s="51"/>
      <c r="P41" s="51"/>
      <c r="Q41" s="51"/>
      <c r="R41" s="2"/>
      <c r="S41" s="2"/>
      <c r="T41" s="2"/>
      <c r="U41" s="2"/>
      <c r="V41" s="25"/>
      <c r="W41" s="2"/>
      <c r="X41" s="25"/>
      <c r="Y41" s="2"/>
      <c r="Z41" s="25"/>
      <c r="AA41" s="2"/>
      <c r="AB41" s="25"/>
      <c r="AC41" s="2">
        <f ca="1">IFERROR(__xludf.DUMMYFUNCTION("""COMPUTED_VALUE"""),44925.6666666666)</f>
        <v>44925.666666666599</v>
      </c>
      <c r="AD41" s="25">
        <f ca="1">IFERROR(__xludf.DUMMYFUNCTION("""COMPUTED_VALUE"""),199.24)</f>
        <v>199.24</v>
      </c>
      <c r="AE41" s="5"/>
      <c r="AF41" s="5"/>
      <c r="AG41" s="5" t="s">
        <v>69</v>
      </c>
      <c r="AH41" s="5">
        <v>4.65E-2</v>
      </c>
      <c r="AI41" s="27">
        <v>-1.0200000000000001E-2</v>
      </c>
      <c r="AK41" s="5"/>
      <c r="AQ41" s="5"/>
      <c r="AR41" s="5"/>
      <c r="AS41" s="5"/>
      <c r="AT41" s="5"/>
      <c r="AU41" s="5"/>
      <c r="AV41" s="5"/>
      <c r="AW41" s="5"/>
      <c r="AX41" s="5"/>
      <c r="AY41" s="5"/>
      <c r="AZ41" s="5"/>
    </row>
    <row r="42" spans="1:61" ht="15.75" customHeight="1">
      <c r="A42" s="25"/>
      <c r="B42" s="25"/>
      <c r="C42" s="291"/>
      <c r="D42" s="25"/>
      <c r="E42" s="25"/>
      <c r="F42" s="25"/>
      <c r="G42" s="26"/>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row>
    <row r="43" spans="1:61" ht="15.75" customHeight="1">
      <c r="A43" s="25"/>
      <c r="B43" s="25"/>
      <c r="C43" s="291"/>
      <c r="D43" s="25"/>
      <c r="E43" s="25"/>
      <c r="F43" s="25"/>
      <c r="G43" s="26"/>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row>
    <row r="44" spans="1:61" ht="15.75" customHeight="1">
      <c r="A44" s="25"/>
      <c r="B44" s="25"/>
      <c r="C44" s="291"/>
      <c r="D44" s="25"/>
      <c r="E44" s="25"/>
      <c r="F44" s="25"/>
      <c r="G44" s="26"/>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row>
    <row r="45" spans="1:61" ht="15.75" customHeight="1">
      <c r="A45" s="25"/>
      <c r="B45" s="25"/>
      <c r="C45" s="291"/>
      <c r="D45" s="25"/>
      <c r="E45" s="25"/>
      <c r="F45" s="25"/>
      <c r="G45" s="26"/>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row>
    <row r="46" spans="1:61" ht="15.75" customHeight="1">
      <c r="A46" s="25"/>
      <c r="B46" s="25"/>
      <c r="C46" s="291"/>
      <c r="D46" s="25"/>
      <c r="E46" s="25"/>
      <c r="F46" s="25"/>
      <c r="G46" s="26"/>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row>
    <row r="47" spans="1:61" ht="15.75" customHeight="1">
      <c r="A47" s="25"/>
      <c r="B47" s="25"/>
      <c r="C47" s="291"/>
      <c r="D47" s="25"/>
      <c r="E47" s="25"/>
      <c r="F47" s="25"/>
      <c r="G47" s="26"/>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row>
    <row r="48" spans="1:61" ht="15.75" customHeight="1">
      <c r="A48" s="25"/>
      <c r="B48" s="25"/>
      <c r="C48" s="291"/>
      <c r="D48" s="25"/>
      <c r="E48" s="25"/>
      <c r="F48" s="25"/>
      <c r="G48" s="26"/>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row>
    <row r="49" spans="1:61" ht="15.75" customHeight="1">
      <c r="A49" s="25"/>
      <c r="B49" s="25"/>
      <c r="C49" s="291"/>
      <c r="D49" s="25"/>
      <c r="E49" s="25"/>
      <c r="F49" s="25"/>
      <c r="G49" s="26"/>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row>
    <row r="50" spans="1:61" ht="15.75" customHeight="1">
      <c r="A50" s="25"/>
      <c r="B50" s="25"/>
      <c r="C50" s="291"/>
      <c r="D50" s="25"/>
      <c r="E50" s="25"/>
      <c r="F50" s="25"/>
      <c r="G50" s="26"/>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row>
    <row r="51" spans="1:61" ht="15.75" customHeight="1">
      <c r="A51" s="25"/>
      <c r="B51" s="25"/>
      <c r="C51" s="291"/>
      <c r="D51" s="25"/>
      <c r="E51" s="25"/>
      <c r="F51" s="25"/>
      <c r="G51" s="26"/>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row>
    <row r="52" spans="1:61" ht="15.75" customHeight="1">
      <c r="A52" s="25"/>
      <c r="B52" s="25"/>
      <c r="C52" s="291"/>
      <c r="D52" s="25"/>
      <c r="E52" s="25"/>
      <c r="F52" s="25"/>
      <c r="G52" s="26"/>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row>
    <row r="53" spans="1:61" ht="15.75" customHeight="1">
      <c r="A53" s="25"/>
      <c r="B53" s="25"/>
      <c r="C53" s="291"/>
      <c r="D53" s="25"/>
      <c r="E53" s="25"/>
      <c r="F53" s="25"/>
      <c r="G53" s="26"/>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row>
    <row r="54" spans="1:61" ht="15.75" customHeight="1">
      <c r="A54" s="25"/>
      <c r="B54" s="25"/>
      <c r="C54" s="291"/>
      <c r="D54" s="25"/>
      <c r="E54" s="25"/>
      <c r="F54" s="25"/>
      <c r="G54" s="26"/>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row>
    <row r="55" spans="1:61" ht="15.75" customHeight="1">
      <c r="A55" s="25"/>
      <c r="B55" s="25"/>
      <c r="C55" s="291"/>
      <c r="D55" s="25"/>
      <c r="E55" s="25"/>
      <c r="F55" s="25"/>
      <c r="G55" s="26"/>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row>
    <row r="56" spans="1:61" ht="15.75" customHeight="1">
      <c r="A56" s="25"/>
      <c r="B56" s="25"/>
      <c r="C56" s="291"/>
      <c r="D56" s="25"/>
      <c r="E56" s="25"/>
      <c r="F56" s="25"/>
      <c r="G56" s="26"/>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row>
    <row r="57" spans="1:61" ht="15.75" customHeight="1">
      <c r="A57" s="25"/>
      <c r="B57" s="25"/>
      <c r="C57" s="291"/>
      <c r="D57" s="25"/>
      <c r="E57" s="25"/>
      <c r="F57" s="25"/>
      <c r="G57" s="26"/>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row>
    <row r="58" spans="1:61" ht="15.75" customHeight="1">
      <c r="A58" s="25"/>
      <c r="B58" s="25"/>
      <c r="C58" s="291"/>
      <c r="D58" s="25"/>
      <c r="E58" s="25"/>
      <c r="F58" s="25"/>
      <c r="G58" s="26"/>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row>
    <row r="59" spans="1:61" ht="15.75" customHeight="1">
      <c r="A59" s="25"/>
      <c r="B59" s="25"/>
      <c r="C59" s="291"/>
      <c r="D59" s="25"/>
      <c r="E59" s="25"/>
      <c r="F59" s="25"/>
      <c r="G59" s="26"/>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row>
    <row r="60" spans="1:61" ht="15.75" customHeight="1">
      <c r="A60" s="25"/>
      <c r="B60" s="25"/>
      <c r="C60" s="291"/>
      <c r="D60" s="25"/>
      <c r="E60" s="25"/>
      <c r="F60" s="25"/>
      <c r="G60" s="26"/>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row>
    <row r="61" spans="1:61" ht="15.75" customHeight="1">
      <c r="A61" s="25"/>
      <c r="B61" s="25"/>
      <c r="C61" s="291"/>
      <c r="D61" s="25"/>
      <c r="E61" s="25"/>
      <c r="F61" s="25"/>
      <c r="G61" s="26"/>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row>
    <row r="62" spans="1:61" ht="15.75" customHeight="1">
      <c r="A62" s="25"/>
      <c r="B62" s="25"/>
      <c r="C62" s="291"/>
      <c r="D62" s="25"/>
      <c r="E62" s="25"/>
      <c r="F62" s="25"/>
      <c r="G62" s="26"/>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row>
    <row r="63" spans="1:61" ht="15.75" customHeight="1">
      <c r="A63" s="25"/>
      <c r="B63" s="25"/>
      <c r="C63" s="291"/>
      <c r="D63" s="25"/>
      <c r="E63" s="25"/>
      <c r="F63" s="25"/>
      <c r="G63" s="26"/>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row>
    <row r="64" spans="1:61" ht="15.75" customHeight="1">
      <c r="A64" s="25"/>
      <c r="B64" s="25"/>
      <c r="C64" s="291"/>
      <c r="D64" s="25"/>
      <c r="E64" s="25"/>
      <c r="F64" s="25"/>
      <c r="G64" s="26"/>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row>
    <row r="65" spans="1:61" ht="15.75" customHeight="1">
      <c r="A65" s="25"/>
      <c r="B65" s="25"/>
      <c r="C65" s="291"/>
      <c r="D65" s="25"/>
      <c r="E65" s="25"/>
      <c r="F65" s="25"/>
      <c r="G65" s="26"/>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row>
    <row r="66" spans="1:61" ht="15.75" customHeight="1">
      <c r="A66" s="25"/>
      <c r="B66" s="25"/>
      <c r="C66" s="291"/>
      <c r="D66" s="25"/>
      <c r="E66" s="25"/>
      <c r="F66" s="25"/>
      <c r="G66" s="26"/>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row>
    <row r="67" spans="1:61" ht="15.75" customHeight="1">
      <c r="A67" s="25"/>
      <c r="B67" s="25"/>
      <c r="C67" s="291"/>
      <c r="D67" s="25"/>
      <c r="E67" s="25"/>
      <c r="F67" s="25"/>
      <c r="G67" s="26"/>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row>
    <row r="68" spans="1:61" ht="15.75" customHeight="1">
      <c r="A68" s="25"/>
      <c r="B68" s="25"/>
      <c r="C68" s="291"/>
      <c r="D68" s="25"/>
      <c r="E68" s="25"/>
      <c r="F68" s="25"/>
      <c r="G68" s="26"/>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row>
    <row r="69" spans="1:61" ht="15.75" customHeight="1">
      <c r="A69" s="25"/>
      <c r="B69" s="25"/>
      <c r="C69" s="291"/>
      <c r="D69" s="25"/>
      <c r="E69" s="25"/>
      <c r="F69" s="25"/>
      <c r="G69" s="26"/>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row>
    <row r="70" spans="1:61" ht="15.75" customHeight="1">
      <c r="A70" s="25"/>
      <c r="B70" s="25"/>
      <c r="C70" s="291"/>
      <c r="D70" s="25"/>
      <c r="E70" s="25"/>
      <c r="F70" s="25"/>
      <c r="G70" s="26"/>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row>
    <row r="71" spans="1:61" ht="15.75" customHeight="1">
      <c r="A71" s="25"/>
      <c r="B71" s="25"/>
      <c r="C71" s="291"/>
      <c r="D71" s="25"/>
      <c r="E71" s="25"/>
      <c r="F71" s="25"/>
      <c r="G71" s="26"/>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row>
    <row r="72" spans="1:61" ht="15.75" customHeight="1">
      <c r="A72" s="25"/>
      <c r="B72" s="25"/>
      <c r="C72" s="291"/>
      <c r="D72" s="25"/>
      <c r="E72" s="25"/>
      <c r="F72" s="25"/>
      <c r="G72" s="26"/>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row>
    <row r="73" spans="1:61" ht="15.75" customHeight="1">
      <c r="A73" s="25"/>
      <c r="B73" s="25"/>
      <c r="C73" s="291"/>
      <c r="D73" s="25"/>
      <c r="E73" s="25"/>
      <c r="F73" s="25"/>
      <c r="G73" s="26"/>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row>
    <row r="74" spans="1:61" ht="15.75" customHeight="1">
      <c r="A74" s="25"/>
      <c r="B74" s="25"/>
      <c r="C74" s="291"/>
      <c r="D74" s="25"/>
      <c r="E74" s="25"/>
      <c r="F74" s="25"/>
      <c r="G74" s="26"/>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row>
    <row r="75" spans="1:61" ht="15.75" customHeight="1">
      <c r="A75" s="25"/>
      <c r="B75" s="25"/>
      <c r="C75" s="291"/>
      <c r="D75" s="25"/>
      <c r="E75" s="25"/>
      <c r="F75" s="25"/>
      <c r="G75" s="26"/>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row>
    <row r="76" spans="1:61" ht="15.75" customHeight="1">
      <c r="A76" s="25"/>
      <c r="B76" s="25"/>
      <c r="C76" s="291"/>
      <c r="D76" s="25"/>
      <c r="E76" s="25"/>
      <c r="F76" s="25"/>
      <c r="G76" s="26"/>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row>
    <row r="77" spans="1:61" ht="15.75" customHeight="1">
      <c r="A77" s="25"/>
      <c r="B77" s="25"/>
      <c r="C77" s="291"/>
      <c r="D77" s="25"/>
      <c r="E77" s="25"/>
      <c r="F77" s="25"/>
      <c r="G77" s="26"/>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row>
    <row r="78" spans="1:61" ht="15.75" customHeight="1">
      <c r="A78" s="25"/>
      <c r="B78" s="25"/>
      <c r="C78" s="291"/>
      <c r="D78" s="25"/>
      <c r="E78" s="25"/>
      <c r="F78" s="25"/>
      <c r="G78" s="26"/>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row>
    <row r="79" spans="1:61" ht="15.75" customHeight="1">
      <c r="A79" s="25"/>
      <c r="B79" s="25"/>
      <c r="C79" s="291"/>
      <c r="D79" s="25"/>
      <c r="E79" s="25"/>
      <c r="F79" s="25"/>
      <c r="G79" s="26"/>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row>
    <row r="80" spans="1:61" ht="15.75" customHeight="1">
      <c r="A80" s="25"/>
      <c r="B80" s="25"/>
      <c r="C80" s="291"/>
      <c r="D80" s="25"/>
      <c r="E80" s="25"/>
      <c r="F80" s="25"/>
      <c r="G80" s="26"/>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row>
    <row r="81" spans="1:61" ht="15.75" customHeight="1">
      <c r="A81" s="25"/>
      <c r="B81" s="25"/>
      <c r="C81" s="291"/>
      <c r="D81" s="25"/>
      <c r="E81" s="25"/>
      <c r="F81" s="25"/>
      <c r="G81" s="26"/>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row>
    <row r="82" spans="1:61" ht="15.75" customHeight="1">
      <c r="A82" s="25"/>
      <c r="B82" s="25"/>
      <c r="C82" s="291"/>
      <c r="D82" s="25"/>
      <c r="E82" s="25"/>
      <c r="F82" s="25"/>
      <c r="G82" s="26"/>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1:61" ht="15.75" customHeight="1">
      <c r="A83" s="25"/>
      <c r="B83" s="25"/>
      <c r="C83" s="291"/>
      <c r="D83" s="25"/>
      <c r="E83" s="25"/>
      <c r="F83" s="25"/>
      <c r="G83" s="26"/>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row>
    <row r="84" spans="1:61" ht="15.75" customHeight="1">
      <c r="A84" s="25"/>
      <c r="B84" s="25"/>
      <c r="C84" s="291"/>
      <c r="D84" s="25"/>
      <c r="E84" s="25"/>
      <c r="F84" s="25"/>
      <c r="G84" s="26"/>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row>
    <row r="85" spans="1:61" ht="15.75" customHeight="1">
      <c r="A85" s="25"/>
      <c r="B85" s="25"/>
      <c r="C85" s="291"/>
      <c r="D85" s="25"/>
      <c r="E85" s="25"/>
      <c r="F85" s="25"/>
      <c r="G85" s="26"/>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row>
    <row r="86" spans="1:61" ht="15.75" customHeight="1">
      <c r="A86" s="25"/>
      <c r="B86" s="25"/>
      <c r="C86" s="291"/>
      <c r="D86" s="25"/>
      <c r="E86" s="25"/>
      <c r="F86" s="25"/>
      <c r="G86" s="26"/>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row>
    <row r="87" spans="1:61" ht="15.75" customHeight="1">
      <c r="A87" s="25"/>
      <c r="B87" s="25"/>
      <c r="C87" s="291"/>
      <c r="D87" s="25"/>
      <c r="E87" s="25"/>
      <c r="F87" s="25"/>
      <c r="G87" s="26"/>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row>
    <row r="88" spans="1:61" ht="15.75" customHeight="1">
      <c r="A88" s="25"/>
      <c r="B88" s="25"/>
      <c r="C88" s="291"/>
      <c r="D88" s="25"/>
      <c r="E88" s="25"/>
      <c r="F88" s="25"/>
      <c r="G88" s="26"/>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row>
    <row r="89" spans="1:61" ht="15.75" customHeight="1">
      <c r="A89" s="25"/>
      <c r="B89" s="25"/>
      <c r="C89" s="291"/>
      <c r="D89" s="25"/>
      <c r="E89" s="25"/>
      <c r="F89" s="25"/>
      <c r="G89" s="26"/>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row>
    <row r="90" spans="1:61" ht="15.75" customHeight="1">
      <c r="A90" s="25"/>
      <c r="B90" s="25"/>
      <c r="C90" s="291"/>
      <c r="D90" s="25"/>
      <c r="E90" s="25"/>
      <c r="F90" s="25"/>
      <c r="G90" s="26"/>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row>
    <row r="91" spans="1:61" ht="15.75" customHeight="1">
      <c r="A91" s="25"/>
      <c r="B91" s="25"/>
      <c r="C91" s="291"/>
      <c r="D91" s="25"/>
      <c r="E91" s="25"/>
      <c r="F91" s="25"/>
      <c r="G91" s="26"/>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row>
    <row r="92" spans="1:61" ht="15.75" customHeight="1">
      <c r="A92" s="25"/>
      <c r="B92" s="25"/>
      <c r="C92" s="291"/>
      <c r="D92" s="25"/>
      <c r="E92" s="25"/>
      <c r="F92" s="25"/>
      <c r="G92" s="26"/>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row>
    <row r="93" spans="1:61" ht="15.75" customHeight="1">
      <c r="A93" s="25"/>
      <c r="B93" s="25"/>
      <c r="C93" s="291"/>
      <c r="D93" s="25"/>
      <c r="E93" s="25"/>
      <c r="F93" s="25"/>
      <c r="G93" s="26"/>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row>
    <row r="94" spans="1:61" ht="15.75" customHeight="1">
      <c r="A94" s="25"/>
      <c r="B94" s="25"/>
      <c r="C94" s="291"/>
      <c r="D94" s="25"/>
      <c r="E94" s="25"/>
      <c r="F94" s="25"/>
      <c r="G94" s="26"/>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row>
    <row r="95" spans="1:61" ht="15.75" customHeight="1">
      <c r="A95" s="25"/>
      <c r="B95" s="25"/>
      <c r="C95" s="291"/>
      <c r="D95" s="25"/>
      <c r="E95" s="25"/>
      <c r="F95" s="25"/>
      <c r="G95" s="26"/>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row>
    <row r="96" spans="1:61" ht="15.75" customHeight="1">
      <c r="A96" s="25"/>
      <c r="B96" s="25"/>
      <c r="C96" s="291"/>
      <c r="D96" s="25"/>
      <c r="E96" s="25"/>
      <c r="F96" s="25"/>
      <c r="G96" s="26"/>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row>
    <row r="97" spans="1:61" ht="15.75" customHeight="1">
      <c r="A97" s="25"/>
      <c r="B97" s="25"/>
      <c r="C97" s="291"/>
      <c r="D97" s="25"/>
      <c r="E97" s="25"/>
      <c r="F97" s="25"/>
      <c r="G97" s="26"/>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row>
    <row r="98" spans="1:61" ht="15.75" customHeight="1">
      <c r="A98" s="25"/>
      <c r="B98" s="25"/>
      <c r="C98" s="291"/>
      <c r="D98" s="25"/>
      <c r="E98" s="25"/>
      <c r="F98" s="25"/>
      <c r="G98" s="26"/>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row>
    <row r="99" spans="1:61" ht="15.75" customHeight="1">
      <c r="A99" s="25"/>
      <c r="B99" s="25"/>
      <c r="C99" s="291"/>
      <c r="D99" s="25"/>
      <c r="E99" s="25"/>
      <c r="F99" s="25"/>
      <c r="G99" s="26"/>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row>
    <row r="100" spans="1:61" ht="15.75" customHeight="1">
      <c r="A100" s="25"/>
      <c r="B100" s="25"/>
      <c r="C100" s="291"/>
      <c r="D100" s="25"/>
      <c r="E100" s="25"/>
      <c r="F100" s="25"/>
      <c r="G100" s="26"/>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row>
    <row r="101" spans="1:61" ht="15.75" customHeight="1">
      <c r="A101" s="25"/>
      <c r="B101" s="25"/>
      <c r="C101" s="291"/>
      <c r="D101" s="25"/>
      <c r="E101" s="25"/>
      <c r="F101" s="25"/>
      <c r="G101" s="26"/>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row>
    <row r="102" spans="1:61" ht="15.75" customHeight="1">
      <c r="A102" s="25"/>
      <c r="B102" s="25"/>
      <c r="C102" s="291"/>
      <c r="D102" s="25"/>
      <c r="E102" s="25"/>
      <c r="F102" s="25"/>
      <c r="G102" s="26"/>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row>
    <row r="103" spans="1:61" ht="15.75" customHeight="1">
      <c r="A103" s="25"/>
      <c r="B103" s="25"/>
      <c r="C103" s="291"/>
      <c r="D103" s="25"/>
      <c r="E103" s="25"/>
      <c r="F103" s="25"/>
      <c r="G103" s="26"/>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row>
    <row r="104" spans="1:61" ht="15.75" customHeight="1">
      <c r="A104" s="25"/>
      <c r="B104" s="25"/>
      <c r="C104" s="291"/>
      <c r="D104" s="25"/>
      <c r="E104" s="25"/>
      <c r="F104" s="25"/>
      <c r="G104" s="26"/>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row>
    <row r="105" spans="1:61" ht="15.75" customHeight="1">
      <c r="A105" s="25"/>
      <c r="B105" s="25"/>
      <c r="C105" s="291"/>
      <c r="D105" s="25"/>
      <c r="E105" s="25"/>
      <c r="F105" s="25"/>
      <c r="G105" s="26"/>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row>
    <row r="106" spans="1:61" ht="15.75" customHeight="1">
      <c r="A106" s="25"/>
      <c r="B106" s="25"/>
      <c r="C106" s="291"/>
      <c r="D106" s="25"/>
      <c r="E106" s="25"/>
      <c r="F106" s="25"/>
      <c r="G106" s="26"/>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row>
    <row r="107" spans="1:61" ht="15.75" customHeight="1">
      <c r="A107" s="25"/>
      <c r="B107" s="25"/>
      <c r="C107" s="291"/>
      <c r="D107" s="25"/>
      <c r="E107" s="25"/>
      <c r="F107" s="25"/>
      <c r="G107" s="26"/>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row>
    <row r="108" spans="1:61" ht="15.75" customHeight="1">
      <c r="A108" s="25"/>
      <c r="B108" s="25"/>
      <c r="C108" s="291"/>
      <c r="D108" s="25"/>
      <c r="E108" s="25"/>
      <c r="F108" s="25"/>
      <c r="G108" s="26"/>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row>
    <row r="109" spans="1:61" ht="15.75" customHeight="1">
      <c r="A109" s="25"/>
      <c r="B109" s="25"/>
      <c r="C109" s="291"/>
      <c r="D109" s="25"/>
      <c r="E109" s="25"/>
      <c r="F109" s="25"/>
      <c r="G109" s="26"/>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row>
    <row r="110" spans="1:61" ht="15.75" customHeight="1">
      <c r="A110" s="25"/>
      <c r="B110" s="25"/>
      <c r="C110" s="291"/>
      <c r="D110" s="25"/>
      <c r="E110" s="25"/>
      <c r="F110" s="25"/>
      <c r="G110" s="26"/>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row>
    <row r="111" spans="1:61" ht="15.75" customHeight="1">
      <c r="A111" s="25"/>
      <c r="B111" s="25"/>
      <c r="C111" s="291"/>
      <c r="D111" s="25"/>
      <c r="E111" s="25"/>
      <c r="F111" s="25"/>
      <c r="G111" s="26"/>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row>
    <row r="112" spans="1:61" ht="15.75" customHeight="1">
      <c r="A112" s="25"/>
      <c r="B112" s="25"/>
      <c r="C112" s="291"/>
      <c r="D112" s="25"/>
      <c r="E112" s="25"/>
      <c r="F112" s="25"/>
      <c r="G112" s="26"/>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row>
    <row r="113" spans="1:61" ht="15.75" customHeight="1">
      <c r="A113" s="25"/>
      <c r="B113" s="25"/>
      <c r="C113" s="291"/>
      <c r="D113" s="25"/>
      <c r="E113" s="25"/>
      <c r="F113" s="25"/>
      <c r="G113" s="26"/>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row>
    <row r="114" spans="1:61" ht="15.75" customHeight="1">
      <c r="A114" s="25"/>
      <c r="B114" s="25"/>
      <c r="C114" s="291"/>
      <c r="D114" s="25"/>
      <c r="E114" s="25"/>
      <c r="F114" s="25"/>
      <c r="G114" s="26"/>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row>
    <row r="115" spans="1:61" ht="15.75" customHeight="1">
      <c r="A115" s="25"/>
      <c r="B115" s="25"/>
      <c r="C115" s="291"/>
      <c r="D115" s="25"/>
      <c r="E115" s="25"/>
      <c r="F115" s="25"/>
      <c r="G115" s="26"/>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row>
    <row r="116" spans="1:61" ht="15.75" customHeight="1">
      <c r="A116" s="25"/>
      <c r="B116" s="25"/>
      <c r="C116" s="291"/>
      <c r="D116" s="25"/>
      <c r="E116" s="25"/>
      <c r="F116" s="25"/>
      <c r="G116" s="26"/>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row>
    <row r="117" spans="1:61" ht="15.75" customHeight="1">
      <c r="A117" s="25"/>
      <c r="B117" s="25"/>
      <c r="C117" s="291"/>
      <c r="D117" s="25"/>
      <c r="E117" s="25"/>
      <c r="F117" s="25"/>
      <c r="G117" s="26"/>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row>
    <row r="118" spans="1:61" ht="15.75" customHeight="1">
      <c r="A118" s="25"/>
      <c r="B118" s="25"/>
      <c r="C118" s="291"/>
      <c r="D118" s="25"/>
      <c r="E118" s="25"/>
      <c r="F118" s="25"/>
      <c r="G118" s="26"/>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row>
    <row r="119" spans="1:61" ht="15.75" customHeight="1">
      <c r="A119" s="25"/>
      <c r="B119" s="25"/>
      <c r="C119" s="291"/>
      <c r="D119" s="25"/>
      <c r="E119" s="25"/>
      <c r="F119" s="25"/>
      <c r="G119" s="26"/>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row>
    <row r="120" spans="1:61" ht="15.75" customHeight="1">
      <c r="A120" s="25"/>
      <c r="B120" s="25"/>
      <c r="C120" s="291"/>
      <c r="D120" s="25"/>
      <c r="E120" s="25"/>
      <c r="F120" s="25"/>
      <c r="G120" s="26"/>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row>
    <row r="121" spans="1:61" ht="15.75" customHeight="1">
      <c r="A121" s="25"/>
      <c r="B121" s="25"/>
      <c r="C121" s="291"/>
      <c r="D121" s="25"/>
      <c r="E121" s="25"/>
      <c r="F121" s="25"/>
      <c r="G121" s="26"/>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row>
    <row r="122" spans="1:61" ht="15.75" customHeight="1">
      <c r="A122" s="25"/>
      <c r="B122" s="25"/>
      <c r="C122" s="291"/>
      <c r="D122" s="25"/>
      <c r="E122" s="25"/>
      <c r="F122" s="25"/>
      <c r="G122" s="26"/>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row>
    <row r="123" spans="1:61" ht="15.75" customHeight="1">
      <c r="A123" s="25"/>
      <c r="B123" s="25"/>
      <c r="C123" s="291"/>
      <c r="D123" s="25"/>
      <c r="E123" s="25"/>
      <c r="F123" s="25"/>
      <c r="G123" s="26"/>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row>
    <row r="124" spans="1:61" ht="15.75" customHeight="1">
      <c r="A124" s="25"/>
      <c r="B124" s="25"/>
      <c r="C124" s="291"/>
      <c r="D124" s="25"/>
      <c r="E124" s="25"/>
      <c r="F124" s="25"/>
      <c r="G124" s="26"/>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row>
    <row r="125" spans="1:61" ht="15.75" customHeight="1">
      <c r="A125" s="25"/>
      <c r="B125" s="25"/>
      <c r="C125" s="291"/>
      <c r="D125" s="25"/>
      <c r="E125" s="25"/>
      <c r="F125" s="25"/>
      <c r="G125" s="26"/>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row>
    <row r="126" spans="1:61" ht="15.75" customHeight="1">
      <c r="A126" s="25"/>
      <c r="B126" s="25"/>
      <c r="C126" s="291"/>
      <c r="D126" s="25"/>
      <c r="E126" s="25"/>
      <c r="F126" s="25"/>
      <c r="G126" s="26"/>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row>
    <row r="127" spans="1:61" ht="15.75" customHeight="1">
      <c r="A127" s="25"/>
      <c r="B127" s="25"/>
      <c r="C127" s="291"/>
      <c r="D127" s="25"/>
      <c r="E127" s="25"/>
      <c r="F127" s="25"/>
      <c r="G127" s="26"/>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row>
    <row r="128" spans="1:61" ht="15.75" customHeight="1">
      <c r="A128" s="25"/>
      <c r="B128" s="25"/>
      <c r="C128" s="291"/>
      <c r="D128" s="25"/>
      <c r="E128" s="25"/>
      <c r="F128" s="25"/>
      <c r="G128" s="26"/>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row>
    <row r="129" spans="1:61" ht="15.75" customHeight="1">
      <c r="A129" s="25"/>
      <c r="B129" s="25"/>
      <c r="C129" s="291"/>
      <c r="D129" s="25"/>
      <c r="E129" s="25"/>
      <c r="F129" s="25"/>
      <c r="G129" s="26"/>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row>
    <row r="130" spans="1:61" ht="15.75" customHeight="1">
      <c r="A130" s="25"/>
      <c r="B130" s="25"/>
      <c r="C130" s="291"/>
      <c r="D130" s="25"/>
      <c r="E130" s="25"/>
      <c r="F130" s="25"/>
      <c r="G130" s="26"/>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row>
    <row r="131" spans="1:61" ht="15.75" customHeight="1">
      <c r="C131" s="292"/>
    </row>
    <row r="132" spans="1:61" ht="15.75" customHeight="1">
      <c r="C132" s="292"/>
    </row>
    <row r="133" spans="1:61" ht="15.75" customHeight="1">
      <c r="C133" s="292"/>
    </row>
    <row r="134" spans="1:61" ht="15.75" customHeight="1">
      <c r="C134" s="292"/>
    </row>
    <row r="135" spans="1:61" ht="15.75" customHeight="1">
      <c r="C135" s="292"/>
    </row>
    <row r="136" spans="1:61" ht="15.75" customHeight="1">
      <c r="C136" s="292"/>
    </row>
    <row r="137" spans="1:61" ht="15.75" customHeight="1">
      <c r="C137" s="292"/>
    </row>
    <row r="138" spans="1:61" ht="15.75" customHeight="1">
      <c r="C138" s="292"/>
    </row>
    <row r="139" spans="1:61" ht="15.75" customHeight="1">
      <c r="C139" s="292"/>
    </row>
    <row r="140" spans="1:61" ht="15.75" customHeight="1">
      <c r="C140" s="292"/>
    </row>
    <row r="141" spans="1:61" ht="15.75" customHeight="1">
      <c r="C141" s="292"/>
    </row>
    <row r="142" spans="1:61" ht="15.75" customHeight="1">
      <c r="C142" s="292"/>
    </row>
    <row r="143" spans="1:61" ht="15.75" customHeight="1">
      <c r="C143" s="292"/>
    </row>
    <row r="144" spans="1:61" ht="15.75" customHeight="1">
      <c r="C144" s="292"/>
    </row>
    <row r="145" spans="3:3" ht="15.75" customHeight="1">
      <c r="C145" s="292"/>
    </row>
    <row r="146" spans="3:3" ht="15.75" customHeight="1">
      <c r="C146" s="292"/>
    </row>
    <row r="147" spans="3:3" ht="15.75" customHeight="1">
      <c r="C147" s="292"/>
    </row>
    <row r="148" spans="3:3" ht="15.75" customHeight="1">
      <c r="C148" s="292"/>
    </row>
    <row r="149" spans="3:3" ht="15.75" customHeight="1">
      <c r="C149" s="292"/>
    </row>
    <row r="150" spans="3:3" ht="15.75" customHeight="1">
      <c r="C150" s="292"/>
    </row>
    <row r="151" spans="3:3" ht="15.75" customHeight="1">
      <c r="C151" s="292"/>
    </row>
    <row r="152" spans="3:3" ht="15.75" customHeight="1">
      <c r="C152" s="292"/>
    </row>
    <row r="153" spans="3:3" ht="15.75" customHeight="1">
      <c r="C153" s="292"/>
    </row>
    <row r="154" spans="3:3" ht="15.75" customHeight="1">
      <c r="C154" s="292"/>
    </row>
    <row r="155" spans="3:3" ht="15.75" customHeight="1">
      <c r="C155" s="292"/>
    </row>
    <row r="156" spans="3:3" ht="15.75" customHeight="1">
      <c r="C156" s="292"/>
    </row>
    <row r="157" spans="3:3" ht="15.75" customHeight="1">
      <c r="C157" s="292"/>
    </row>
    <row r="158" spans="3:3" ht="15.75" customHeight="1">
      <c r="C158" s="292"/>
    </row>
    <row r="159" spans="3:3" ht="15.75" customHeight="1">
      <c r="C159" s="292"/>
    </row>
    <row r="160" spans="3:3" ht="15.75" customHeight="1">
      <c r="C160" s="292"/>
    </row>
    <row r="161" spans="3:3" ht="15.75" customHeight="1">
      <c r="C161" s="292"/>
    </row>
    <row r="162" spans="3:3" ht="15.75" customHeight="1">
      <c r="C162" s="292"/>
    </row>
    <row r="163" spans="3:3" ht="15.75" customHeight="1">
      <c r="C163" s="292"/>
    </row>
    <row r="164" spans="3:3" ht="15.75" customHeight="1">
      <c r="C164" s="292"/>
    </row>
    <row r="165" spans="3:3" ht="15.75" customHeight="1">
      <c r="C165" s="292"/>
    </row>
    <row r="166" spans="3:3" ht="15.75" customHeight="1">
      <c r="C166" s="292"/>
    </row>
    <row r="167" spans="3:3" ht="15.75" customHeight="1">
      <c r="C167" s="292"/>
    </row>
    <row r="168" spans="3:3" ht="15.75" customHeight="1">
      <c r="C168" s="292"/>
    </row>
    <row r="169" spans="3:3" ht="15.75" customHeight="1">
      <c r="C169" s="292"/>
    </row>
    <row r="170" spans="3:3" ht="15.75" customHeight="1">
      <c r="C170" s="292"/>
    </row>
    <row r="171" spans="3:3" ht="15.75" customHeight="1">
      <c r="C171" s="292"/>
    </row>
    <row r="172" spans="3:3" ht="15.75" customHeight="1">
      <c r="C172" s="292"/>
    </row>
    <row r="173" spans="3:3" ht="15.75" customHeight="1">
      <c r="C173" s="292"/>
    </row>
    <row r="174" spans="3:3" ht="15.75" customHeight="1">
      <c r="C174" s="292"/>
    </row>
    <row r="175" spans="3:3" ht="15.75" customHeight="1">
      <c r="C175" s="292"/>
    </row>
    <row r="176" spans="3:3" ht="15.75" customHeight="1">
      <c r="C176" s="292"/>
    </row>
    <row r="177" spans="3:3" ht="15.75" customHeight="1">
      <c r="C177" s="292"/>
    </row>
    <row r="178" spans="3:3" ht="15.75" customHeight="1">
      <c r="C178" s="292"/>
    </row>
    <row r="179" spans="3:3" ht="15.75" customHeight="1">
      <c r="C179" s="292"/>
    </row>
    <row r="180" spans="3:3" ht="15.75" customHeight="1">
      <c r="C180" s="292"/>
    </row>
    <row r="181" spans="3:3" ht="15.75" customHeight="1">
      <c r="C181" s="292"/>
    </row>
    <row r="182" spans="3:3" ht="15.75" customHeight="1">
      <c r="C182" s="292"/>
    </row>
    <row r="183" spans="3:3" ht="15.75" customHeight="1">
      <c r="C183" s="292"/>
    </row>
    <row r="184" spans="3:3" ht="15.75" customHeight="1">
      <c r="C184" s="292"/>
    </row>
    <row r="185" spans="3:3" ht="15.75" customHeight="1">
      <c r="C185" s="292"/>
    </row>
    <row r="186" spans="3:3" ht="15.75" customHeight="1">
      <c r="C186" s="292"/>
    </row>
    <row r="187" spans="3:3" ht="15.75" customHeight="1">
      <c r="C187" s="292"/>
    </row>
    <row r="188" spans="3:3" ht="15.75" customHeight="1">
      <c r="C188" s="292"/>
    </row>
    <row r="189" spans="3:3" ht="15.75" customHeight="1">
      <c r="C189" s="292"/>
    </row>
    <row r="190" spans="3:3" ht="15.75" customHeight="1">
      <c r="C190" s="292"/>
    </row>
    <row r="191" spans="3:3" ht="15.75" customHeight="1">
      <c r="C191" s="292"/>
    </row>
    <row r="192" spans="3:3" ht="15.75" customHeight="1">
      <c r="C192" s="292"/>
    </row>
    <row r="193" spans="3:3" ht="15.75" customHeight="1">
      <c r="C193" s="292"/>
    </row>
    <row r="194" spans="3:3" ht="15.75" customHeight="1">
      <c r="C194" s="292"/>
    </row>
    <row r="195" spans="3:3" ht="15.75" customHeight="1">
      <c r="C195" s="292"/>
    </row>
    <row r="196" spans="3:3" ht="15.75" customHeight="1">
      <c r="C196" s="292"/>
    </row>
    <row r="197" spans="3:3" ht="15.75" customHeight="1">
      <c r="C197" s="292"/>
    </row>
    <row r="198" spans="3:3" ht="15.75" customHeight="1">
      <c r="C198" s="292"/>
    </row>
    <row r="199" spans="3:3" ht="15.75" customHeight="1">
      <c r="C199" s="292"/>
    </row>
    <row r="200" spans="3:3" ht="15.75" customHeight="1">
      <c r="C200" s="292"/>
    </row>
    <row r="201" spans="3:3" ht="15.75" customHeight="1">
      <c r="C201" s="292"/>
    </row>
    <row r="202" spans="3:3" ht="15.75" customHeight="1">
      <c r="C202" s="292"/>
    </row>
    <row r="203" spans="3:3" ht="15.75" customHeight="1">
      <c r="C203" s="292"/>
    </row>
    <row r="204" spans="3:3" ht="15.75" customHeight="1">
      <c r="C204" s="292"/>
    </row>
    <row r="205" spans="3:3" ht="15.75" customHeight="1">
      <c r="C205" s="292"/>
    </row>
    <row r="206" spans="3:3" ht="15.75" customHeight="1">
      <c r="C206" s="292"/>
    </row>
    <row r="207" spans="3:3" ht="15.75" customHeight="1">
      <c r="C207" s="292"/>
    </row>
    <row r="208" spans="3:3" ht="15.75" customHeight="1">
      <c r="C208" s="292"/>
    </row>
    <row r="209" spans="3:3" ht="15.75" customHeight="1">
      <c r="C209" s="292"/>
    </row>
    <row r="210" spans="3:3" ht="15.75" customHeight="1">
      <c r="C210" s="292"/>
    </row>
    <row r="211" spans="3:3" ht="15.75" customHeight="1">
      <c r="C211" s="292"/>
    </row>
    <row r="212" spans="3:3" ht="15.75" customHeight="1">
      <c r="C212" s="292"/>
    </row>
    <row r="213" spans="3:3" ht="15.75" customHeight="1">
      <c r="C213" s="292"/>
    </row>
    <row r="214" spans="3:3" ht="15.75" customHeight="1">
      <c r="C214" s="292"/>
    </row>
    <row r="215" spans="3:3" ht="15.75" customHeight="1">
      <c r="C215" s="292"/>
    </row>
    <row r="216" spans="3:3" ht="15.75" customHeight="1">
      <c r="C216" s="292"/>
    </row>
    <row r="217" spans="3:3" ht="15.75" customHeight="1">
      <c r="C217" s="292"/>
    </row>
    <row r="218" spans="3:3" ht="15.75" customHeight="1">
      <c r="C218" s="292"/>
    </row>
    <row r="219" spans="3:3" ht="15.75" customHeight="1">
      <c r="C219" s="292"/>
    </row>
    <row r="220" spans="3:3" ht="15.75" customHeight="1">
      <c r="C220" s="292"/>
    </row>
    <row r="221" spans="3:3" ht="15.75" customHeight="1">
      <c r="C221" s="292"/>
    </row>
    <row r="222" spans="3:3" ht="15.75" customHeight="1">
      <c r="C222" s="292"/>
    </row>
    <row r="223" spans="3:3" ht="15.75" customHeight="1">
      <c r="C223" s="292"/>
    </row>
    <row r="224" spans="3:3" ht="15.75" customHeight="1">
      <c r="C224" s="292"/>
    </row>
    <row r="225" spans="3:3" ht="15.75" customHeight="1">
      <c r="C225" s="292"/>
    </row>
    <row r="226" spans="3:3" ht="15.75" customHeight="1">
      <c r="C226" s="292"/>
    </row>
    <row r="227" spans="3:3" ht="15.75" customHeight="1">
      <c r="C227" s="292"/>
    </row>
    <row r="228" spans="3:3" ht="15.75" customHeight="1">
      <c r="C228" s="292"/>
    </row>
    <row r="229" spans="3:3" ht="15.75" customHeight="1">
      <c r="C229" s="292"/>
    </row>
    <row r="230" spans="3:3" ht="15.75" customHeight="1">
      <c r="C230" s="292"/>
    </row>
    <row r="231" spans="3:3" ht="15.75" customHeight="1">
      <c r="C231" s="292"/>
    </row>
    <row r="232" spans="3:3" ht="15.75" customHeight="1">
      <c r="C232" s="292"/>
    </row>
    <row r="233" spans="3:3" ht="15.75" customHeight="1">
      <c r="C233" s="292"/>
    </row>
    <row r="234" spans="3:3" ht="15.75" customHeight="1">
      <c r="C234" s="292"/>
    </row>
    <row r="235" spans="3:3" ht="15.75" customHeight="1">
      <c r="C235" s="292"/>
    </row>
    <row r="236" spans="3:3" ht="15.75" customHeight="1">
      <c r="C236" s="292"/>
    </row>
    <row r="237" spans="3:3" ht="15.75" customHeight="1">
      <c r="C237" s="292"/>
    </row>
    <row r="238" spans="3:3" ht="15.75" customHeight="1">
      <c r="C238" s="292"/>
    </row>
    <row r="239" spans="3:3" ht="15.75" customHeight="1">
      <c r="C239" s="292"/>
    </row>
    <row r="240" spans="3:3" ht="15.75" customHeight="1">
      <c r="C240" s="292"/>
    </row>
    <row r="241" spans="3:3" ht="15.75" customHeight="1">
      <c r="C241" s="292"/>
    </row>
    <row r="242" spans="3:3" ht="15.75" customHeight="1">
      <c r="C242" s="292"/>
    </row>
    <row r="243" spans="3:3" ht="15.75" customHeight="1">
      <c r="C243" s="292"/>
    </row>
    <row r="244" spans="3:3" ht="15.75" customHeight="1">
      <c r="C244" s="292"/>
    </row>
    <row r="245" spans="3:3" ht="15.75" customHeight="1">
      <c r="C245" s="292"/>
    </row>
    <row r="246" spans="3:3" ht="15.75" customHeight="1">
      <c r="C246" s="292"/>
    </row>
    <row r="247" spans="3:3" ht="15.75" customHeight="1">
      <c r="C247" s="292"/>
    </row>
    <row r="248" spans="3:3" ht="15.75" customHeight="1">
      <c r="C248" s="292"/>
    </row>
    <row r="249" spans="3:3" ht="15.75" customHeight="1">
      <c r="C249" s="292"/>
    </row>
    <row r="250" spans="3:3" ht="15.75" customHeight="1">
      <c r="C250" s="292"/>
    </row>
    <row r="251" spans="3:3" ht="15.75" customHeight="1">
      <c r="C251" s="292"/>
    </row>
    <row r="252" spans="3:3" ht="15.75" customHeight="1">
      <c r="C252" s="292"/>
    </row>
    <row r="253" spans="3:3" ht="15.75" customHeight="1">
      <c r="C253" s="292"/>
    </row>
    <row r="254" spans="3:3" ht="15.75" customHeight="1">
      <c r="C254" s="292"/>
    </row>
    <row r="255" spans="3:3" ht="15.75" customHeight="1">
      <c r="C255" s="292"/>
    </row>
    <row r="256" spans="3:3" ht="15.75" customHeight="1">
      <c r="C256" s="292"/>
    </row>
    <row r="257" spans="3:3" ht="15.75" customHeight="1">
      <c r="C257" s="292"/>
    </row>
    <row r="258" spans="3:3" ht="15.75" customHeight="1">
      <c r="C258" s="292"/>
    </row>
    <row r="259" spans="3:3" ht="15.75" customHeight="1">
      <c r="C259" s="292"/>
    </row>
    <row r="260" spans="3:3" ht="15.75" customHeight="1">
      <c r="C260" s="292"/>
    </row>
    <row r="261" spans="3:3" ht="15.75" customHeight="1">
      <c r="C261" s="292"/>
    </row>
    <row r="262" spans="3:3" ht="15.75" customHeight="1">
      <c r="C262" s="292"/>
    </row>
    <row r="263" spans="3:3" ht="15.75" customHeight="1">
      <c r="C263" s="292"/>
    </row>
    <row r="264" spans="3:3" ht="15.75" customHeight="1">
      <c r="C264" s="292"/>
    </row>
    <row r="265" spans="3:3" ht="15.75" customHeight="1">
      <c r="C265" s="292"/>
    </row>
    <row r="266" spans="3:3" ht="15.75" customHeight="1">
      <c r="C266" s="292"/>
    </row>
    <row r="267" spans="3:3" ht="15.75" customHeight="1">
      <c r="C267" s="292"/>
    </row>
    <row r="268" spans="3:3" ht="15.75" customHeight="1">
      <c r="C268" s="292"/>
    </row>
    <row r="269" spans="3:3" ht="15.75" customHeight="1">
      <c r="C269" s="292"/>
    </row>
    <row r="270" spans="3:3" ht="15.75" customHeight="1">
      <c r="C270" s="292"/>
    </row>
    <row r="271" spans="3:3" ht="15.75" customHeight="1">
      <c r="C271" s="292"/>
    </row>
    <row r="272" spans="3:3" ht="15.75" customHeight="1">
      <c r="C272" s="292"/>
    </row>
    <row r="273" spans="3:3" ht="15.75" customHeight="1">
      <c r="C273" s="292"/>
    </row>
    <row r="274" spans="3:3" ht="15.75" customHeight="1">
      <c r="C274" s="292"/>
    </row>
    <row r="275" spans="3:3" ht="15.75" customHeight="1">
      <c r="C275" s="292"/>
    </row>
    <row r="276" spans="3:3" ht="15.75" customHeight="1">
      <c r="C276" s="292"/>
    </row>
    <row r="277" spans="3:3" ht="15.75" customHeight="1">
      <c r="C277" s="292"/>
    </row>
    <row r="278" spans="3:3" ht="15.75" customHeight="1">
      <c r="C278" s="292"/>
    </row>
    <row r="279" spans="3:3" ht="15.75" customHeight="1">
      <c r="C279" s="292"/>
    </row>
    <row r="280" spans="3:3" ht="15.75" customHeight="1">
      <c r="C280" s="292"/>
    </row>
    <row r="281" spans="3:3" ht="15.75" customHeight="1">
      <c r="C281" s="292"/>
    </row>
    <row r="282" spans="3:3" ht="15.75" customHeight="1">
      <c r="C282" s="292"/>
    </row>
    <row r="283" spans="3:3" ht="15.75" customHeight="1">
      <c r="C283" s="292"/>
    </row>
    <row r="284" spans="3:3" ht="15.75" customHeight="1">
      <c r="C284" s="292"/>
    </row>
    <row r="285" spans="3:3" ht="15.75" customHeight="1">
      <c r="C285" s="292"/>
    </row>
    <row r="286" spans="3:3" ht="15.75" customHeight="1">
      <c r="C286" s="292"/>
    </row>
    <row r="287" spans="3:3" ht="15.75" customHeight="1">
      <c r="C287" s="292"/>
    </row>
    <row r="288" spans="3:3" ht="15.75" customHeight="1">
      <c r="C288" s="292"/>
    </row>
    <row r="289" spans="3:3" ht="15.75" customHeight="1">
      <c r="C289" s="292"/>
    </row>
    <row r="290" spans="3:3" ht="15.75" customHeight="1">
      <c r="C290" s="292"/>
    </row>
    <row r="291" spans="3:3" ht="15.75" customHeight="1">
      <c r="C291" s="292"/>
    </row>
    <row r="292" spans="3:3" ht="15.75" customHeight="1">
      <c r="C292" s="292"/>
    </row>
    <row r="293" spans="3:3" ht="15.75" customHeight="1">
      <c r="C293" s="292"/>
    </row>
    <row r="294" spans="3:3" ht="15.75" customHeight="1">
      <c r="C294" s="292"/>
    </row>
    <row r="295" spans="3:3" ht="15.75" customHeight="1">
      <c r="C295" s="292"/>
    </row>
    <row r="296" spans="3:3" ht="15.75" customHeight="1">
      <c r="C296" s="292"/>
    </row>
    <row r="297" spans="3:3" ht="15.75" customHeight="1">
      <c r="C297" s="292"/>
    </row>
    <row r="298" spans="3:3" ht="15.75" customHeight="1">
      <c r="C298" s="292"/>
    </row>
    <row r="299" spans="3:3" ht="15.75" customHeight="1">
      <c r="C299" s="292"/>
    </row>
    <row r="300" spans="3:3" ht="15.75" customHeight="1">
      <c r="C300" s="292"/>
    </row>
    <row r="301" spans="3:3" ht="15.75" customHeight="1">
      <c r="C301" s="292"/>
    </row>
    <row r="302" spans="3:3" ht="15.75" customHeight="1">
      <c r="C302" s="292"/>
    </row>
    <row r="303" spans="3:3" ht="15.75" customHeight="1">
      <c r="C303" s="292"/>
    </row>
    <row r="304" spans="3:3" ht="15.75" customHeight="1">
      <c r="C304" s="292"/>
    </row>
    <row r="305" spans="3:3" ht="15.75" customHeight="1">
      <c r="C305" s="292"/>
    </row>
    <row r="306" spans="3:3" ht="15.75" customHeight="1">
      <c r="C306" s="292"/>
    </row>
    <row r="307" spans="3:3" ht="15.75" customHeight="1">
      <c r="C307" s="292"/>
    </row>
    <row r="308" spans="3:3" ht="15.75" customHeight="1">
      <c r="C308" s="292"/>
    </row>
    <row r="309" spans="3:3" ht="15.75" customHeight="1">
      <c r="C309" s="292"/>
    </row>
    <row r="310" spans="3:3" ht="15.75" customHeight="1">
      <c r="C310" s="292"/>
    </row>
    <row r="311" spans="3:3" ht="15.75" customHeight="1">
      <c r="C311" s="292"/>
    </row>
    <row r="312" spans="3:3" ht="15.75" customHeight="1">
      <c r="C312" s="292"/>
    </row>
    <row r="313" spans="3:3" ht="15.75" customHeight="1">
      <c r="C313" s="292"/>
    </row>
    <row r="314" spans="3:3" ht="15.75" customHeight="1">
      <c r="C314" s="292"/>
    </row>
    <row r="315" spans="3:3" ht="15.75" customHeight="1">
      <c r="C315" s="292"/>
    </row>
    <row r="316" spans="3:3" ht="15.75" customHeight="1">
      <c r="C316" s="292"/>
    </row>
    <row r="317" spans="3:3" ht="15.75" customHeight="1">
      <c r="C317" s="292"/>
    </row>
    <row r="318" spans="3:3" ht="15.75" customHeight="1">
      <c r="C318" s="292"/>
    </row>
    <row r="319" spans="3:3" ht="15.75" customHeight="1">
      <c r="C319" s="292"/>
    </row>
    <row r="320" spans="3:3" ht="15.75" customHeight="1">
      <c r="C320" s="292"/>
    </row>
    <row r="321" spans="3:3" ht="15.75" customHeight="1">
      <c r="C321" s="292"/>
    </row>
    <row r="322" spans="3:3" ht="15.75" customHeight="1">
      <c r="C322" s="292"/>
    </row>
    <row r="323" spans="3:3" ht="15.75" customHeight="1">
      <c r="C323" s="292"/>
    </row>
    <row r="324" spans="3:3" ht="15.75" customHeight="1">
      <c r="C324" s="292"/>
    </row>
    <row r="325" spans="3:3" ht="15.75" customHeight="1">
      <c r="C325" s="292"/>
    </row>
    <row r="326" spans="3:3" ht="15.75" customHeight="1">
      <c r="C326" s="292"/>
    </row>
    <row r="327" spans="3:3" ht="15.75" customHeight="1">
      <c r="C327" s="292"/>
    </row>
    <row r="328" spans="3:3" ht="15.75" customHeight="1">
      <c r="C328" s="292"/>
    </row>
    <row r="329" spans="3:3" ht="15.75" customHeight="1">
      <c r="C329" s="292"/>
    </row>
    <row r="330" spans="3:3" ht="15.75" customHeight="1">
      <c r="C330" s="292"/>
    </row>
    <row r="331" spans="3:3" ht="15.75" customHeight="1">
      <c r="C331" s="292"/>
    </row>
    <row r="332" spans="3:3" ht="15.75" customHeight="1">
      <c r="C332" s="292"/>
    </row>
    <row r="333" spans="3:3" ht="15.75" customHeight="1">
      <c r="C333" s="292"/>
    </row>
    <row r="334" spans="3:3" ht="15.75" customHeight="1">
      <c r="C334" s="292"/>
    </row>
    <row r="335" spans="3:3" ht="15.75" customHeight="1">
      <c r="C335" s="292"/>
    </row>
    <row r="336" spans="3:3" ht="15.75" customHeight="1">
      <c r="C336" s="292"/>
    </row>
    <row r="337" spans="3:3" ht="15.75" customHeight="1">
      <c r="C337" s="292"/>
    </row>
    <row r="338" spans="3:3" ht="15.75" customHeight="1">
      <c r="C338" s="292"/>
    </row>
    <row r="339" spans="3:3" ht="15.75" customHeight="1">
      <c r="C339" s="292"/>
    </row>
    <row r="340" spans="3:3" ht="15.75" customHeight="1">
      <c r="C340" s="292"/>
    </row>
    <row r="341" spans="3:3" ht="15.75" customHeight="1">
      <c r="C341" s="292"/>
    </row>
    <row r="342" spans="3:3" ht="15.75" customHeight="1">
      <c r="C342" s="292"/>
    </row>
    <row r="343" spans="3:3" ht="15.75" customHeight="1">
      <c r="C343" s="292"/>
    </row>
    <row r="344" spans="3:3" ht="15.75" customHeight="1">
      <c r="C344" s="292"/>
    </row>
    <row r="345" spans="3:3" ht="15.75" customHeight="1">
      <c r="C345" s="292"/>
    </row>
    <row r="346" spans="3:3" ht="15.75" customHeight="1">
      <c r="C346" s="292"/>
    </row>
    <row r="347" spans="3:3" ht="15.75" customHeight="1">
      <c r="C347" s="292"/>
    </row>
    <row r="348" spans="3:3" ht="15.75" customHeight="1">
      <c r="C348" s="292"/>
    </row>
    <row r="349" spans="3:3" ht="15.75" customHeight="1">
      <c r="C349" s="292"/>
    </row>
    <row r="350" spans="3:3" ht="15.75" customHeight="1">
      <c r="C350" s="292"/>
    </row>
    <row r="351" spans="3:3" ht="15.75" customHeight="1">
      <c r="C351" s="292"/>
    </row>
    <row r="352" spans="3:3" ht="15.75" customHeight="1">
      <c r="C352" s="292"/>
    </row>
    <row r="353" spans="3:3" ht="15.75" customHeight="1">
      <c r="C353" s="292"/>
    </row>
    <row r="354" spans="3:3" ht="15.75" customHeight="1">
      <c r="C354" s="292"/>
    </row>
    <row r="355" spans="3:3" ht="15.75" customHeight="1">
      <c r="C355" s="292"/>
    </row>
    <row r="356" spans="3:3" ht="15.75" customHeight="1">
      <c r="C356" s="292"/>
    </row>
    <row r="357" spans="3:3" ht="15.75" customHeight="1">
      <c r="C357" s="292"/>
    </row>
    <row r="358" spans="3:3" ht="15.75" customHeight="1">
      <c r="C358" s="292"/>
    </row>
    <row r="359" spans="3:3" ht="15.75" customHeight="1">
      <c r="C359" s="292"/>
    </row>
    <row r="360" spans="3:3" ht="15.75" customHeight="1">
      <c r="C360" s="292"/>
    </row>
    <row r="361" spans="3:3" ht="15.75" customHeight="1">
      <c r="C361" s="292"/>
    </row>
    <row r="362" spans="3:3" ht="15.75" customHeight="1">
      <c r="C362" s="292"/>
    </row>
    <row r="363" spans="3:3" ht="15.75" customHeight="1">
      <c r="C363" s="292"/>
    </row>
    <row r="364" spans="3:3" ht="15.75" customHeight="1">
      <c r="C364" s="292"/>
    </row>
    <row r="365" spans="3:3" ht="15.75" customHeight="1">
      <c r="C365" s="292"/>
    </row>
    <row r="366" spans="3:3" ht="15.75" customHeight="1">
      <c r="C366" s="292"/>
    </row>
    <row r="367" spans="3:3" ht="15.75" customHeight="1">
      <c r="C367" s="292"/>
    </row>
    <row r="368" spans="3:3" ht="15.75" customHeight="1">
      <c r="C368" s="292"/>
    </row>
    <row r="369" spans="3:3" ht="15.75" customHeight="1">
      <c r="C369" s="292"/>
    </row>
    <row r="370" spans="3:3" ht="15.75" customHeight="1">
      <c r="C370" s="292"/>
    </row>
    <row r="371" spans="3:3" ht="15.75" customHeight="1">
      <c r="C371" s="292"/>
    </row>
    <row r="372" spans="3:3" ht="15.75" customHeight="1">
      <c r="C372" s="292"/>
    </row>
    <row r="373" spans="3:3" ht="15.75" customHeight="1">
      <c r="C373" s="292"/>
    </row>
    <row r="374" spans="3:3" ht="15.75" customHeight="1">
      <c r="C374" s="292"/>
    </row>
    <row r="375" spans="3:3" ht="15.75" customHeight="1">
      <c r="C375" s="292"/>
    </row>
    <row r="376" spans="3:3" ht="15.75" customHeight="1">
      <c r="C376" s="292"/>
    </row>
    <row r="377" spans="3:3" ht="15.75" customHeight="1">
      <c r="C377" s="292"/>
    </row>
    <row r="378" spans="3:3" ht="15.75" customHeight="1">
      <c r="C378" s="292"/>
    </row>
    <row r="379" spans="3:3" ht="15.75" customHeight="1">
      <c r="C379" s="292"/>
    </row>
    <row r="380" spans="3:3" ht="15.75" customHeight="1">
      <c r="C380" s="292"/>
    </row>
    <row r="381" spans="3:3" ht="15.75" customHeight="1">
      <c r="C381" s="292"/>
    </row>
    <row r="382" spans="3:3" ht="15.75" customHeight="1">
      <c r="C382" s="292"/>
    </row>
    <row r="383" spans="3:3" ht="15.75" customHeight="1">
      <c r="C383" s="292"/>
    </row>
    <row r="384" spans="3:3" ht="15.75" customHeight="1">
      <c r="C384" s="292"/>
    </row>
    <row r="385" spans="3:3" ht="15.75" customHeight="1">
      <c r="C385" s="292"/>
    </row>
    <row r="386" spans="3:3" ht="15.75" customHeight="1">
      <c r="C386" s="292"/>
    </row>
    <row r="387" spans="3:3" ht="15.75" customHeight="1">
      <c r="C387" s="292"/>
    </row>
    <row r="388" spans="3:3" ht="15.75" customHeight="1">
      <c r="C388" s="292"/>
    </row>
    <row r="389" spans="3:3" ht="15.75" customHeight="1">
      <c r="C389" s="292"/>
    </row>
    <row r="390" spans="3:3" ht="15.75" customHeight="1">
      <c r="C390" s="292"/>
    </row>
    <row r="391" spans="3:3" ht="15.75" customHeight="1">
      <c r="C391" s="292"/>
    </row>
    <row r="392" spans="3:3" ht="15.75" customHeight="1">
      <c r="C392" s="292"/>
    </row>
    <row r="393" spans="3:3" ht="15.75" customHeight="1">
      <c r="C393" s="292"/>
    </row>
    <row r="394" spans="3:3" ht="15.75" customHeight="1">
      <c r="C394" s="292"/>
    </row>
    <row r="395" spans="3:3" ht="15.75" customHeight="1">
      <c r="C395" s="292"/>
    </row>
    <row r="396" spans="3:3" ht="15.75" customHeight="1">
      <c r="C396" s="292"/>
    </row>
    <row r="397" spans="3:3" ht="15.75" customHeight="1">
      <c r="C397" s="292"/>
    </row>
    <row r="398" spans="3:3" ht="15.75" customHeight="1">
      <c r="C398" s="292"/>
    </row>
    <row r="399" spans="3:3" ht="15.75" customHeight="1">
      <c r="C399" s="292"/>
    </row>
    <row r="400" spans="3:3" ht="15.75" customHeight="1">
      <c r="C400" s="292"/>
    </row>
    <row r="401" spans="3:3" ht="15.75" customHeight="1">
      <c r="C401" s="292"/>
    </row>
    <row r="402" spans="3:3" ht="15.75" customHeight="1">
      <c r="C402" s="292"/>
    </row>
    <row r="403" spans="3:3" ht="15.75" customHeight="1">
      <c r="C403" s="292"/>
    </row>
    <row r="404" spans="3:3" ht="15.75" customHeight="1">
      <c r="C404" s="292"/>
    </row>
    <row r="405" spans="3:3" ht="15.75" customHeight="1">
      <c r="C405" s="292"/>
    </row>
    <row r="406" spans="3:3" ht="15.75" customHeight="1">
      <c r="C406" s="292"/>
    </row>
    <row r="407" spans="3:3" ht="15.75" customHeight="1">
      <c r="C407" s="292"/>
    </row>
    <row r="408" spans="3:3" ht="15.75" customHeight="1">
      <c r="C408" s="292"/>
    </row>
    <row r="409" spans="3:3" ht="15.75" customHeight="1">
      <c r="C409" s="292"/>
    </row>
    <row r="410" spans="3:3" ht="15.75" customHeight="1">
      <c r="C410" s="292"/>
    </row>
    <row r="411" spans="3:3" ht="15.75" customHeight="1">
      <c r="C411" s="292"/>
    </row>
    <row r="412" spans="3:3" ht="15.75" customHeight="1">
      <c r="C412" s="292"/>
    </row>
    <row r="413" spans="3:3" ht="15.75" customHeight="1">
      <c r="C413" s="292"/>
    </row>
    <row r="414" spans="3:3" ht="15.75" customHeight="1">
      <c r="C414" s="292"/>
    </row>
    <row r="415" spans="3:3" ht="15.75" customHeight="1">
      <c r="C415" s="292"/>
    </row>
    <row r="416" spans="3:3" ht="15.75" customHeight="1">
      <c r="C416" s="292"/>
    </row>
    <row r="417" spans="3:3" ht="15.75" customHeight="1">
      <c r="C417" s="292"/>
    </row>
    <row r="418" spans="3:3" ht="15.75" customHeight="1">
      <c r="C418" s="292"/>
    </row>
    <row r="419" spans="3:3" ht="15.75" customHeight="1">
      <c r="C419" s="292"/>
    </row>
    <row r="420" spans="3:3" ht="15.75" customHeight="1">
      <c r="C420" s="292"/>
    </row>
    <row r="421" spans="3:3" ht="15.75" customHeight="1">
      <c r="C421" s="292"/>
    </row>
    <row r="422" spans="3:3" ht="15.75" customHeight="1">
      <c r="C422" s="292"/>
    </row>
    <row r="423" spans="3:3" ht="15.75" customHeight="1">
      <c r="C423" s="292"/>
    </row>
    <row r="424" spans="3:3" ht="15.75" customHeight="1">
      <c r="C424" s="292"/>
    </row>
    <row r="425" spans="3:3" ht="15.75" customHeight="1">
      <c r="C425" s="292"/>
    </row>
    <row r="426" spans="3:3" ht="15.75" customHeight="1">
      <c r="C426" s="292"/>
    </row>
    <row r="427" spans="3:3" ht="15.75" customHeight="1">
      <c r="C427" s="292"/>
    </row>
    <row r="428" spans="3:3" ht="15.75" customHeight="1">
      <c r="C428" s="292"/>
    </row>
    <row r="429" spans="3:3" ht="15.75" customHeight="1">
      <c r="C429" s="292"/>
    </row>
    <row r="430" spans="3:3" ht="15.75" customHeight="1">
      <c r="C430" s="292"/>
    </row>
    <row r="431" spans="3:3" ht="15.75" customHeight="1">
      <c r="C431" s="292"/>
    </row>
    <row r="432" spans="3:3" ht="15.75" customHeight="1">
      <c r="C432" s="292"/>
    </row>
    <row r="433" spans="3:3" ht="15.75" customHeight="1">
      <c r="C433" s="292"/>
    </row>
    <row r="434" spans="3:3" ht="15.75" customHeight="1">
      <c r="C434" s="292"/>
    </row>
    <row r="435" spans="3:3" ht="15.75" customHeight="1">
      <c r="C435" s="292"/>
    </row>
    <row r="436" spans="3:3" ht="15.75" customHeight="1">
      <c r="C436" s="292"/>
    </row>
    <row r="437" spans="3:3" ht="15.75" customHeight="1">
      <c r="C437" s="292"/>
    </row>
    <row r="438" spans="3:3" ht="15.75" customHeight="1">
      <c r="C438" s="292"/>
    </row>
    <row r="439" spans="3:3" ht="15.75" customHeight="1">
      <c r="C439" s="292"/>
    </row>
    <row r="440" spans="3:3" ht="15.75" customHeight="1">
      <c r="C440" s="292"/>
    </row>
    <row r="441" spans="3:3" ht="15.75" customHeight="1">
      <c r="C441" s="292"/>
    </row>
    <row r="442" spans="3:3" ht="15.75" customHeight="1">
      <c r="C442" s="292"/>
    </row>
    <row r="443" spans="3:3" ht="15.75" customHeight="1">
      <c r="C443" s="292"/>
    </row>
    <row r="444" spans="3:3" ht="15.75" customHeight="1">
      <c r="C444" s="292"/>
    </row>
    <row r="445" spans="3:3" ht="15.75" customHeight="1">
      <c r="C445" s="292"/>
    </row>
    <row r="446" spans="3:3" ht="15.75" customHeight="1">
      <c r="C446" s="292"/>
    </row>
    <row r="447" spans="3:3" ht="15.75" customHeight="1">
      <c r="C447" s="292"/>
    </row>
    <row r="448" spans="3:3" ht="15.75" customHeight="1">
      <c r="C448" s="292"/>
    </row>
    <row r="449" spans="3:3" ht="15.75" customHeight="1">
      <c r="C449" s="292"/>
    </row>
    <row r="450" spans="3:3" ht="15.75" customHeight="1">
      <c r="C450" s="292"/>
    </row>
    <row r="451" spans="3:3" ht="15.75" customHeight="1">
      <c r="C451" s="292"/>
    </row>
    <row r="452" spans="3:3" ht="15.75" customHeight="1">
      <c r="C452" s="292"/>
    </row>
    <row r="453" spans="3:3" ht="15.75" customHeight="1">
      <c r="C453" s="292"/>
    </row>
    <row r="454" spans="3:3" ht="15.75" customHeight="1">
      <c r="C454" s="292"/>
    </row>
    <row r="455" spans="3:3" ht="15.75" customHeight="1">
      <c r="C455" s="292"/>
    </row>
    <row r="456" spans="3:3" ht="15.75" customHeight="1">
      <c r="C456" s="292"/>
    </row>
    <row r="457" spans="3:3" ht="15.75" customHeight="1">
      <c r="C457" s="292"/>
    </row>
    <row r="458" spans="3:3" ht="15.75" customHeight="1">
      <c r="C458" s="292"/>
    </row>
    <row r="459" spans="3:3" ht="15.75" customHeight="1">
      <c r="C459" s="292"/>
    </row>
    <row r="460" spans="3:3" ht="15.75" customHeight="1">
      <c r="C460" s="292"/>
    </row>
    <row r="461" spans="3:3" ht="15.75" customHeight="1">
      <c r="C461" s="292"/>
    </row>
    <row r="462" spans="3:3" ht="15.75" customHeight="1">
      <c r="C462" s="292"/>
    </row>
    <row r="463" spans="3:3" ht="15.75" customHeight="1">
      <c r="C463" s="292"/>
    </row>
    <row r="464" spans="3:3" ht="15.75" customHeight="1">
      <c r="C464" s="292"/>
    </row>
    <row r="465" spans="3:3" ht="15.75" customHeight="1">
      <c r="C465" s="292"/>
    </row>
    <row r="466" spans="3:3" ht="15.75" customHeight="1">
      <c r="C466" s="292"/>
    </row>
    <row r="467" spans="3:3" ht="15.75" customHeight="1">
      <c r="C467" s="292"/>
    </row>
    <row r="468" spans="3:3" ht="15.75" customHeight="1">
      <c r="C468" s="292"/>
    </row>
    <row r="469" spans="3:3" ht="15.75" customHeight="1">
      <c r="C469" s="292"/>
    </row>
    <row r="470" spans="3:3" ht="15.75" customHeight="1">
      <c r="C470" s="292"/>
    </row>
    <row r="471" spans="3:3" ht="15.75" customHeight="1">
      <c r="C471" s="292"/>
    </row>
    <row r="472" spans="3:3" ht="15.75" customHeight="1">
      <c r="C472" s="292"/>
    </row>
    <row r="473" spans="3:3" ht="15.75" customHeight="1">
      <c r="C473" s="292"/>
    </row>
    <row r="474" spans="3:3" ht="15.75" customHeight="1">
      <c r="C474" s="292"/>
    </row>
    <row r="475" spans="3:3" ht="15.75" customHeight="1">
      <c r="C475" s="292"/>
    </row>
    <row r="476" spans="3:3" ht="15.75" customHeight="1">
      <c r="C476" s="292"/>
    </row>
    <row r="477" spans="3:3" ht="15.75" customHeight="1">
      <c r="C477" s="292"/>
    </row>
    <row r="478" spans="3:3" ht="15.75" customHeight="1">
      <c r="C478" s="292"/>
    </row>
    <row r="479" spans="3:3" ht="15.75" customHeight="1">
      <c r="C479" s="292"/>
    </row>
    <row r="480" spans="3:3" ht="15.75" customHeight="1">
      <c r="C480" s="292"/>
    </row>
    <row r="481" spans="3:3" ht="15.75" customHeight="1">
      <c r="C481" s="292"/>
    </row>
    <row r="482" spans="3:3" ht="15.75" customHeight="1">
      <c r="C482" s="292"/>
    </row>
    <row r="483" spans="3:3" ht="15.75" customHeight="1">
      <c r="C483" s="292"/>
    </row>
    <row r="484" spans="3:3" ht="15.75" customHeight="1">
      <c r="C484" s="292"/>
    </row>
    <row r="485" spans="3:3" ht="15.75" customHeight="1">
      <c r="C485" s="292"/>
    </row>
    <row r="486" spans="3:3" ht="15.75" customHeight="1">
      <c r="C486" s="292"/>
    </row>
    <row r="487" spans="3:3" ht="15.75" customHeight="1">
      <c r="C487" s="292"/>
    </row>
    <row r="488" spans="3:3" ht="15.75" customHeight="1">
      <c r="C488" s="292"/>
    </row>
    <row r="489" spans="3:3" ht="15.75" customHeight="1">
      <c r="C489" s="292"/>
    </row>
    <row r="490" spans="3:3" ht="15.75" customHeight="1">
      <c r="C490" s="292"/>
    </row>
    <row r="491" spans="3:3" ht="15.75" customHeight="1">
      <c r="C491" s="292"/>
    </row>
    <row r="492" spans="3:3" ht="15.75" customHeight="1">
      <c r="C492" s="292"/>
    </row>
    <row r="493" spans="3:3" ht="15.75" customHeight="1">
      <c r="C493" s="292"/>
    </row>
    <row r="494" spans="3:3" ht="15.75" customHeight="1">
      <c r="C494" s="292"/>
    </row>
    <row r="495" spans="3:3" ht="15.75" customHeight="1">
      <c r="C495" s="292"/>
    </row>
    <row r="496" spans="3:3" ht="15.75" customHeight="1">
      <c r="C496" s="292"/>
    </row>
    <row r="497" spans="3:3" ht="15.75" customHeight="1">
      <c r="C497" s="292"/>
    </row>
    <row r="498" spans="3:3" ht="15.75" customHeight="1">
      <c r="C498" s="292"/>
    </row>
    <row r="499" spans="3:3" ht="15.75" customHeight="1">
      <c r="C499" s="292"/>
    </row>
    <row r="500" spans="3:3" ht="15.75" customHeight="1">
      <c r="C500" s="292"/>
    </row>
    <row r="501" spans="3:3" ht="15.75" customHeight="1">
      <c r="C501" s="292"/>
    </row>
    <row r="502" spans="3:3" ht="15.75" customHeight="1">
      <c r="C502" s="292"/>
    </row>
    <row r="503" spans="3:3" ht="15.75" customHeight="1">
      <c r="C503" s="292"/>
    </row>
    <row r="504" spans="3:3" ht="15.75" customHeight="1">
      <c r="C504" s="292"/>
    </row>
    <row r="505" spans="3:3" ht="15.75" customHeight="1">
      <c r="C505" s="292"/>
    </row>
    <row r="506" spans="3:3" ht="15.75" customHeight="1">
      <c r="C506" s="292"/>
    </row>
    <row r="507" spans="3:3" ht="15.75" customHeight="1">
      <c r="C507" s="292"/>
    </row>
    <row r="508" spans="3:3" ht="15.75" customHeight="1">
      <c r="C508" s="292"/>
    </row>
    <row r="509" spans="3:3" ht="15.75" customHeight="1">
      <c r="C509" s="292"/>
    </row>
    <row r="510" spans="3:3" ht="15.75" customHeight="1">
      <c r="C510" s="292"/>
    </row>
    <row r="511" spans="3:3" ht="15.75" customHeight="1">
      <c r="C511" s="292"/>
    </row>
    <row r="512" spans="3:3" ht="15.75" customHeight="1">
      <c r="C512" s="292"/>
    </row>
    <row r="513" spans="3:3" ht="15.75" customHeight="1">
      <c r="C513" s="292"/>
    </row>
    <row r="514" spans="3:3" ht="15.75" customHeight="1">
      <c r="C514" s="292"/>
    </row>
    <row r="515" spans="3:3" ht="15.75" customHeight="1">
      <c r="C515" s="292"/>
    </row>
    <row r="516" spans="3:3" ht="15.75" customHeight="1">
      <c r="C516" s="292"/>
    </row>
    <row r="517" spans="3:3" ht="15.75" customHeight="1">
      <c r="C517" s="292"/>
    </row>
    <row r="518" spans="3:3" ht="15.75" customHeight="1">
      <c r="C518" s="292"/>
    </row>
    <row r="519" spans="3:3" ht="15.75" customHeight="1">
      <c r="C519" s="292"/>
    </row>
    <row r="520" spans="3:3" ht="15.75" customHeight="1">
      <c r="C520" s="292"/>
    </row>
    <row r="521" spans="3:3" ht="15.75" customHeight="1">
      <c r="C521" s="292"/>
    </row>
    <row r="522" spans="3:3" ht="15.75" customHeight="1">
      <c r="C522" s="292"/>
    </row>
    <row r="523" spans="3:3" ht="15.75" customHeight="1">
      <c r="C523" s="292"/>
    </row>
    <row r="524" spans="3:3" ht="15.75" customHeight="1">
      <c r="C524" s="292"/>
    </row>
    <row r="525" spans="3:3" ht="15.75" customHeight="1">
      <c r="C525" s="292"/>
    </row>
    <row r="526" spans="3:3" ht="15.75" customHeight="1">
      <c r="C526" s="292"/>
    </row>
    <row r="527" spans="3:3" ht="15.75" customHeight="1">
      <c r="C527" s="292"/>
    </row>
    <row r="528" spans="3:3" ht="15.75" customHeight="1">
      <c r="C528" s="292"/>
    </row>
    <row r="529" spans="3:3" ht="15.75" customHeight="1">
      <c r="C529" s="292"/>
    </row>
    <row r="530" spans="3:3" ht="15.75" customHeight="1">
      <c r="C530" s="292"/>
    </row>
    <row r="531" spans="3:3" ht="15.75" customHeight="1">
      <c r="C531" s="292"/>
    </row>
    <row r="532" spans="3:3" ht="15.75" customHeight="1">
      <c r="C532" s="292"/>
    </row>
    <row r="533" spans="3:3" ht="15.75" customHeight="1">
      <c r="C533" s="292"/>
    </row>
    <row r="534" spans="3:3" ht="15.75" customHeight="1">
      <c r="C534" s="292"/>
    </row>
    <row r="535" spans="3:3" ht="15.75" customHeight="1">
      <c r="C535" s="292"/>
    </row>
    <row r="536" spans="3:3" ht="15.75" customHeight="1">
      <c r="C536" s="292"/>
    </row>
    <row r="537" spans="3:3" ht="15.75" customHeight="1">
      <c r="C537" s="292"/>
    </row>
    <row r="538" spans="3:3" ht="15.75" customHeight="1">
      <c r="C538" s="292"/>
    </row>
    <row r="539" spans="3:3" ht="15.75" customHeight="1">
      <c r="C539" s="292"/>
    </row>
    <row r="540" spans="3:3" ht="15.75" customHeight="1">
      <c r="C540" s="292"/>
    </row>
    <row r="541" spans="3:3" ht="15.75" customHeight="1">
      <c r="C541" s="292"/>
    </row>
    <row r="542" spans="3:3" ht="15.75" customHeight="1">
      <c r="C542" s="292"/>
    </row>
    <row r="543" spans="3:3" ht="15.75" customHeight="1">
      <c r="C543" s="292"/>
    </row>
    <row r="544" spans="3:3" ht="15.75" customHeight="1">
      <c r="C544" s="292"/>
    </row>
    <row r="545" spans="3:3" ht="15.75" customHeight="1">
      <c r="C545" s="292"/>
    </row>
    <row r="546" spans="3:3" ht="15.75" customHeight="1">
      <c r="C546" s="292"/>
    </row>
    <row r="547" spans="3:3" ht="15.75" customHeight="1">
      <c r="C547" s="292"/>
    </row>
    <row r="548" spans="3:3" ht="15.75" customHeight="1">
      <c r="C548" s="292"/>
    </row>
    <row r="549" spans="3:3" ht="15.75" customHeight="1">
      <c r="C549" s="292"/>
    </row>
    <row r="550" spans="3:3" ht="15.75" customHeight="1">
      <c r="C550" s="292"/>
    </row>
    <row r="551" spans="3:3" ht="15.75" customHeight="1">
      <c r="C551" s="292"/>
    </row>
    <row r="552" spans="3:3" ht="15.75" customHeight="1">
      <c r="C552" s="292"/>
    </row>
    <row r="553" spans="3:3" ht="15.75" customHeight="1">
      <c r="C553" s="292"/>
    </row>
    <row r="554" spans="3:3" ht="15.75" customHeight="1">
      <c r="C554" s="292"/>
    </row>
    <row r="555" spans="3:3" ht="15.75" customHeight="1">
      <c r="C555" s="292"/>
    </row>
    <row r="556" spans="3:3" ht="15.75" customHeight="1">
      <c r="C556" s="292"/>
    </row>
    <row r="557" spans="3:3" ht="15.75" customHeight="1">
      <c r="C557" s="292"/>
    </row>
    <row r="558" spans="3:3" ht="15.75" customHeight="1">
      <c r="C558" s="292"/>
    </row>
    <row r="559" spans="3:3" ht="15.75" customHeight="1">
      <c r="C559" s="292"/>
    </row>
    <row r="560" spans="3:3" ht="15.75" customHeight="1">
      <c r="C560" s="292"/>
    </row>
    <row r="561" spans="3:3" ht="15.75" customHeight="1">
      <c r="C561" s="292"/>
    </row>
    <row r="562" spans="3:3" ht="15.75" customHeight="1">
      <c r="C562" s="292"/>
    </row>
    <row r="563" spans="3:3" ht="15.75" customHeight="1">
      <c r="C563" s="292"/>
    </row>
    <row r="564" spans="3:3" ht="15.75" customHeight="1">
      <c r="C564" s="292"/>
    </row>
    <row r="565" spans="3:3" ht="15.75" customHeight="1">
      <c r="C565" s="292"/>
    </row>
    <row r="566" spans="3:3" ht="15.75" customHeight="1">
      <c r="C566" s="292"/>
    </row>
    <row r="567" spans="3:3" ht="15.75" customHeight="1">
      <c r="C567" s="292"/>
    </row>
    <row r="568" spans="3:3" ht="15.75" customHeight="1">
      <c r="C568" s="292"/>
    </row>
    <row r="569" spans="3:3" ht="15.75" customHeight="1">
      <c r="C569" s="292"/>
    </row>
    <row r="570" spans="3:3" ht="15.75" customHeight="1">
      <c r="C570" s="292"/>
    </row>
    <row r="571" spans="3:3" ht="15.75" customHeight="1">
      <c r="C571" s="292"/>
    </row>
    <row r="572" spans="3:3" ht="15.75" customHeight="1">
      <c r="C572" s="292"/>
    </row>
    <row r="573" spans="3:3" ht="15.75" customHeight="1">
      <c r="C573" s="292"/>
    </row>
    <row r="574" spans="3:3" ht="15.75" customHeight="1">
      <c r="C574" s="292"/>
    </row>
    <row r="575" spans="3:3" ht="15.75" customHeight="1">
      <c r="C575" s="292"/>
    </row>
    <row r="576" spans="3:3" ht="15.75" customHeight="1">
      <c r="C576" s="292"/>
    </row>
    <row r="577" spans="3:3" ht="15.75" customHeight="1">
      <c r="C577" s="292"/>
    </row>
    <row r="578" spans="3:3" ht="15.75" customHeight="1">
      <c r="C578" s="292"/>
    </row>
    <row r="579" spans="3:3" ht="15.75" customHeight="1">
      <c r="C579" s="292"/>
    </row>
    <row r="580" spans="3:3" ht="15.75" customHeight="1">
      <c r="C580" s="292"/>
    </row>
    <row r="581" spans="3:3" ht="15.75" customHeight="1">
      <c r="C581" s="292"/>
    </row>
    <row r="582" spans="3:3" ht="15.75" customHeight="1">
      <c r="C582" s="292"/>
    </row>
    <row r="583" spans="3:3" ht="15.75" customHeight="1">
      <c r="C583" s="292"/>
    </row>
    <row r="584" spans="3:3" ht="15.75" customHeight="1">
      <c r="C584" s="292"/>
    </row>
    <row r="585" spans="3:3" ht="15.75" customHeight="1">
      <c r="C585" s="292"/>
    </row>
    <row r="586" spans="3:3" ht="15.75" customHeight="1">
      <c r="C586" s="292"/>
    </row>
    <row r="587" spans="3:3" ht="15.75" customHeight="1">
      <c r="C587" s="292"/>
    </row>
    <row r="588" spans="3:3" ht="15.75" customHeight="1">
      <c r="C588" s="292"/>
    </row>
    <row r="589" spans="3:3" ht="15.75" customHeight="1">
      <c r="C589" s="292"/>
    </row>
    <row r="590" spans="3:3" ht="15.75" customHeight="1">
      <c r="C590" s="292"/>
    </row>
    <row r="591" spans="3:3" ht="15.75" customHeight="1">
      <c r="C591" s="292"/>
    </row>
    <row r="592" spans="3:3" ht="15.75" customHeight="1">
      <c r="C592" s="292"/>
    </row>
    <row r="593" spans="3:3" ht="15.75" customHeight="1">
      <c r="C593" s="292"/>
    </row>
    <row r="594" spans="3:3" ht="15.75" customHeight="1">
      <c r="C594" s="292"/>
    </row>
    <row r="595" spans="3:3" ht="15.75" customHeight="1">
      <c r="C595" s="292"/>
    </row>
    <row r="596" spans="3:3" ht="15.75" customHeight="1">
      <c r="C596" s="292"/>
    </row>
    <row r="597" spans="3:3" ht="15.75" customHeight="1">
      <c r="C597" s="292"/>
    </row>
    <row r="598" spans="3:3" ht="15.75" customHeight="1">
      <c r="C598" s="292"/>
    </row>
    <row r="599" spans="3:3" ht="15.75" customHeight="1">
      <c r="C599" s="292"/>
    </row>
    <row r="600" spans="3:3" ht="15.75" customHeight="1">
      <c r="C600" s="292"/>
    </row>
    <row r="601" spans="3:3" ht="15.75" customHeight="1">
      <c r="C601" s="292"/>
    </row>
    <row r="602" spans="3:3" ht="15.75" customHeight="1">
      <c r="C602" s="292"/>
    </row>
    <row r="603" spans="3:3" ht="15.75" customHeight="1">
      <c r="C603" s="292"/>
    </row>
    <row r="604" spans="3:3" ht="15.75" customHeight="1">
      <c r="C604" s="292"/>
    </row>
    <row r="605" spans="3:3" ht="15.75" customHeight="1">
      <c r="C605" s="292"/>
    </row>
    <row r="606" spans="3:3" ht="15.75" customHeight="1">
      <c r="C606" s="292"/>
    </row>
    <row r="607" spans="3:3" ht="15.75" customHeight="1">
      <c r="C607" s="292"/>
    </row>
    <row r="608" spans="3:3" ht="15.75" customHeight="1">
      <c r="C608" s="292"/>
    </row>
    <row r="609" spans="3:3" ht="15.75" customHeight="1">
      <c r="C609" s="292"/>
    </row>
    <row r="610" spans="3:3" ht="15.75" customHeight="1">
      <c r="C610" s="292"/>
    </row>
    <row r="611" spans="3:3" ht="15.75" customHeight="1">
      <c r="C611" s="292"/>
    </row>
    <row r="612" spans="3:3" ht="15.75" customHeight="1">
      <c r="C612" s="292"/>
    </row>
    <row r="613" spans="3:3" ht="15.75" customHeight="1">
      <c r="C613" s="292"/>
    </row>
    <row r="614" spans="3:3" ht="15.75" customHeight="1">
      <c r="C614" s="292"/>
    </row>
    <row r="615" spans="3:3" ht="15.75" customHeight="1">
      <c r="C615" s="292"/>
    </row>
    <row r="616" spans="3:3" ht="15.75" customHeight="1">
      <c r="C616" s="292"/>
    </row>
    <row r="617" spans="3:3" ht="15.75" customHeight="1">
      <c r="C617" s="292"/>
    </row>
    <row r="618" spans="3:3" ht="15.75" customHeight="1">
      <c r="C618" s="292"/>
    </row>
    <row r="619" spans="3:3" ht="15.75" customHeight="1">
      <c r="C619" s="292"/>
    </row>
    <row r="620" spans="3:3" ht="15.75" customHeight="1">
      <c r="C620" s="292"/>
    </row>
    <row r="621" spans="3:3" ht="15.75" customHeight="1">
      <c r="C621" s="292"/>
    </row>
    <row r="622" spans="3:3" ht="15.75" customHeight="1">
      <c r="C622" s="292"/>
    </row>
    <row r="623" spans="3:3" ht="15.75" customHeight="1">
      <c r="C623" s="292"/>
    </row>
    <row r="624" spans="3:3" ht="15.75" customHeight="1">
      <c r="C624" s="292"/>
    </row>
    <row r="625" spans="3:3" ht="15.75" customHeight="1">
      <c r="C625" s="292"/>
    </row>
    <row r="626" spans="3:3" ht="15.75" customHeight="1">
      <c r="C626" s="292"/>
    </row>
    <row r="627" spans="3:3" ht="15.75" customHeight="1">
      <c r="C627" s="292"/>
    </row>
    <row r="628" spans="3:3" ht="15.75" customHeight="1">
      <c r="C628" s="292"/>
    </row>
    <row r="629" spans="3:3" ht="15.75" customHeight="1">
      <c r="C629" s="292"/>
    </row>
    <row r="630" spans="3:3" ht="15.75" customHeight="1">
      <c r="C630" s="292"/>
    </row>
    <row r="631" spans="3:3" ht="15.75" customHeight="1">
      <c r="C631" s="292"/>
    </row>
    <row r="632" spans="3:3" ht="15.75" customHeight="1">
      <c r="C632" s="292"/>
    </row>
    <row r="633" spans="3:3" ht="15.75" customHeight="1">
      <c r="C633" s="292"/>
    </row>
    <row r="634" spans="3:3" ht="15.75" customHeight="1">
      <c r="C634" s="292"/>
    </row>
    <row r="635" spans="3:3" ht="15.75" customHeight="1">
      <c r="C635" s="292"/>
    </row>
    <row r="636" spans="3:3" ht="15.75" customHeight="1">
      <c r="C636" s="292"/>
    </row>
    <row r="637" spans="3:3" ht="15.75" customHeight="1">
      <c r="C637" s="292"/>
    </row>
    <row r="638" spans="3:3" ht="15.75" customHeight="1">
      <c r="C638" s="292"/>
    </row>
    <row r="639" spans="3:3" ht="15.75" customHeight="1">
      <c r="C639" s="292"/>
    </row>
    <row r="640" spans="3:3" ht="15.75" customHeight="1">
      <c r="C640" s="292"/>
    </row>
    <row r="641" spans="3:3" ht="15.75" customHeight="1">
      <c r="C641" s="292"/>
    </row>
    <row r="642" spans="3:3" ht="15.75" customHeight="1">
      <c r="C642" s="292"/>
    </row>
    <row r="643" spans="3:3" ht="15.75" customHeight="1">
      <c r="C643" s="292"/>
    </row>
    <row r="644" spans="3:3" ht="15.75" customHeight="1">
      <c r="C644" s="292"/>
    </row>
    <row r="645" spans="3:3" ht="15.75" customHeight="1">
      <c r="C645" s="292"/>
    </row>
    <row r="646" spans="3:3" ht="15.75" customHeight="1">
      <c r="C646" s="292"/>
    </row>
    <row r="647" spans="3:3" ht="15.75" customHeight="1">
      <c r="C647" s="292"/>
    </row>
    <row r="648" spans="3:3" ht="15.75" customHeight="1">
      <c r="C648" s="292"/>
    </row>
    <row r="649" spans="3:3" ht="15.75" customHeight="1">
      <c r="C649" s="292"/>
    </row>
    <row r="650" spans="3:3" ht="15.75" customHeight="1">
      <c r="C650" s="292"/>
    </row>
    <row r="651" spans="3:3" ht="15.75" customHeight="1">
      <c r="C651" s="292"/>
    </row>
    <row r="652" spans="3:3" ht="15.75" customHeight="1">
      <c r="C652" s="292"/>
    </row>
    <row r="653" spans="3:3" ht="15.75" customHeight="1">
      <c r="C653" s="292"/>
    </row>
    <row r="654" spans="3:3" ht="15.75" customHeight="1">
      <c r="C654" s="292"/>
    </row>
    <row r="655" spans="3:3" ht="15.75" customHeight="1">
      <c r="C655" s="292"/>
    </row>
    <row r="656" spans="3:3" ht="15.75" customHeight="1">
      <c r="C656" s="292"/>
    </row>
    <row r="657" spans="3:3" ht="15.75" customHeight="1">
      <c r="C657" s="292"/>
    </row>
    <row r="658" spans="3:3" ht="15.75" customHeight="1">
      <c r="C658" s="292"/>
    </row>
    <row r="659" spans="3:3" ht="15.75" customHeight="1">
      <c r="C659" s="292"/>
    </row>
    <row r="660" spans="3:3" ht="15.75" customHeight="1">
      <c r="C660" s="292"/>
    </row>
    <row r="661" spans="3:3" ht="15.75" customHeight="1">
      <c r="C661" s="292"/>
    </row>
    <row r="662" spans="3:3" ht="15.75" customHeight="1">
      <c r="C662" s="292"/>
    </row>
    <row r="663" spans="3:3" ht="15.75" customHeight="1">
      <c r="C663" s="292"/>
    </row>
    <row r="664" spans="3:3" ht="15.75" customHeight="1">
      <c r="C664" s="292"/>
    </row>
    <row r="665" spans="3:3" ht="15.75" customHeight="1">
      <c r="C665" s="292"/>
    </row>
    <row r="666" spans="3:3" ht="15.75" customHeight="1">
      <c r="C666" s="292"/>
    </row>
    <row r="667" spans="3:3" ht="15.75" customHeight="1">
      <c r="C667" s="292"/>
    </row>
    <row r="668" spans="3:3" ht="15.75" customHeight="1">
      <c r="C668" s="292"/>
    </row>
    <row r="669" spans="3:3" ht="15.75" customHeight="1">
      <c r="C669" s="292"/>
    </row>
    <row r="670" spans="3:3" ht="15.75" customHeight="1">
      <c r="C670" s="292"/>
    </row>
    <row r="671" spans="3:3" ht="15.75" customHeight="1">
      <c r="C671" s="292"/>
    </row>
    <row r="672" spans="3:3" ht="15.75" customHeight="1">
      <c r="C672" s="292"/>
    </row>
    <row r="673" spans="3:3" ht="15.75" customHeight="1">
      <c r="C673" s="292"/>
    </row>
    <row r="674" spans="3:3" ht="15.75" customHeight="1">
      <c r="C674" s="292"/>
    </row>
    <row r="675" spans="3:3" ht="15.75" customHeight="1">
      <c r="C675" s="292"/>
    </row>
    <row r="676" spans="3:3" ht="15.75" customHeight="1">
      <c r="C676" s="292"/>
    </row>
    <row r="677" spans="3:3" ht="15.75" customHeight="1">
      <c r="C677" s="292"/>
    </row>
    <row r="678" spans="3:3" ht="15.75" customHeight="1">
      <c r="C678" s="292"/>
    </row>
    <row r="679" spans="3:3" ht="15.75" customHeight="1">
      <c r="C679" s="292"/>
    </row>
    <row r="680" spans="3:3" ht="15.75" customHeight="1">
      <c r="C680" s="292"/>
    </row>
    <row r="681" spans="3:3" ht="15.75" customHeight="1">
      <c r="C681" s="292"/>
    </row>
    <row r="682" spans="3:3" ht="15.75" customHeight="1">
      <c r="C682" s="292"/>
    </row>
    <row r="683" spans="3:3" ht="15.75" customHeight="1">
      <c r="C683" s="292"/>
    </row>
    <row r="684" spans="3:3" ht="15.75" customHeight="1">
      <c r="C684" s="292"/>
    </row>
    <row r="685" spans="3:3" ht="15.75" customHeight="1">
      <c r="C685" s="292"/>
    </row>
    <row r="686" spans="3:3" ht="15.75" customHeight="1">
      <c r="C686" s="292"/>
    </row>
    <row r="687" spans="3:3" ht="15.75" customHeight="1">
      <c r="C687" s="292"/>
    </row>
    <row r="688" spans="3:3" ht="15.75" customHeight="1">
      <c r="C688" s="292"/>
    </row>
    <row r="689" spans="3:3" ht="15.75" customHeight="1">
      <c r="C689" s="292"/>
    </row>
    <row r="690" spans="3:3" ht="15.75" customHeight="1">
      <c r="C690" s="292"/>
    </row>
    <row r="691" spans="3:3" ht="15.75" customHeight="1">
      <c r="C691" s="292"/>
    </row>
    <row r="692" spans="3:3" ht="15.75" customHeight="1">
      <c r="C692" s="292"/>
    </row>
    <row r="693" spans="3:3" ht="15.75" customHeight="1">
      <c r="C693" s="292"/>
    </row>
    <row r="694" spans="3:3" ht="15.75" customHeight="1">
      <c r="C694" s="292"/>
    </row>
    <row r="695" spans="3:3" ht="15.75" customHeight="1">
      <c r="C695" s="292"/>
    </row>
    <row r="696" spans="3:3" ht="15.75" customHeight="1">
      <c r="C696" s="292"/>
    </row>
    <row r="697" spans="3:3" ht="15.75" customHeight="1">
      <c r="C697" s="292"/>
    </row>
    <row r="698" spans="3:3" ht="15.75" customHeight="1">
      <c r="C698" s="292"/>
    </row>
    <row r="699" spans="3:3" ht="15.75" customHeight="1">
      <c r="C699" s="292"/>
    </row>
    <row r="700" spans="3:3" ht="15.75" customHeight="1">
      <c r="C700" s="292"/>
    </row>
    <row r="701" spans="3:3" ht="15.75" customHeight="1">
      <c r="C701" s="292"/>
    </row>
    <row r="702" spans="3:3" ht="15.75" customHeight="1">
      <c r="C702" s="292"/>
    </row>
    <row r="703" spans="3:3" ht="15.75" customHeight="1">
      <c r="C703" s="292"/>
    </row>
    <row r="704" spans="3:3" ht="15.75" customHeight="1">
      <c r="C704" s="292"/>
    </row>
    <row r="705" spans="3:3" ht="15.75" customHeight="1">
      <c r="C705" s="292"/>
    </row>
    <row r="706" spans="3:3" ht="15.75" customHeight="1">
      <c r="C706" s="292"/>
    </row>
    <row r="707" spans="3:3" ht="15.75" customHeight="1">
      <c r="C707" s="292"/>
    </row>
    <row r="708" spans="3:3" ht="15.75" customHeight="1">
      <c r="C708" s="292"/>
    </row>
    <row r="709" spans="3:3" ht="15.75" customHeight="1">
      <c r="C709" s="292"/>
    </row>
    <row r="710" spans="3:3" ht="15.75" customHeight="1">
      <c r="C710" s="292"/>
    </row>
    <row r="711" spans="3:3" ht="15.75" customHeight="1">
      <c r="C711" s="292"/>
    </row>
    <row r="712" spans="3:3" ht="15.75" customHeight="1">
      <c r="C712" s="292"/>
    </row>
    <row r="713" spans="3:3" ht="15.75" customHeight="1">
      <c r="C713" s="292"/>
    </row>
    <row r="714" spans="3:3" ht="15.75" customHeight="1">
      <c r="C714" s="292"/>
    </row>
    <row r="715" spans="3:3" ht="15.75" customHeight="1">
      <c r="C715" s="292"/>
    </row>
    <row r="716" spans="3:3" ht="15.75" customHeight="1">
      <c r="C716" s="292"/>
    </row>
    <row r="717" spans="3:3" ht="15.75" customHeight="1">
      <c r="C717" s="292"/>
    </row>
    <row r="718" spans="3:3" ht="15.75" customHeight="1">
      <c r="C718" s="292"/>
    </row>
    <row r="719" spans="3:3" ht="15.75" customHeight="1">
      <c r="C719" s="292"/>
    </row>
    <row r="720" spans="3:3" ht="15.75" customHeight="1">
      <c r="C720" s="292"/>
    </row>
    <row r="721" spans="3:3" ht="15.75" customHeight="1">
      <c r="C721" s="292"/>
    </row>
    <row r="722" spans="3:3" ht="15.75" customHeight="1">
      <c r="C722" s="292"/>
    </row>
    <row r="723" spans="3:3" ht="15.75" customHeight="1">
      <c r="C723" s="292"/>
    </row>
    <row r="724" spans="3:3" ht="15.75" customHeight="1">
      <c r="C724" s="292"/>
    </row>
    <row r="725" spans="3:3" ht="15.75" customHeight="1">
      <c r="C725" s="292"/>
    </row>
    <row r="726" spans="3:3" ht="15.75" customHeight="1">
      <c r="C726" s="292"/>
    </row>
    <row r="727" spans="3:3" ht="15.75" customHeight="1">
      <c r="C727" s="292"/>
    </row>
    <row r="728" spans="3:3" ht="15.75" customHeight="1">
      <c r="C728" s="292"/>
    </row>
    <row r="729" spans="3:3" ht="15.75" customHeight="1">
      <c r="C729" s="292"/>
    </row>
    <row r="730" spans="3:3" ht="15.75" customHeight="1">
      <c r="C730" s="292"/>
    </row>
    <row r="731" spans="3:3" ht="15.75" customHeight="1">
      <c r="C731" s="292"/>
    </row>
    <row r="732" spans="3:3" ht="15.75" customHeight="1">
      <c r="C732" s="292"/>
    </row>
    <row r="733" spans="3:3" ht="15.75" customHeight="1">
      <c r="C733" s="292"/>
    </row>
    <row r="734" spans="3:3" ht="15.75" customHeight="1">
      <c r="C734" s="292"/>
    </row>
    <row r="735" spans="3:3" ht="15.75" customHeight="1">
      <c r="C735" s="292"/>
    </row>
    <row r="736" spans="3:3" ht="15.75" customHeight="1">
      <c r="C736" s="292"/>
    </row>
    <row r="737" spans="3:3" ht="15.75" customHeight="1">
      <c r="C737" s="292"/>
    </row>
    <row r="738" spans="3:3" ht="15.75" customHeight="1">
      <c r="C738" s="292"/>
    </row>
    <row r="739" spans="3:3" ht="15.75" customHeight="1">
      <c r="C739" s="292"/>
    </row>
    <row r="740" spans="3:3" ht="15.75" customHeight="1">
      <c r="C740" s="292"/>
    </row>
    <row r="741" spans="3:3" ht="15.75" customHeight="1">
      <c r="C741" s="292"/>
    </row>
    <row r="742" spans="3:3" ht="15.75" customHeight="1">
      <c r="C742" s="292"/>
    </row>
    <row r="743" spans="3:3" ht="15.75" customHeight="1">
      <c r="C743" s="292"/>
    </row>
    <row r="744" spans="3:3" ht="15.75" customHeight="1">
      <c r="C744" s="292"/>
    </row>
    <row r="745" spans="3:3" ht="15.75" customHeight="1">
      <c r="C745" s="292"/>
    </row>
    <row r="746" spans="3:3" ht="15.75" customHeight="1">
      <c r="C746" s="292"/>
    </row>
    <row r="747" spans="3:3" ht="15.75" customHeight="1">
      <c r="C747" s="292"/>
    </row>
    <row r="748" spans="3:3" ht="15.75" customHeight="1">
      <c r="C748" s="292"/>
    </row>
    <row r="749" spans="3:3" ht="15.75" customHeight="1">
      <c r="C749" s="292"/>
    </row>
    <row r="750" spans="3:3" ht="15.75" customHeight="1">
      <c r="C750" s="292"/>
    </row>
    <row r="751" spans="3:3" ht="15.75" customHeight="1">
      <c r="C751" s="292"/>
    </row>
    <row r="752" spans="3:3" ht="15.75" customHeight="1">
      <c r="C752" s="292"/>
    </row>
    <row r="753" spans="3:3" ht="15.75" customHeight="1">
      <c r="C753" s="292"/>
    </row>
    <row r="754" spans="3:3" ht="15.75" customHeight="1">
      <c r="C754" s="292"/>
    </row>
    <row r="755" spans="3:3" ht="15.75" customHeight="1">
      <c r="C755" s="292"/>
    </row>
    <row r="756" spans="3:3" ht="15.75" customHeight="1">
      <c r="C756" s="292"/>
    </row>
    <row r="757" spans="3:3" ht="15.75" customHeight="1">
      <c r="C757" s="292"/>
    </row>
    <row r="758" spans="3:3" ht="15.75" customHeight="1">
      <c r="C758" s="292"/>
    </row>
    <row r="759" spans="3:3" ht="15.75" customHeight="1">
      <c r="C759" s="292"/>
    </row>
    <row r="760" spans="3:3" ht="15.75" customHeight="1">
      <c r="C760" s="292"/>
    </row>
    <row r="761" spans="3:3" ht="15.75" customHeight="1">
      <c r="C761" s="292"/>
    </row>
    <row r="762" spans="3:3" ht="15.75" customHeight="1">
      <c r="C762" s="292"/>
    </row>
    <row r="763" spans="3:3" ht="15.75" customHeight="1">
      <c r="C763" s="292"/>
    </row>
    <row r="764" spans="3:3" ht="15.75" customHeight="1">
      <c r="C764" s="292"/>
    </row>
    <row r="765" spans="3:3" ht="15.75" customHeight="1">
      <c r="C765" s="292"/>
    </row>
    <row r="766" spans="3:3" ht="15.75" customHeight="1">
      <c r="C766" s="292"/>
    </row>
    <row r="767" spans="3:3" ht="15.75" customHeight="1">
      <c r="C767" s="292"/>
    </row>
    <row r="768" spans="3:3" ht="15.75" customHeight="1">
      <c r="C768" s="292"/>
    </row>
    <row r="769" spans="3:3" ht="15.75" customHeight="1">
      <c r="C769" s="292"/>
    </row>
    <row r="770" spans="3:3" ht="15.75" customHeight="1">
      <c r="C770" s="292"/>
    </row>
    <row r="771" spans="3:3" ht="15.75" customHeight="1">
      <c r="C771" s="292"/>
    </row>
    <row r="772" spans="3:3" ht="15.75" customHeight="1">
      <c r="C772" s="292"/>
    </row>
    <row r="773" spans="3:3" ht="15.75" customHeight="1">
      <c r="C773" s="292"/>
    </row>
    <row r="774" spans="3:3" ht="15.75" customHeight="1">
      <c r="C774" s="292"/>
    </row>
    <row r="775" spans="3:3" ht="15.75" customHeight="1">
      <c r="C775" s="292"/>
    </row>
    <row r="776" spans="3:3" ht="15.75" customHeight="1">
      <c r="C776" s="292"/>
    </row>
    <row r="777" spans="3:3" ht="15.75" customHeight="1">
      <c r="C777" s="292"/>
    </row>
    <row r="778" spans="3:3" ht="15.75" customHeight="1">
      <c r="C778" s="292"/>
    </row>
    <row r="779" spans="3:3" ht="15.75" customHeight="1">
      <c r="C779" s="292"/>
    </row>
    <row r="780" spans="3:3" ht="15.75" customHeight="1">
      <c r="C780" s="292"/>
    </row>
    <row r="781" spans="3:3" ht="15.75" customHeight="1">
      <c r="C781" s="292"/>
    </row>
    <row r="782" spans="3:3" ht="15.75" customHeight="1">
      <c r="C782" s="292"/>
    </row>
    <row r="783" spans="3:3" ht="15.75" customHeight="1">
      <c r="C783" s="292"/>
    </row>
    <row r="784" spans="3:3" ht="15.75" customHeight="1">
      <c r="C784" s="292"/>
    </row>
    <row r="785" spans="3:3" ht="15.75" customHeight="1">
      <c r="C785" s="292"/>
    </row>
    <row r="786" spans="3:3" ht="15.75" customHeight="1">
      <c r="C786" s="292"/>
    </row>
    <row r="787" spans="3:3" ht="15.75" customHeight="1">
      <c r="C787" s="292"/>
    </row>
    <row r="788" spans="3:3" ht="15.75" customHeight="1">
      <c r="C788" s="292"/>
    </row>
    <row r="789" spans="3:3" ht="15.75" customHeight="1">
      <c r="C789" s="292"/>
    </row>
    <row r="790" spans="3:3" ht="15.75" customHeight="1">
      <c r="C790" s="292"/>
    </row>
    <row r="791" spans="3:3" ht="15.75" customHeight="1">
      <c r="C791" s="292"/>
    </row>
    <row r="792" spans="3:3" ht="15.75" customHeight="1">
      <c r="C792" s="292"/>
    </row>
    <row r="793" spans="3:3" ht="15.75" customHeight="1">
      <c r="C793" s="292"/>
    </row>
    <row r="794" spans="3:3" ht="15.75" customHeight="1">
      <c r="C794" s="292"/>
    </row>
    <row r="795" spans="3:3" ht="15.75" customHeight="1">
      <c r="C795" s="292"/>
    </row>
    <row r="796" spans="3:3" ht="15.75" customHeight="1">
      <c r="C796" s="292"/>
    </row>
    <row r="797" spans="3:3" ht="15.75" customHeight="1">
      <c r="C797" s="292"/>
    </row>
    <row r="798" spans="3:3" ht="15.75" customHeight="1">
      <c r="C798" s="292"/>
    </row>
    <row r="799" spans="3:3" ht="15.75" customHeight="1">
      <c r="C799" s="292"/>
    </row>
    <row r="800" spans="3:3" ht="15.75" customHeight="1">
      <c r="C800" s="292"/>
    </row>
    <row r="801" spans="3:3" ht="15.75" customHeight="1">
      <c r="C801" s="292"/>
    </row>
    <row r="802" spans="3:3" ht="15.75" customHeight="1">
      <c r="C802" s="292"/>
    </row>
    <row r="803" spans="3:3" ht="15.75" customHeight="1">
      <c r="C803" s="292"/>
    </row>
    <row r="804" spans="3:3" ht="15.75" customHeight="1">
      <c r="C804" s="292"/>
    </row>
    <row r="805" spans="3:3" ht="15.75" customHeight="1">
      <c r="C805" s="292"/>
    </row>
    <row r="806" spans="3:3" ht="15.75" customHeight="1">
      <c r="C806" s="292"/>
    </row>
    <row r="807" spans="3:3" ht="15.75" customHeight="1">
      <c r="C807" s="292"/>
    </row>
    <row r="808" spans="3:3" ht="15.75" customHeight="1">
      <c r="C808" s="292"/>
    </row>
    <row r="809" spans="3:3" ht="15.75" customHeight="1">
      <c r="C809" s="292"/>
    </row>
    <row r="810" spans="3:3" ht="15.75" customHeight="1">
      <c r="C810" s="292"/>
    </row>
    <row r="811" spans="3:3" ht="15.75" customHeight="1">
      <c r="C811" s="292"/>
    </row>
    <row r="812" spans="3:3" ht="15.75" customHeight="1">
      <c r="C812" s="292"/>
    </row>
    <row r="813" spans="3:3" ht="15.75" customHeight="1">
      <c r="C813" s="292"/>
    </row>
    <row r="814" spans="3:3" ht="15.75" customHeight="1">
      <c r="C814" s="292"/>
    </row>
    <row r="815" spans="3:3" ht="15.75" customHeight="1">
      <c r="C815" s="292"/>
    </row>
    <row r="816" spans="3:3" ht="15.75" customHeight="1">
      <c r="C816" s="292"/>
    </row>
    <row r="817" spans="3:3" ht="15.75" customHeight="1">
      <c r="C817" s="292"/>
    </row>
    <row r="818" spans="3:3" ht="15.75" customHeight="1">
      <c r="C818" s="292"/>
    </row>
    <row r="819" spans="3:3" ht="15.75" customHeight="1">
      <c r="C819" s="292"/>
    </row>
    <row r="820" spans="3:3" ht="15.75" customHeight="1">
      <c r="C820" s="292"/>
    </row>
    <row r="821" spans="3:3" ht="15.75" customHeight="1">
      <c r="C821" s="292"/>
    </row>
    <row r="822" spans="3:3" ht="15.75" customHeight="1">
      <c r="C822" s="292"/>
    </row>
    <row r="823" spans="3:3" ht="15.75" customHeight="1">
      <c r="C823" s="292"/>
    </row>
    <row r="824" spans="3:3" ht="15.75" customHeight="1">
      <c r="C824" s="292"/>
    </row>
    <row r="825" spans="3:3" ht="15.75" customHeight="1">
      <c r="C825" s="292"/>
    </row>
    <row r="826" spans="3:3" ht="15.75" customHeight="1">
      <c r="C826" s="292"/>
    </row>
    <row r="827" spans="3:3" ht="15.75" customHeight="1">
      <c r="C827" s="292"/>
    </row>
    <row r="828" spans="3:3" ht="15.75" customHeight="1">
      <c r="C828" s="292"/>
    </row>
    <row r="829" spans="3:3" ht="15.75" customHeight="1">
      <c r="C829" s="292"/>
    </row>
    <row r="830" spans="3:3" ht="15.75" customHeight="1">
      <c r="C830" s="292"/>
    </row>
    <row r="831" spans="3:3" ht="15.75" customHeight="1">
      <c r="C831" s="292"/>
    </row>
    <row r="832" spans="3:3" ht="15.75" customHeight="1">
      <c r="C832" s="292"/>
    </row>
    <row r="833" spans="3:3" ht="15.75" customHeight="1">
      <c r="C833" s="292"/>
    </row>
    <row r="834" spans="3:3" ht="15.75" customHeight="1">
      <c r="C834" s="292"/>
    </row>
    <row r="835" spans="3:3" ht="15.75" customHeight="1">
      <c r="C835" s="292"/>
    </row>
    <row r="836" spans="3:3" ht="15.75" customHeight="1">
      <c r="C836" s="292"/>
    </row>
    <row r="837" spans="3:3" ht="15.75" customHeight="1">
      <c r="C837" s="292"/>
    </row>
    <row r="838" spans="3:3" ht="15.75" customHeight="1">
      <c r="C838" s="292"/>
    </row>
    <row r="839" spans="3:3" ht="15.75" customHeight="1">
      <c r="C839" s="292"/>
    </row>
    <row r="840" spans="3:3" ht="15.75" customHeight="1">
      <c r="C840" s="292"/>
    </row>
    <row r="841" spans="3:3" ht="15.75" customHeight="1">
      <c r="C841" s="292"/>
    </row>
    <row r="842" spans="3:3" ht="15.75" customHeight="1">
      <c r="C842" s="292"/>
    </row>
    <row r="843" spans="3:3" ht="15.75" customHeight="1">
      <c r="C843" s="292"/>
    </row>
    <row r="844" spans="3:3" ht="15.75" customHeight="1">
      <c r="C844" s="292"/>
    </row>
    <row r="845" spans="3:3" ht="15.75" customHeight="1">
      <c r="C845" s="292"/>
    </row>
    <row r="846" spans="3:3" ht="15.75" customHeight="1">
      <c r="C846" s="292"/>
    </row>
    <row r="847" spans="3:3" ht="15.75" customHeight="1">
      <c r="C847" s="292"/>
    </row>
    <row r="848" spans="3:3" ht="15.75" customHeight="1">
      <c r="C848" s="292"/>
    </row>
    <row r="849" spans="3:3" ht="15.75" customHeight="1">
      <c r="C849" s="292"/>
    </row>
    <row r="850" spans="3:3" ht="15.75" customHeight="1">
      <c r="C850" s="292"/>
    </row>
    <row r="851" spans="3:3" ht="15.75" customHeight="1">
      <c r="C851" s="292"/>
    </row>
    <row r="852" spans="3:3" ht="15.75" customHeight="1">
      <c r="C852" s="292"/>
    </row>
    <row r="853" spans="3:3" ht="15.75" customHeight="1">
      <c r="C853" s="292"/>
    </row>
    <row r="854" spans="3:3" ht="15.75" customHeight="1">
      <c r="C854" s="292"/>
    </row>
    <row r="855" spans="3:3" ht="15.75" customHeight="1">
      <c r="C855" s="292"/>
    </row>
    <row r="856" spans="3:3" ht="15.75" customHeight="1">
      <c r="C856" s="292"/>
    </row>
    <row r="857" spans="3:3" ht="15.75" customHeight="1">
      <c r="C857" s="292"/>
    </row>
    <row r="858" spans="3:3" ht="15.75" customHeight="1">
      <c r="C858" s="292"/>
    </row>
    <row r="859" spans="3:3" ht="15.75" customHeight="1">
      <c r="C859" s="292"/>
    </row>
    <row r="860" spans="3:3" ht="15.75" customHeight="1">
      <c r="C860" s="292"/>
    </row>
  </sheetData>
  <mergeCells count="3">
    <mergeCell ref="C1:F1"/>
    <mergeCell ref="G1:K1"/>
    <mergeCell ref="L1:Q1"/>
  </mergeCells>
  <conditionalFormatting sqref="I4:I12 I14 I16 I19 I21 I23 I25 I29:I41">
    <cfRule type="colorScale" priority="5">
      <colorScale>
        <cfvo type="min"/>
        <cfvo type="percentile" val="50"/>
        <cfvo type="max"/>
        <color rgb="FF57BB8A"/>
        <color rgb="FFFFFFFF"/>
        <color rgb="FFE67C73"/>
      </colorScale>
    </cfRule>
  </conditionalFormatting>
  <conditionalFormatting sqref="K4:K12 K14 K16 K19 K21 K23 K25 K29:K41">
    <cfRule type="colorScale" priority="6">
      <colorScale>
        <cfvo type="min"/>
        <cfvo type="max"/>
        <color rgb="FF57BB8A"/>
        <color rgb="FFFFFFFF"/>
      </colorScale>
    </cfRule>
  </conditionalFormatting>
  <conditionalFormatting sqref="L4:Q12 L14:Q14 L16:Q16 L19:Q19 L21:Q21 L23:Q23 L25:Q25 L29:Q41">
    <cfRule type="cellIs" dxfId="3" priority="3" operator="greaterThan">
      <formula>0</formula>
    </cfRule>
    <cfRule type="cellIs" dxfId="2" priority="4" operator="lessThanOrEqual">
      <formula>0</formula>
    </cfRule>
  </conditionalFormatting>
  <conditionalFormatting sqref="L4:Q12 L14:Q14 L16:Q16 L19:Q19 L21:Q21 L23:Q23 L25:Q25 L30:Q30 L32:Q32 L34:Q34 L36:Q36 L38:Q38 L40:Q4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Matriz táctica</vt:lpstr>
      <vt:lpstr>Ideas de Trading</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2024-01-21T23:08:37Z</dcterms:modified>
</cp:coreProperties>
</file>