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Guillermo\Mi unidad\Guille\Alpha Seneca\2- Informes y planillas\Planillas\"/>
    </mc:Choice>
  </mc:AlternateContent>
  <xr:revisionPtr revIDLastSave="0" documentId="13_ncr:1_{8B968A18-69C6-45B3-85D7-E025EC57D066}" xr6:coauthVersionLast="47" xr6:coauthVersionMax="47" xr10:uidLastSave="{00000000-0000-0000-0000-000000000000}"/>
  <bookViews>
    <workbookView xWindow="-108" yWindow="-108" windowWidth="23256" windowHeight="12576" xr2:uid="{00000000-000D-0000-FFFF-FFFF00000000}"/>
  </bookViews>
  <sheets>
    <sheet name="Portafolio Discrecional" sheetId="3" r:id="rId1"/>
    <sheet name="Ideas de Trading" sheetId="4" r:id="rId2"/>
    <sheet name="Matriz táctica" sheetId="5" r:id="rId3"/>
    <sheet name="Watchlist" sheetId="6" r:id="rId4"/>
  </sheets>
  <calcPr calcId="191029"/>
  <extLst>
    <ext uri="GoogleSheetsCustomDataVersion2">
      <go:sheetsCustomData xmlns:go="http://customooxmlschemas.google.com/" r:id="rId10" roundtripDataChecksum="1EsP8+n0JG/rl2TZucD/f/azibLNXLfifY/tB8hWlTw="/>
    </ext>
  </extLst>
</workbook>
</file>

<file path=xl/calcChain.xml><?xml version="1.0" encoding="utf-8"?>
<calcChain xmlns="http://schemas.openxmlformats.org/spreadsheetml/2006/main">
  <c r="AD51" i="6" l="1"/>
  <c r="AC51" i="6"/>
  <c r="AD50" i="6"/>
  <c r="AC50" i="6"/>
  <c r="AA50" i="6"/>
  <c r="Y50" i="6"/>
  <c r="W50" i="6"/>
  <c r="U50" i="6"/>
  <c r="K50" i="6"/>
  <c r="G50" i="6"/>
  <c r="I50" i="6" s="1"/>
  <c r="D50" i="6"/>
  <c r="C50" i="6"/>
  <c r="AD49" i="6"/>
  <c r="AC49" i="6"/>
  <c r="AD48" i="6"/>
  <c r="AC48" i="6"/>
  <c r="AA48" i="6"/>
  <c r="Y48" i="6"/>
  <c r="W48" i="6"/>
  <c r="U48" i="6"/>
  <c r="K48" i="6"/>
  <c r="G48" i="6"/>
  <c r="I48" i="6" s="1"/>
  <c r="D48" i="6"/>
  <c r="C48" i="6"/>
  <c r="AD47" i="6"/>
  <c r="AC47" i="6"/>
  <c r="AD46" i="6"/>
  <c r="AC46" i="6"/>
  <c r="AA46" i="6"/>
  <c r="Y46" i="6"/>
  <c r="W46" i="6"/>
  <c r="U46" i="6"/>
  <c r="K46" i="6"/>
  <c r="G46" i="6"/>
  <c r="I46" i="6" s="1"/>
  <c r="D46" i="6"/>
  <c r="C46" i="6"/>
  <c r="AD45" i="6"/>
  <c r="AC45" i="6"/>
  <c r="AD44" i="6"/>
  <c r="AC44" i="6"/>
  <c r="AA44" i="6"/>
  <c r="Y44" i="6"/>
  <c r="W44" i="6"/>
  <c r="U44" i="6"/>
  <c r="K44" i="6"/>
  <c r="G44" i="6"/>
  <c r="I44" i="6" s="1"/>
  <c r="D44" i="6"/>
  <c r="C44" i="6"/>
  <c r="A44" i="6"/>
  <c r="A46" i="6" s="1"/>
  <c r="A48" i="6" s="1"/>
  <c r="A50" i="6" s="1"/>
  <c r="AD43" i="6"/>
  <c r="AC43" i="6"/>
  <c r="A43" i="6"/>
  <c r="AD42" i="6"/>
  <c r="AC42" i="6"/>
  <c r="AA42" i="6"/>
  <c r="Y42" i="6"/>
  <c r="W42" i="6"/>
  <c r="U42" i="6"/>
  <c r="K42" i="6"/>
  <c r="G42" i="6"/>
  <c r="I42" i="6" s="1"/>
  <c r="D42" i="6"/>
  <c r="C42" i="6"/>
  <c r="A42" i="6"/>
  <c r="AD41" i="6"/>
  <c r="AC41" i="6"/>
  <c r="AD40" i="6"/>
  <c r="AC40" i="6"/>
  <c r="AA40" i="6"/>
  <c r="Y40" i="6"/>
  <c r="W40" i="6"/>
  <c r="U40" i="6"/>
  <c r="K40" i="6"/>
  <c r="G40" i="6"/>
  <c r="I40" i="6" s="1"/>
  <c r="D40" i="6"/>
  <c r="C40" i="6"/>
  <c r="AD36" i="6"/>
  <c r="AC36" i="6"/>
  <c r="AD35" i="6"/>
  <c r="AC35" i="6"/>
  <c r="AA35" i="6"/>
  <c r="Y35" i="6"/>
  <c r="W35" i="6"/>
  <c r="U35" i="6"/>
  <c r="G35" i="6"/>
  <c r="K35" i="6" s="1"/>
  <c r="D35" i="6"/>
  <c r="C35" i="6"/>
  <c r="AD34" i="6"/>
  <c r="AC34" i="6"/>
  <c r="AD33" i="6"/>
  <c r="AC33" i="6"/>
  <c r="AA33" i="6"/>
  <c r="Y33" i="6"/>
  <c r="W33" i="6"/>
  <c r="U33" i="6"/>
  <c r="G33" i="6"/>
  <c r="K33" i="6" s="1"/>
  <c r="D33" i="6"/>
  <c r="C33" i="6"/>
  <c r="AD32" i="6"/>
  <c r="AC32" i="6"/>
  <c r="A32" i="6"/>
  <c r="AD31" i="6"/>
  <c r="AC31" i="6"/>
  <c r="AA31" i="6"/>
  <c r="Y31" i="6"/>
  <c r="W31" i="6"/>
  <c r="U31" i="6"/>
  <c r="G31" i="6"/>
  <c r="I31" i="6" s="1"/>
  <c r="D31" i="6"/>
  <c r="C31" i="6"/>
  <c r="A31" i="6"/>
  <c r="A33" i="6" s="1"/>
  <c r="A35" i="6" s="1"/>
  <c r="AD30" i="6"/>
  <c r="AC30" i="6"/>
  <c r="A30" i="6"/>
  <c r="AD29" i="6"/>
  <c r="AC29" i="6"/>
  <c r="AA29" i="6"/>
  <c r="Y29" i="6"/>
  <c r="W29" i="6"/>
  <c r="U29" i="6"/>
  <c r="G29" i="6"/>
  <c r="K29" i="6" s="1"/>
  <c r="D29" i="6"/>
  <c r="C29" i="6"/>
  <c r="A29" i="6"/>
  <c r="AD28" i="6"/>
  <c r="AC28" i="6"/>
  <c r="A28" i="6"/>
  <c r="AD27" i="6"/>
  <c r="AC27" i="6"/>
  <c r="AA27" i="6"/>
  <c r="Y27" i="6"/>
  <c r="W27" i="6"/>
  <c r="U27" i="6"/>
  <c r="G27" i="6"/>
  <c r="K27" i="6" s="1"/>
  <c r="D27" i="6"/>
  <c r="C27" i="6"/>
  <c r="A27" i="6"/>
  <c r="AD26" i="6"/>
  <c r="AC26" i="6"/>
  <c r="A26" i="6"/>
  <c r="AD25" i="6"/>
  <c r="AC25" i="6"/>
  <c r="AA25" i="6"/>
  <c r="Y25" i="6"/>
  <c r="W25" i="6"/>
  <c r="U25" i="6"/>
  <c r="G25" i="6"/>
  <c r="K25" i="6" s="1"/>
  <c r="D25" i="6"/>
  <c r="C25" i="6"/>
  <c r="AD23" i="6"/>
  <c r="AC23" i="6"/>
  <c r="AD22" i="6"/>
  <c r="AC22" i="6"/>
  <c r="AA22" i="6"/>
  <c r="Y22" i="6"/>
  <c r="W22" i="6"/>
  <c r="U22" i="6"/>
  <c r="G22" i="6"/>
  <c r="I22" i="6" s="1"/>
  <c r="D22" i="6"/>
  <c r="C22" i="6"/>
  <c r="AD21" i="6"/>
  <c r="AC21" i="6"/>
  <c r="AD20" i="6"/>
  <c r="AC20" i="6"/>
  <c r="AA20" i="6"/>
  <c r="Y20" i="6"/>
  <c r="W20" i="6"/>
  <c r="U20" i="6"/>
  <c r="G20" i="6"/>
  <c r="I20" i="6" s="1"/>
  <c r="D20" i="6"/>
  <c r="C20" i="6"/>
  <c r="AD19" i="6"/>
  <c r="AC19" i="6"/>
  <c r="AD18" i="6"/>
  <c r="AC18" i="6"/>
  <c r="AA18" i="6"/>
  <c r="Y18" i="6"/>
  <c r="W18" i="6"/>
  <c r="U18" i="6"/>
  <c r="G18" i="6"/>
  <c r="K18" i="6" s="1"/>
  <c r="D18" i="6"/>
  <c r="C18" i="6"/>
  <c r="AD17" i="6"/>
  <c r="AC17" i="6"/>
  <c r="AD16" i="6"/>
  <c r="AC16" i="6"/>
  <c r="AA16" i="6"/>
  <c r="Y16" i="6"/>
  <c r="W16" i="6"/>
  <c r="U16" i="6"/>
  <c r="G16" i="6"/>
  <c r="K16" i="6" s="1"/>
  <c r="D16" i="6"/>
  <c r="C16" i="6"/>
  <c r="AD15" i="6"/>
  <c r="AC15" i="6"/>
  <c r="AD14" i="6"/>
  <c r="AC14" i="6"/>
  <c r="AA14" i="6"/>
  <c r="Y14" i="6"/>
  <c r="W14" i="6"/>
  <c r="U14" i="6"/>
  <c r="G14" i="6"/>
  <c r="K14" i="6" s="1"/>
  <c r="D14" i="6"/>
  <c r="C14" i="6"/>
  <c r="AD13" i="6"/>
  <c r="AC13" i="6"/>
  <c r="AD12" i="6"/>
  <c r="AC12" i="6"/>
  <c r="AA12" i="6"/>
  <c r="Y12" i="6"/>
  <c r="W12" i="6"/>
  <c r="U12" i="6"/>
  <c r="G12" i="6"/>
  <c r="I12" i="6" s="1"/>
  <c r="D12" i="6"/>
  <c r="C12" i="6"/>
  <c r="AD11" i="6"/>
  <c r="AC11" i="6"/>
  <c r="AD10" i="6"/>
  <c r="AC10" i="6"/>
  <c r="AA10" i="6"/>
  <c r="Y10" i="6"/>
  <c r="W10" i="6"/>
  <c r="U10" i="6"/>
  <c r="G10" i="6"/>
  <c r="I10" i="6" s="1"/>
  <c r="D10" i="6"/>
  <c r="C10" i="6"/>
  <c r="AD9" i="6"/>
  <c r="AC9" i="6"/>
  <c r="AD8" i="6"/>
  <c r="AC8" i="6"/>
  <c r="AA8" i="6"/>
  <c r="Y8" i="6"/>
  <c r="W8" i="6"/>
  <c r="U8" i="6"/>
  <c r="G8" i="6"/>
  <c r="K8" i="6" s="1"/>
  <c r="D8" i="6"/>
  <c r="C8" i="6"/>
  <c r="A8" i="6"/>
  <c r="A10" i="6" s="1"/>
  <c r="A12" i="6" s="1"/>
  <c r="A14" i="6" s="1"/>
  <c r="A16" i="6" s="1"/>
  <c r="A18" i="6" s="1"/>
  <c r="A20" i="6" s="1"/>
  <c r="A22" i="6" s="1"/>
  <c r="AD7" i="6"/>
  <c r="AC7" i="6"/>
  <c r="AD6" i="6"/>
  <c r="AC6" i="6"/>
  <c r="AA6" i="6"/>
  <c r="Y6" i="6"/>
  <c r="W6" i="6"/>
  <c r="U6" i="6"/>
  <c r="G6" i="6"/>
  <c r="K6" i="6" s="1"/>
  <c r="D6" i="6"/>
  <c r="C6" i="6"/>
  <c r="A6" i="6"/>
  <c r="AD5" i="6"/>
  <c r="AC5" i="6"/>
  <c r="A5" i="6"/>
  <c r="A7" i="6" s="1"/>
  <c r="A9" i="6" s="1"/>
  <c r="AD4" i="6"/>
  <c r="AC4" i="6"/>
  <c r="AA4" i="6"/>
  <c r="Y4" i="6"/>
  <c r="W4" i="6"/>
  <c r="U4" i="6"/>
  <c r="G4" i="6"/>
  <c r="K4" i="6" s="1"/>
  <c r="D4" i="6"/>
  <c r="C4" i="6"/>
  <c r="H20" i="5"/>
  <c r="C20" i="5"/>
  <c r="H19" i="5"/>
  <c r="C19" i="5"/>
  <c r="H18" i="5"/>
  <c r="C18" i="5"/>
  <c r="H17" i="5"/>
  <c r="C17" i="5"/>
  <c r="H16" i="5"/>
  <c r="C16" i="5"/>
  <c r="H15" i="5"/>
  <c r="C15" i="5"/>
  <c r="AE10" i="5"/>
  <c r="AD10" i="5"/>
  <c r="AE9" i="5"/>
  <c r="AD9" i="5"/>
  <c r="AB9" i="5"/>
  <c r="Z9" i="5"/>
  <c r="X9" i="5"/>
  <c r="V9" i="5"/>
  <c r="M9" i="5"/>
  <c r="H9" i="5"/>
  <c r="P9" i="5" s="1"/>
  <c r="C9" i="5"/>
  <c r="AE8" i="5"/>
  <c r="AD8" i="5"/>
  <c r="AE7" i="5"/>
  <c r="AD7" i="5"/>
  <c r="AB7" i="5"/>
  <c r="Z7" i="5"/>
  <c r="X7" i="5"/>
  <c r="V7" i="5"/>
  <c r="M7" i="5"/>
  <c r="H7" i="5"/>
  <c r="L7" i="5" s="1"/>
  <c r="C7" i="5"/>
  <c r="AE6" i="5"/>
  <c r="AD6" i="5"/>
  <c r="A6" i="5"/>
  <c r="A10" i="5" s="1"/>
  <c r="AE5" i="5"/>
  <c r="AD5" i="5"/>
  <c r="AB5" i="5"/>
  <c r="Z5" i="5"/>
  <c r="X5" i="5"/>
  <c r="V5" i="5"/>
  <c r="M5" i="5"/>
  <c r="H5" i="5"/>
  <c r="C5" i="5"/>
  <c r="A5" i="5"/>
  <c r="A7" i="5" s="1"/>
  <c r="A9" i="5" s="1"/>
  <c r="A4" i="5"/>
  <c r="AD3" i="5"/>
  <c r="AB3" i="5"/>
  <c r="Z3" i="5"/>
  <c r="X3" i="5"/>
  <c r="V3" i="5"/>
  <c r="M3" i="5"/>
  <c r="H3" i="5"/>
  <c r="J3" i="5" s="1"/>
  <c r="C3" i="5"/>
  <c r="O62" i="4"/>
  <c r="N62" i="4"/>
  <c r="L62" i="4"/>
  <c r="M62" i="4" s="1"/>
  <c r="K62" i="4"/>
  <c r="D62" i="4"/>
  <c r="C62" i="4"/>
  <c r="O61" i="4"/>
  <c r="N61" i="4"/>
  <c r="L61" i="4"/>
  <c r="M61" i="4" s="1"/>
  <c r="D61" i="4"/>
  <c r="C61" i="4"/>
  <c r="O60" i="4"/>
  <c r="N60" i="4"/>
  <c r="L60" i="4"/>
  <c r="M60" i="4" s="1"/>
  <c r="K60" i="4"/>
  <c r="O59" i="4"/>
  <c r="N59" i="4"/>
  <c r="K59" i="4"/>
  <c r="J59" i="4"/>
  <c r="L59" i="4" s="1"/>
  <c r="M59" i="4" s="1"/>
  <c r="D59" i="4"/>
  <c r="C59" i="4"/>
  <c r="O58" i="4"/>
  <c r="N58" i="4"/>
  <c r="K58" i="4"/>
  <c r="J58" i="4"/>
  <c r="L58" i="4" s="1"/>
  <c r="M58" i="4" s="1"/>
  <c r="D58" i="4"/>
  <c r="C58" i="4"/>
  <c r="O57" i="4"/>
  <c r="N57" i="4"/>
  <c r="L57" i="4"/>
  <c r="M57" i="4" s="1"/>
  <c r="K57" i="4"/>
  <c r="D57" i="4"/>
  <c r="C57" i="4"/>
  <c r="O56" i="4"/>
  <c r="N56" i="4"/>
  <c r="L56" i="4"/>
  <c r="K56" i="4"/>
  <c r="M56" i="4" s="1"/>
  <c r="J56" i="4"/>
  <c r="D56" i="4"/>
  <c r="C56" i="4"/>
  <c r="O55" i="4"/>
  <c r="N55" i="4"/>
  <c r="L55" i="4"/>
  <c r="M55" i="4" s="1"/>
  <c r="K55" i="4"/>
  <c r="D55" i="4"/>
  <c r="C55" i="4"/>
  <c r="O54" i="4"/>
  <c r="N54" i="4"/>
  <c r="K54" i="4"/>
  <c r="J54" i="4"/>
  <c r="L54" i="4" s="1"/>
  <c r="M54" i="4" s="1"/>
  <c r="D54" i="4"/>
  <c r="C54" i="4"/>
  <c r="O53" i="4"/>
  <c r="N53" i="4"/>
  <c r="J53" i="4"/>
  <c r="L53" i="4" s="1"/>
  <c r="D53" i="4"/>
  <c r="C53" i="4"/>
  <c r="O52" i="4"/>
  <c r="N52" i="4"/>
  <c r="E32" i="4" s="1"/>
  <c r="J52" i="4"/>
  <c r="K52" i="4" s="1"/>
  <c r="D52" i="4"/>
  <c r="C52" i="4"/>
  <c r="O51" i="4"/>
  <c r="N51" i="4"/>
  <c r="E33" i="4" s="1"/>
  <c r="K51" i="4"/>
  <c r="J51" i="4"/>
  <c r="L51" i="4" s="1"/>
  <c r="M51" i="4" s="1"/>
  <c r="D51" i="4"/>
  <c r="C51" i="4"/>
  <c r="O50" i="4"/>
  <c r="N50" i="4"/>
  <c r="L50" i="4"/>
  <c r="M50" i="4" s="1"/>
  <c r="K50" i="4"/>
  <c r="D50" i="4"/>
  <c r="C50" i="4"/>
  <c r="A50" i="4"/>
  <c r="A51" i="4" s="1"/>
  <c r="A52" i="4" s="1"/>
  <c r="A53" i="4" s="1"/>
  <c r="A54" i="4" s="1"/>
  <c r="A55" i="4" s="1"/>
  <c r="A56" i="4" s="1"/>
  <c r="A57" i="4" s="1"/>
  <c r="A58" i="4" s="1"/>
  <c r="A59" i="4" s="1"/>
  <c r="A60" i="4" s="1"/>
  <c r="A61" i="4" s="1"/>
  <c r="A62" i="4" s="1"/>
  <c r="G39" i="4"/>
  <c r="F43" i="4" s="1"/>
  <c r="F39" i="4"/>
  <c r="E39" i="4"/>
  <c r="G38" i="4"/>
  <c r="G37" i="4"/>
  <c r="D29" i="4"/>
  <c r="AG25" i="4"/>
  <c r="AR24" i="4"/>
  <c r="AP24" i="4"/>
  <c r="AN24" i="4"/>
  <c r="AL24" i="4"/>
  <c r="AJ24" i="4"/>
  <c r="AH24" i="4"/>
  <c r="AQ20" i="4"/>
  <c r="AP20" i="4"/>
  <c r="AK20" i="4"/>
  <c r="AJ20" i="4"/>
  <c r="AI20" i="4"/>
  <c r="AH20" i="4"/>
  <c r="A20" i="4"/>
  <c r="AQ19" i="4"/>
  <c r="AP19" i="4"/>
  <c r="AN19" i="4"/>
  <c r="AL19" i="4"/>
  <c r="AK19" i="4"/>
  <c r="AJ19" i="4"/>
  <c r="AI19" i="4"/>
  <c r="AH19" i="4"/>
  <c r="O19" i="4"/>
  <c r="J19" i="4"/>
  <c r="H19" i="4"/>
  <c r="N19" i="4" s="1"/>
  <c r="D19" i="4"/>
  <c r="C19" i="4"/>
  <c r="AQ18" i="4"/>
  <c r="AP18" i="4"/>
  <c r="AK18" i="4"/>
  <c r="AJ18" i="4"/>
  <c r="AI18" i="4"/>
  <c r="AH18" i="4"/>
  <c r="A18" i="4"/>
  <c r="AQ17" i="4"/>
  <c r="AP17" i="4"/>
  <c r="AN17" i="4"/>
  <c r="AL17" i="4"/>
  <c r="AK17" i="4"/>
  <c r="AJ17" i="4"/>
  <c r="AI17" i="4"/>
  <c r="AH17" i="4"/>
  <c r="O17" i="4"/>
  <c r="H17" i="4"/>
  <c r="Q17" i="4" s="1"/>
  <c r="A13" i="4"/>
  <c r="AP12" i="4"/>
  <c r="AN12" i="4"/>
  <c r="AL12" i="4"/>
  <c r="AJ12" i="4"/>
  <c r="AH12" i="4"/>
  <c r="O12" i="4"/>
  <c r="K12" i="4"/>
  <c r="H12" i="4"/>
  <c r="S12" i="4" s="1"/>
  <c r="D12" i="4"/>
  <c r="C12" i="4"/>
  <c r="A12" i="4"/>
  <c r="AQ11" i="4"/>
  <c r="AP11" i="4"/>
  <c r="AK11" i="4"/>
  <c r="AJ11" i="4"/>
  <c r="AI11" i="4"/>
  <c r="AH11" i="4"/>
  <c r="AQ10" i="4"/>
  <c r="AP10" i="4"/>
  <c r="AN10" i="4"/>
  <c r="AL10" i="4"/>
  <c r="AK10" i="4"/>
  <c r="AJ10" i="4"/>
  <c r="AI10" i="4"/>
  <c r="AH10" i="4"/>
  <c r="O10" i="4"/>
  <c r="J10" i="4"/>
  <c r="H10" i="4"/>
  <c r="S10" i="4" s="1"/>
  <c r="D10" i="4"/>
  <c r="C10" i="4"/>
  <c r="A10" i="4"/>
  <c r="AQ9" i="4"/>
  <c r="AP9" i="4"/>
  <c r="AK9" i="4"/>
  <c r="AJ9" i="4"/>
  <c r="AI9" i="4"/>
  <c r="AH9" i="4"/>
  <c r="A9" i="4"/>
  <c r="A11" i="4" s="1"/>
  <c r="AQ8" i="4"/>
  <c r="AP8" i="4"/>
  <c r="AN8" i="4"/>
  <c r="AL8" i="4"/>
  <c r="AK8" i="4"/>
  <c r="AJ8" i="4"/>
  <c r="AI8" i="4"/>
  <c r="AH8" i="4"/>
  <c r="O8" i="4"/>
  <c r="H8" i="4"/>
  <c r="S8" i="4" s="1"/>
  <c r="D8" i="4"/>
  <c r="C8" i="4"/>
  <c r="A8" i="4"/>
  <c r="A7" i="4"/>
  <c r="AP6" i="4"/>
  <c r="AN6" i="4"/>
  <c r="AL6" i="4"/>
  <c r="AJ6" i="4"/>
  <c r="AH6" i="4"/>
  <c r="S6" i="4"/>
  <c r="Q6" i="4"/>
  <c r="O6" i="4"/>
  <c r="L6" i="4"/>
  <c r="K6" i="4"/>
  <c r="I6" i="4" s="1"/>
  <c r="N6" i="4" s="1"/>
  <c r="J6" i="4"/>
  <c r="A6" i="4"/>
  <c r="AQ5" i="4"/>
  <c r="AP5" i="4"/>
  <c r="AK5" i="4"/>
  <c r="AJ5" i="4"/>
  <c r="AI5" i="4"/>
  <c r="AH5" i="4"/>
  <c r="AQ4" i="4"/>
  <c r="AP4" i="4"/>
  <c r="AN4" i="4"/>
  <c r="AL4" i="4"/>
  <c r="AK4" i="4"/>
  <c r="AJ4" i="4"/>
  <c r="AI4" i="4"/>
  <c r="AH4" i="4"/>
  <c r="O4" i="4"/>
  <c r="K4" i="4"/>
  <c r="J4" i="4"/>
  <c r="H4" i="4"/>
  <c r="Q4" i="4" s="1"/>
  <c r="D4" i="4"/>
  <c r="C4" i="4"/>
  <c r="Q68" i="3"/>
  <c r="P68" i="3"/>
  <c r="N68" i="3"/>
  <c r="O68" i="3" s="1"/>
  <c r="M68" i="3"/>
  <c r="D68" i="3"/>
  <c r="C68" i="3"/>
  <c r="Q67" i="3"/>
  <c r="P67" i="3"/>
  <c r="N67" i="3"/>
  <c r="O67" i="3" s="1"/>
  <c r="M67" i="3"/>
  <c r="D67" i="3"/>
  <c r="C67" i="3"/>
  <c r="Q66" i="3"/>
  <c r="P66" i="3"/>
  <c r="N66" i="3"/>
  <c r="O66" i="3" s="1"/>
  <c r="M66" i="3"/>
  <c r="D66" i="3"/>
  <c r="C66" i="3"/>
  <c r="Q65" i="3"/>
  <c r="P65" i="3"/>
  <c r="N65" i="3"/>
  <c r="O65" i="3" s="1"/>
  <c r="M65" i="3"/>
  <c r="D65" i="3"/>
  <c r="C65" i="3"/>
  <c r="Q64" i="3"/>
  <c r="P64" i="3"/>
  <c r="N64" i="3"/>
  <c r="O64" i="3" s="1"/>
  <c r="M64" i="3"/>
  <c r="D64" i="3"/>
  <c r="C64" i="3"/>
  <c r="Q63" i="3"/>
  <c r="P63" i="3"/>
  <c r="N63" i="3"/>
  <c r="O63" i="3" s="1"/>
  <c r="M63" i="3"/>
  <c r="D63" i="3"/>
  <c r="C63" i="3"/>
  <c r="Q62" i="3"/>
  <c r="P62" i="3"/>
  <c r="N62" i="3"/>
  <c r="O62" i="3" s="1"/>
  <c r="M62" i="3"/>
  <c r="D62" i="3"/>
  <c r="C62" i="3"/>
  <c r="Q61" i="3"/>
  <c r="P61" i="3"/>
  <c r="N61" i="3"/>
  <c r="O61" i="3" s="1"/>
  <c r="M61" i="3"/>
  <c r="D61" i="3"/>
  <c r="C61" i="3"/>
  <c r="AZ57" i="3"/>
  <c r="AD56" i="3"/>
  <c r="AL46" i="3"/>
  <c r="N46" i="3"/>
  <c r="M46" i="3"/>
  <c r="L46" i="3"/>
  <c r="K46" i="3"/>
  <c r="M39" i="3"/>
  <c r="AV36" i="3"/>
  <c r="AU36" i="3"/>
  <c r="AP36" i="3"/>
  <c r="AO36" i="3"/>
  <c r="AN36" i="3"/>
  <c r="AM36" i="3"/>
  <c r="A36" i="3"/>
  <c r="AV35" i="3"/>
  <c r="AU35" i="3"/>
  <c r="AS35" i="3"/>
  <c r="AQ35" i="3"/>
  <c r="AP35" i="3"/>
  <c r="AO35" i="3"/>
  <c r="AN35" i="3"/>
  <c r="AM35" i="3"/>
  <c r="V35" i="3"/>
  <c r="Q35" i="3"/>
  <c r="M35" i="3"/>
  <c r="J35" i="3"/>
  <c r="D35" i="3"/>
  <c r="C35" i="3"/>
  <c r="AV34" i="3"/>
  <c r="AU34" i="3"/>
  <c r="AP34" i="3"/>
  <c r="AO34" i="3"/>
  <c r="AN34" i="3"/>
  <c r="AM34" i="3"/>
  <c r="A34" i="3"/>
  <c r="AV33" i="3"/>
  <c r="AU33" i="3"/>
  <c r="AS33" i="3"/>
  <c r="AQ33" i="3"/>
  <c r="AP33" i="3"/>
  <c r="AO33" i="3"/>
  <c r="AN33" i="3"/>
  <c r="AM33" i="3"/>
  <c r="Q33" i="3"/>
  <c r="M33" i="3"/>
  <c r="J33" i="3"/>
  <c r="N33" i="3" s="1"/>
  <c r="D33" i="3"/>
  <c r="C33" i="3"/>
  <c r="AN32" i="3"/>
  <c r="AM32" i="3"/>
  <c r="A32" i="3"/>
  <c r="AU31" i="3"/>
  <c r="AS31" i="3"/>
  <c r="AQ31" i="3"/>
  <c r="AO31" i="3"/>
  <c r="AN31" i="3"/>
  <c r="AM31" i="3"/>
  <c r="Q31" i="3"/>
  <c r="M31" i="3"/>
  <c r="J31" i="3"/>
  <c r="N31" i="3" s="1"/>
  <c r="D31" i="3"/>
  <c r="C31" i="3"/>
  <c r="AV30" i="3"/>
  <c r="AU30" i="3"/>
  <c r="AP30" i="3"/>
  <c r="AO30" i="3"/>
  <c r="AN30" i="3"/>
  <c r="AM30" i="3"/>
  <c r="A30" i="3"/>
  <c r="AV29" i="3"/>
  <c r="AU29" i="3"/>
  <c r="AS29" i="3"/>
  <c r="AQ29" i="3"/>
  <c r="AP29" i="3"/>
  <c r="AO29" i="3"/>
  <c r="AN29" i="3"/>
  <c r="AM29" i="3"/>
  <c r="Q29" i="3"/>
  <c r="L29" i="3"/>
  <c r="M29" i="3" s="1"/>
  <c r="J29" i="3"/>
  <c r="P29" i="3" s="1"/>
  <c r="D29" i="3"/>
  <c r="C29" i="3"/>
  <c r="AV28" i="3"/>
  <c r="AU28" i="3"/>
  <c r="AP28" i="3"/>
  <c r="AO28" i="3"/>
  <c r="AN28" i="3"/>
  <c r="AM28" i="3"/>
  <c r="A28" i="3"/>
  <c r="AV27" i="3"/>
  <c r="AU27" i="3"/>
  <c r="AS27" i="3"/>
  <c r="AQ27" i="3"/>
  <c r="AP27" i="3"/>
  <c r="AO27" i="3"/>
  <c r="AN27" i="3"/>
  <c r="AM27" i="3"/>
  <c r="Q27" i="3"/>
  <c r="M27" i="3"/>
  <c r="L27" i="3"/>
  <c r="J27" i="3"/>
  <c r="U27" i="3" s="1"/>
  <c r="D27" i="3"/>
  <c r="C27" i="3"/>
  <c r="AV26" i="3"/>
  <c r="AU26" i="3"/>
  <c r="AP26" i="3"/>
  <c r="AO26" i="3"/>
  <c r="AN26" i="3"/>
  <c r="AM26" i="3"/>
  <c r="A26" i="3"/>
  <c r="AV25" i="3"/>
  <c r="AU25" i="3"/>
  <c r="AS25" i="3"/>
  <c r="AQ25" i="3"/>
  <c r="AP25" i="3"/>
  <c r="AO25" i="3"/>
  <c r="AN25" i="3"/>
  <c r="AM25" i="3"/>
  <c r="Q25" i="3"/>
  <c r="K25" i="3"/>
  <c r="L25" i="3" s="1"/>
  <c r="J25" i="3"/>
  <c r="U25" i="3" s="1"/>
  <c r="D25" i="3"/>
  <c r="C25" i="3"/>
  <c r="AV24" i="3"/>
  <c r="AU24" i="3"/>
  <c r="AP24" i="3"/>
  <c r="AO24" i="3"/>
  <c r="AN24" i="3"/>
  <c r="AM24" i="3"/>
  <c r="A24" i="3"/>
  <c r="AV23" i="3"/>
  <c r="AU23" i="3"/>
  <c r="AS23" i="3"/>
  <c r="AQ23" i="3"/>
  <c r="AP23" i="3"/>
  <c r="AO23" i="3"/>
  <c r="AN23" i="3"/>
  <c r="AM23" i="3"/>
  <c r="Q23" i="3"/>
  <c r="K23" i="3"/>
  <c r="L23" i="3" s="1"/>
  <c r="M23" i="3" s="1"/>
  <c r="J23" i="3"/>
  <c r="P23" i="3" s="1"/>
  <c r="D23" i="3"/>
  <c r="C23" i="3"/>
  <c r="AV22" i="3"/>
  <c r="AU22" i="3"/>
  <c r="AP22" i="3"/>
  <c r="AO22" i="3"/>
  <c r="AN22" i="3"/>
  <c r="AM22" i="3"/>
  <c r="A22" i="3"/>
  <c r="AV21" i="3"/>
  <c r="AU21" i="3"/>
  <c r="AS21" i="3"/>
  <c r="AQ21" i="3"/>
  <c r="AP21" i="3"/>
  <c r="AO21" i="3"/>
  <c r="AN21" i="3"/>
  <c r="AM21" i="3"/>
  <c r="Q21" i="3"/>
  <c r="M21" i="3"/>
  <c r="L21" i="3"/>
  <c r="J21" i="3"/>
  <c r="U21" i="3" s="1"/>
  <c r="D21" i="3"/>
  <c r="C21" i="3"/>
  <c r="AV20" i="3"/>
  <c r="AU20" i="3"/>
  <c r="AP20" i="3"/>
  <c r="AO20" i="3"/>
  <c r="AN20" i="3"/>
  <c r="AM20" i="3"/>
  <c r="A20" i="3"/>
  <c r="AV19" i="3"/>
  <c r="AU19" i="3"/>
  <c r="AS19" i="3"/>
  <c r="AQ19" i="3"/>
  <c r="AP19" i="3"/>
  <c r="AO19" i="3"/>
  <c r="AN19" i="3"/>
  <c r="AM19" i="3"/>
  <c r="Q19" i="3"/>
  <c r="M19" i="3"/>
  <c r="L19" i="3"/>
  <c r="J19" i="3"/>
  <c r="S19" i="3" s="1"/>
  <c r="D19" i="3"/>
  <c r="C19" i="3"/>
  <c r="AV18" i="3"/>
  <c r="AU18" i="3"/>
  <c r="AP18" i="3"/>
  <c r="AO18" i="3"/>
  <c r="AN18" i="3"/>
  <c r="AM18" i="3"/>
  <c r="AV17" i="3"/>
  <c r="AU17" i="3"/>
  <c r="AS17" i="3"/>
  <c r="AQ17" i="3"/>
  <c r="AP17" i="3"/>
  <c r="AO17" i="3"/>
  <c r="AN17" i="3"/>
  <c r="AM17" i="3"/>
  <c r="Q17" i="3"/>
  <c r="L17" i="3"/>
  <c r="J17" i="3"/>
  <c r="S17" i="3" s="1"/>
  <c r="D17" i="3"/>
  <c r="C17" i="3"/>
  <c r="AV16" i="3"/>
  <c r="AU16" i="3"/>
  <c r="AP16" i="3"/>
  <c r="AO16" i="3"/>
  <c r="AN16" i="3"/>
  <c r="AM16" i="3"/>
  <c r="AV15" i="3"/>
  <c r="AU15" i="3"/>
  <c r="AS15" i="3"/>
  <c r="AQ15" i="3"/>
  <c r="AP15" i="3"/>
  <c r="AO15" i="3"/>
  <c r="AN15" i="3"/>
  <c r="AM15" i="3"/>
  <c r="Q15" i="3"/>
  <c r="L15" i="3"/>
  <c r="J15" i="3"/>
  <c r="U15" i="3" s="1"/>
  <c r="D15" i="3"/>
  <c r="C15" i="3"/>
  <c r="AV14" i="3"/>
  <c r="AU14" i="3"/>
  <c r="AP14" i="3"/>
  <c r="AO14" i="3"/>
  <c r="AN14" i="3"/>
  <c r="AM14" i="3"/>
  <c r="AV13" i="3"/>
  <c r="AU13" i="3"/>
  <c r="AS13" i="3"/>
  <c r="AQ13" i="3"/>
  <c r="AP13" i="3"/>
  <c r="AO13" i="3"/>
  <c r="AN13" i="3"/>
  <c r="AM13" i="3"/>
  <c r="Q13" i="3"/>
  <c r="M13" i="3"/>
  <c r="L13" i="3"/>
  <c r="J13" i="3"/>
  <c r="P13" i="3" s="1"/>
  <c r="D13" i="3"/>
  <c r="C13" i="3"/>
  <c r="AV12" i="3"/>
  <c r="AU12" i="3"/>
  <c r="AP12" i="3"/>
  <c r="AO12" i="3"/>
  <c r="AN12" i="3"/>
  <c r="AM12" i="3"/>
  <c r="A12" i="3"/>
  <c r="A14" i="3" s="1"/>
  <c r="AV11" i="3"/>
  <c r="AU11" i="3"/>
  <c r="AS11" i="3"/>
  <c r="AQ11" i="3"/>
  <c r="AP11" i="3"/>
  <c r="AO11" i="3"/>
  <c r="AN11" i="3"/>
  <c r="AM11" i="3"/>
  <c r="Q11" i="3"/>
  <c r="L11" i="3"/>
  <c r="M11" i="3" s="1"/>
  <c r="J11" i="3"/>
  <c r="P11" i="3" s="1"/>
  <c r="D11" i="3"/>
  <c r="C11" i="3"/>
  <c r="AV10" i="3"/>
  <c r="AU10" i="3"/>
  <c r="AP10" i="3"/>
  <c r="AO10" i="3"/>
  <c r="AN10" i="3"/>
  <c r="AM10" i="3"/>
  <c r="A10" i="3"/>
  <c r="AV9" i="3"/>
  <c r="AU9" i="3"/>
  <c r="AS9" i="3"/>
  <c r="AQ9" i="3"/>
  <c r="AP9" i="3"/>
  <c r="AO9" i="3"/>
  <c r="AN9" i="3"/>
  <c r="AM9" i="3"/>
  <c r="Q9" i="3"/>
  <c r="M9" i="3"/>
  <c r="J9" i="3"/>
  <c r="S9" i="3" s="1"/>
  <c r="D9" i="3"/>
  <c r="C9" i="3"/>
  <c r="AV8" i="3"/>
  <c r="AU8" i="3"/>
  <c r="AP8" i="3"/>
  <c r="AO8" i="3"/>
  <c r="AN8" i="3"/>
  <c r="AM8" i="3"/>
  <c r="A8" i="3"/>
  <c r="AV7" i="3"/>
  <c r="AU7" i="3"/>
  <c r="AS7" i="3"/>
  <c r="AQ7" i="3"/>
  <c r="AP7" i="3"/>
  <c r="AO7" i="3"/>
  <c r="AN7" i="3"/>
  <c r="AM7" i="3"/>
  <c r="Q7" i="3"/>
  <c r="L7" i="3"/>
  <c r="M7" i="3" s="1"/>
  <c r="J7" i="3"/>
  <c r="U7" i="3" s="1"/>
  <c r="D7" i="3"/>
  <c r="C7" i="3"/>
  <c r="AV6" i="3"/>
  <c r="AU6" i="3"/>
  <c r="AP6" i="3"/>
  <c r="AO6" i="3"/>
  <c r="AN6" i="3"/>
  <c r="AM6" i="3"/>
  <c r="S6" i="3"/>
  <c r="AV5" i="3"/>
  <c r="AU5" i="3"/>
  <c r="AS5" i="3"/>
  <c r="AQ5" i="3"/>
  <c r="AP5" i="3"/>
  <c r="AO5" i="3"/>
  <c r="AN5" i="3"/>
  <c r="AM5" i="3"/>
  <c r="Q5" i="3"/>
  <c r="L5" i="3"/>
  <c r="M5" i="3" s="1"/>
  <c r="J5" i="3"/>
  <c r="P5" i="3" s="1"/>
  <c r="D5" i="3"/>
  <c r="C5" i="3"/>
  <c r="A5" i="3"/>
  <c r="A7" i="3" s="1"/>
  <c r="A9" i="3" s="1"/>
  <c r="A11" i="3" s="1"/>
  <c r="A13" i="3" s="1"/>
  <c r="A15" i="3" s="1"/>
  <c r="A17" i="3" s="1"/>
  <c r="A19" i="3" s="1"/>
  <c r="A21" i="3" s="1"/>
  <c r="A23" i="3" s="1"/>
  <c r="A25" i="3" s="1"/>
  <c r="A27" i="3" s="1"/>
  <c r="A29" i="3" s="1"/>
  <c r="AV4" i="3"/>
  <c r="AU4" i="3"/>
  <c r="AP4" i="3"/>
  <c r="AO4" i="3"/>
  <c r="AN4" i="3"/>
  <c r="AM4" i="3"/>
  <c r="S4" i="3"/>
  <c r="A4" i="3"/>
  <c r="A6" i="3" s="1"/>
  <c r="AV3" i="3"/>
  <c r="AU3" i="3"/>
  <c r="AS3" i="3"/>
  <c r="AQ3" i="3"/>
  <c r="AP3" i="3"/>
  <c r="AO3" i="3"/>
  <c r="AN3" i="3"/>
  <c r="AM3" i="3"/>
  <c r="Q3" i="3"/>
  <c r="L3" i="3"/>
  <c r="J3" i="3"/>
  <c r="U3" i="3" s="1"/>
  <c r="D3" i="3"/>
  <c r="C3" i="3"/>
  <c r="R5" i="5" l="1"/>
  <c r="S31" i="3"/>
  <c r="O64" i="4"/>
  <c r="L10" i="4"/>
  <c r="M10" i="4" s="1"/>
  <c r="P3" i="5"/>
  <c r="N7" i="3"/>
  <c r="P7" i="3"/>
  <c r="S7" i="3"/>
  <c r="N3" i="5"/>
  <c r="J7" i="5"/>
  <c r="S13" i="3"/>
  <c r="R3" i="5"/>
  <c r="P7" i="5"/>
  <c r="N9" i="3"/>
  <c r="O9" i="3" s="1"/>
  <c r="U33" i="3"/>
  <c r="P9" i="3"/>
  <c r="S4" i="4"/>
  <c r="K31" i="6"/>
  <c r="Q7" i="5"/>
  <c r="S3" i="3"/>
  <c r="S25" i="3"/>
  <c r="P31" i="3"/>
  <c r="AA35" i="3"/>
  <c r="U11" i="3"/>
  <c r="L3" i="5"/>
  <c r="I33" i="6"/>
  <c r="P33" i="3"/>
  <c r="N7" i="5"/>
  <c r="U13" i="3"/>
  <c r="U19" i="3"/>
  <c r="U35" i="3"/>
  <c r="O7" i="5"/>
  <c r="L19" i="4"/>
  <c r="M19" i="4" s="1"/>
  <c r="K22" i="6"/>
  <c r="J5" i="5"/>
  <c r="R7" i="5"/>
  <c r="I16" i="6"/>
  <c r="I4" i="6"/>
  <c r="N3" i="3"/>
  <c r="U9" i="3"/>
  <c r="N8" i="4"/>
  <c r="I6" i="6"/>
  <c r="K10" i="6"/>
  <c r="K12" i="6"/>
  <c r="K20" i="6"/>
  <c r="I25" i="6"/>
  <c r="P3" i="3"/>
  <c r="N5" i="5"/>
  <c r="U5" i="3"/>
  <c r="L4" i="4"/>
  <c r="M4" i="4" s="1"/>
  <c r="O5" i="5"/>
  <c r="O22" i="4"/>
  <c r="P5" i="5"/>
  <c r="I35" i="6"/>
  <c r="Q5" i="5"/>
  <c r="P21" i="3"/>
  <c r="U31" i="3"/>
  <c r="P35" i="3"/>
  <c r="N19" i="3"/>
  <c r="O19" i="3" s="1"/>
  <c r="U29" i="3"/>
  <c r="S35" i="3"/>
  <c r="N25" i="3"/>
  <c r="M25" i="3"/>
  <c r="O31" i="3"/>
  <c r="A31" i="3"/>
  <c r="A35" i="3" s="1"/>
  <c r="A33" i="3"/>
  <c r="G43" i="4"/>
  <c r="O33" i="3"/>
  <c r="A18" i="3"/>
  <c r="A16" i="3"/>
  <c r="K64" i="4"/>
  <c r="M6" i="4"/>
  <c r="Q9" i="5"/>
  <c r="U17" i="3"/>
  <c r="S23" i="3"/>
  <c r="N35" i="3"/>
  <c r="S17" i="4"/>
  <c r="Q19" i="4"/>
  <c r="L52" i="4"/>
  <c r="M52" i="4" s="1"/>
  <c r="A8" i="5"/>
  <c r="S5" i="3"/>
  <c r="S11" i="3"/>
  <c r="N13" i="3"/>
  <c r="P19" i="3"/>
  <c r="U23" i="3"/>
  <c r="S29" i="3"/>
  <c r="S33" i="3"/>
  <c r="N4" i="4"/>
  <c r="S19" i="4"/>
  <c r="O3" i="5"/>
  <c r="R9" i="5"/>
  <c r="M3" i="3"/>
  <c r="O7" i="3"/>
  <c r="N21" i="3"/>
  <c r="P25" i="3"/>
  <c r="L8" i="4"/>
  <c r="Q3" i="5"/>
  <c r="L5" i="5"/>
  <c r="I14" i="6"/>
  <c r="I27" i="6"/>
  <c r="N15" i="3"/>
  <c r="I10" i="4"/>
  <c r="N10" i="4" s="1"/>
  <c r="F32" i="4" s="1"/>
  <c r="P15" i="3"/>
  <c r="E42" i="4"/>
  <c r="G42" i="4" s="1"/>
  <c r="J9" i="5"/>
  <c r="I29" i="6"/>
  <c r="N17" i="3"/>
  <c r="S21" i="3"/>
  <c r="P27" i="3"/>
  <c r="W35" i="3"/>
  <c r="Q8" i="4"/>
  <c r="L12" i="4"/>
  <c r="M12" i="4" s="1"/>
  <c r="L17" i="4"/>
  <c r="F42" i="4"/>
  <c r="F44" i="4" s="1"/>
  <c r="L9" i="5"/>
  <c r="I18" i="6"/>
  <c r="S15" i="3"/>
  <c r="N23" i="3"/>
  <c r="X35" i="3"/>
  <c r="K53" i="4"/>
  <c r="M53" i="4" s="1"/>
  <c r="I8" i="6"/>
  <c r="N5" i="3"/>
  <c r="N11" i="3"/>
  <c r="P17" i="3"/>
  <c r="S27" i="3"/>
  <c r="N29" i="3"/>
  <c r="Y35" i="3"/>
  <c r="N17" i="4"/>
  <c r="E43" i="4"/>
  <c r="N9" i="5"/>
  <c r="N27" i="3"/>
  <c r="Z35" i="3"/>
  <c r="Q12" i="4"/>
  <c r="O9" i="5"/>
  <c r="M38" i="3" l="1"/>
  <c r="M40" i="3" s="1"/>
  <c r="O3" i="3"/>
  <c r="F33" i="4"/>
  <c r="M64" i="4"/>
  <c r="O29" i="3"/>
  <c r="M17" i="4"/>
  <c r="K22" i="4"/>
  <c r="O15" i="3"/>
  <c r="O13" i="3"/>
  <c r="O21" i="3"/>
  <c r="O5" i="3"/>
  <c r="O35" i="3"/>
  <c r="O27" i="3"/>
  <c r="E44" i="4"/>
  <c r="O17" i="3"/>
  <c r="L64" i="4"/>
  <c r="N64" i="4" s="1"/>
  <c r="D26" i="4" s="1"/>
  <c r="O25" i="3"/>
  <c r="O11" i="3"/>
  <c r="O23" i="3"/>
  <c r="L22" i="4"/>
  <c r="M8" i="4"/>
  <c r="I21" i="3" l="1"/>
  <c r="I11" i="3"/>
  <c r="I35" i="3"/>
  <c r="I23" i="3"/>
  <c r="I15" i="3"/>
  <c r="I17" i="3"/>
  <c r="I13" i="3"/>
  <c r="I29" i="3"/>
  <c r="I27" i="3"/>
  <c r="M22" i="4"/>
  <c r="D28" i="4" s="1"/>
  <c r="N38" i="3"/>
  <c r="I5" i="3"/>
  <c r="I25" i="3"/>
  <c r="N22" i="4"/>
  <c r="D27" i="4" s="1"/>
  <c r="E44" i="3"/>
  <c r="I67" i="3"/>
  <c r="I64" i="3"/>
  <c r="I61" i="3"/>
  <c r="I9" i="3"/>
  <c r="I66" i="3"/>
  <c r="I68" i="3"/>
  <c r="I63" i="3"/>
  <c r="I7" i="3"/>
  <c r="I33" i="3"/>
  <c r="I3" i="3"/>
  <c r="I65" i="3"/>
  <c r="I31" i="3"/>
  <c r="I19" i="3"/>
  <c r="I62" i="3"/>
  <c r="N39" i="3"/>
  <c r="Y52" i="3" l="1"/>
  <c r="Y53" i="3"/>
  <c r="AC53" i="3"/>
  <c r="AE53" i="3" s="1"/>
  <c r="AC55" i="3"/>
  <c r="AE55" i="3" s="1"/>
  <c r="Y55" i="3"/>
  <c r="D44" i="3"/>
  <c r="D46" i="3" s="1"/>
  <c r="Y51" i="3"/>
  <c r="AC52" i="3"/>
  <c r="AE52" i="3" s="1"/>
  <c r="AC47" i="3"/>
  <c r="AE47" i="3" s="1"/>
  <c r="AC50" i="3"/>
  <c r="AE50" i="3" s="1"/>
  <c r="AC51" i="3"/>
  <c r="AE51" i="3" s="1"/>
  <c r="AC46" i="3"/>
  <c r="AE46" i="3" s="1"/>
  <c r="Y54" i="3"/>
  <c r="AC49" i="3"/>
  <c r="AE49" i="3" s="1"/>
  <c r="AC48" i="3"/>
  <c r="AE48" i="3" s="1"/>
  <c r="AC54" i="3"/>
  <c r="AE54" i="3" s="1"/>
  <c r="AC44" i="3"/>
  <c r="F44" i="3"/>
  <c r="E46" i="3"/>
  <c r="AC56" i="3" l="1"/>
  <c r="G44" i="3"/>
  <c r="F46" i="3"/>
  <c r="J44" i="3"/>
  <c r="Y56" i="3"/>
  <c r="AE44" i="3"/>
  <c r="O44" i="3" l="1"/>
  <c r="J46" i="3"/>
  <c r="G46" i="3"/>
  <c r="H44" i="3"/>
  <c r="H46" i="3" l="1"/>
  <c r="I44" i="3"/>
  <c r="I46" i="3" s="1"/>
  <c r="O46" i="3"/>
  <c r="P44" i="3"/>
  <c r="P46" i="3" s="1"/>
</calcChain>
</file>

<file path=xl/sharedStrings.xml><?xml version="1.0" encoding="utf-8"?>
<sst xmlns="http://schemas.openxmlformats.org/spreadsheetml/2006/main" count="778" uniqueCount="297">
  <si>
    <t>Ticker</t>
  </si>
  <si>
    <t>Nombre</t>
  </si>
  <si>
    <t>Sector</t>
  </si>
  <si>
    <t>Precio actual</t>
  </si>
  <si>
    <t>Hoy</t>
  </si>
  <si>
    <t>SPY</t>
  </si>
  <si>
    <t>QQQ</t>
  </si>
  <si>
    <t>Tecnología</t>
  </si>
  <si>
    <t>IWM</t>
  </si>
  <si>
    <t>Consumo discrecional</t>
  </si>
  <si>
    <t>Industria</t>
  </si>
  <si>
    <t>Materiales</t>
  </si>
  <si>
    <t>Comunicaciones</t>
  </si>
  <si>
    <t>Financiero</t>
  </si>
  <si>
    <t>Energía</t>
  </si>
  <si>
    <t>Salud</t>
  </si>
  <si>
    <t>Consumo básico</t>
  </si>
  <si>
    <t>Servicios Públicos</t>
  </si>
  <si>
    <t>Bancos</t>
  </si>
  <si>
    <t>Semiconductores</t>
  </si>
  <si>
    <t>Internet</t>
  </si>
  <si>
    <t>GDX</t>
  </si>
  <si>
    <t>Energía solar</t>
  </si>
  <si>
    <t>TLT</t>
  </si>
  <si>
    <t>Oro</t>
  </si>
  <si>
    <t>Descripción</t>
  </si>
  <si>
    <t>Posiciones abiertas</t>
  </si>
  <si>
    <t>Variación</t>
  </si>
  <si>
    <t>Tendencia</t>
  </si>
  <si>
    <t>Características</t>
  </si>
  <si>
    <t>Market cap</t>
  </si>
  <si>
    <t>Subsector</t>
  </si>
  <si>
    <t>Inicio</t>
  </si>
  <si>
    <t>% inicial</t>
  </si>
  <si>
    <t>% actual</t>
  </si>
  <si>
    <t>Precio promedio compra</t>
  </si>
  <si>
    <t>Unidades</t>
  </si>
  <si>
    <t>Monto inicial</t>
  </si>
  <si>
    <t>Monto actual</t>
  </si>
  <si>
    <t>P&amp;L $</t>
  </si>
  <si>
    <t>P&amp;L %</t>
  </si>
  <si>
    <t>Duración  (días)</t>
  </si>
  <si>
    <t>Stop</t>
  </si>
  <si>
    <t>% para stop</t>
  </si>
  <si>
    <t>Precio objetivo</t>
  </si>
  <si>
    <t>% para objetivo</t>
  </si>
  <si>
    <t>Semanal</t>
  </si>
  <si>
    <t>Mensual</t>
  </si>
  <si>
    <t>3 meses</t>
  </si>
  <si>
    <t>6 meses</t>
  </si>
  <si>
    <t>YTD</t>
  </si>
  <si>
    <t>Punto de compra actual</t>
  </si>
  <si>
    <t>3 a 6 meses</t>
  </si>
  <si>
    <t>6 a 12 meses</t>
  </si>
  <si>
    <t>Tipo de empresa</t>
  </si>
  <si>
    <t>Clasificación</t>
  </si>
  <si>
    <t>Volatilidad</t>
  </si>
  <si>
    <t>Comentarios empresa</t>
  </si>
  <si>
    <t>Estrategia</t>
  </si>
  <si>
    <t>Portafolio</t>
  </si>
  <si>
    <t>S&amp;P 500</t>
  </si>
  <si>
    <t>Valor portafolio</t>
  </si>
  <si>
    <t>PG</t>
  </si>
  <si>
    <t>Hogar</t>
  </si>
  <si>
    <t>Neutral</t>
  </si>
  <si>
    <t>Alcista</t>
  </si>
  <si>
    <t>Alta calidad</t>
  </si>
  <si>
    <t>Core</t>
  </si>
  <si>
    <t>Baja</t>
  </si>
  <si>
    <r>
      <rPr>
        <b/>
        <sz val="7"/>
        <color rgb="FF000000"/>
        <rFont val="Arial"/>
      </rPr>
      <t>Procter &amp; Gamble</t>
    </r>
    <r>
      <rPr>
        <sz val="7"/>
        <color rgb="FF000000"/>
        <rFont val="Arial"/>
      </rPr>
      <t xml:space="preserve"> es visto como un refugio durante las dificultades económicas y las recesiones debido a su posición como líder en el sector de productos básicos de consumo. La compañía ha mostrado un crecimiento constante de los ingresos y las ganancias por acción, y tiene un sólido historial de aumento de dividendos durante más de 67 años.</t>
    </r>
  </si>
  <si>
    <t>Posibilidad de caer al área de $152 para luego retomar las subas</t>
  </si>
  <si>
    <t>Ene 21</t>
  </si>
  <si>
    <t>UNH</t>
  </si>
  <si>
    <t>Servicios salud</t>
  </si>
  <si>
    <t>Esperar</t>
  </si>
  <si>
    <t>Media</t>
  </si>
  <si>
    <t>UNH es la compañía de atención médica más grande del mundo, que ofrece seguros médicos a través de su división UnitedHealthcare y y análisis de datos a través de su negocio Optum. La fuerte generación de caja y el posible apalancamiento a 2,5 veces el EBITDA podrían permitir a UNH desplegar hasta 66.000 millones de dólares en recompras de acciones (~14% de la capitalización bursátil actual) o fusiones y adquisiciones que aumenten el valor en los próximos años.</t>
  </si>
  <si>
    <t>Idealmente, consolida al área de $498 en las próximas semanas antes de retomar la suba</t>
  </si>
  <si>
    <t>KR</t>
  </si>
  <si>
    <t>Alimentos</t>
  </si>
  <si>
    <t>Satellite</t>
  </si>
  <si>
    <r>
      <rPr>
        <b/>
        <sz val="7"/>
        <color rgb="FF000000"/>
        <rFont val="Arial"/>
      </rPr>
      <t>The Kroger Co</t>
    </r>
    <r>
      <rPr>
        <sz val="7"/>
        <color rgb="FF000000"/>
        <rFont val="Arial"/>
      </rPr>
      <t>., un minorista líder de comestibles, es una propuesta de inversión sólida debido a su sólido modelo de negocio, reputación de marca y crecimiento constante de dividendos.</t>
    </r>
  </si>
  <si>
    <t>Se mantiene en un rango amplio. Aún así, parece querer traccionar. Por arriba de $50 abre las posibilidades para que veamos niveles de $54 en los meses siguientes</t>
  </si>
  <si>
    <t>JPM</t>
  </si>
  <si>
    <t>Bajista</t>
  </si>
  <si>
    <t>Líder global</t>
  </si>
  <si>
    <t>La reciente adquisición de First Republic por parte de JPMorgan Chase se está comportando mejor de lo esperado, lo que contribuye a una perspectiva positiva para sus ingresos netos por intereses. La división de Wealthmanagement de JPMorgan es un sector lucrativo, con un rendimiento constante y un enfoque en las inversiones en tecnología para obtener una ventaja competitiva.</t>
  </si>
  <si>
    <t>Continuó subiendo alcanzando niveles de $180, lo que incrementa las chances de que ya puede haber alcanzado el tope de la suba. Considero más probable que veremos caídas en las próximas semanas. Dependiendo la profundidad evaluaremos volver a comprar o no. Esperar.</t>
  </si>
  <si>
    <t>TMUS</t>
  </si>
  <si>
    <t>Servicios telec</t>
  </si>
  <si>
    <r>
      <rPr>
        <b/>
        <sz val="7"/>
        <color rgb="FF000000"/>
        <rFont val="Arial"/>
      </rPr>
      <t xml:space="preserve">T-Mobile </t>
    </r>
    <r>
      <rPr>
        <sz val="7"/>
        <color rgb="FF000000"/>
        <rFont val="Arial"/>
      </rPr>
      <t>planea gastar $ 19 mil millones en un nuevo programa de recompra, después de reducir el total de acciones en circulación en un 6% en el último año. La compañía tiene la intención de pagar dividendos, comenzando con $ 750 millones en el cuarto trimestre de 2023 y $3.000 millones en 2024. El bajo índice de pago de T-Mobile y el aumento del flujo de caja sugieren que puede permitirse tanto recompras como dividendos, con potencial de crecimiento de dividendos.</t>
    </r>
  </si>
  <si>
    <t>Potencial de consolidación al área de $152 antes de retomar las subas</t>
  </si>
  <si>
    <t>DIS</t>
  </si>
  <si>
    <t>Entretenimiento</t>
  </si>
  <si>
    <r>
      <rPr>
        <sz val="7"/>
        <color rgb="FFFF0000"/>
        <rFont val="Arial"/>
      </rPr>
      <t>Disney</t>
    </r>
    <r>
      <rPr>
        <sz val="7"/>
        <color rgb="FFFF0000"/>
        <rFont val="Arial"/>
      </rPr>
      <t xml:space="preserve"> es la empresa de entretenimiento líder en el mundo con una cartera masiva de contenido icónico de propiedad intelectual original. La empresa cuenta con un conjunto diverso de fuentes de ingresos y un fuerte ventaja competitiva económica, lo que proporciona estabilidad y potencial de rentabilidad futura. El inversionista activista Nelson Peltz ha reaparecido, afirmando que la compañía está infravalorada y pidiendo un puesto en la junta directiva</t>
    </r>
  </si>
  <si>
    <t>DIS alcanzó el mínimo de marzo 2020 en octubre de 2023 y rebotó. Compramos. LLegó a niveles de $112 tras el reporte de ganancias. Espero una consolidación al área de $104 en las próximas semanas antes de retomar las subas. Tomamos ganancias.</t>
  </si>
  <si>
    <t>PARA</t>
  </si>
  <si>
    <t>Atractivo</t>
  </si>
  <si>
    <t>Las acciones de Paramount han estado subiendo por los rumores de una posible venta o fusión en los últimos meses. Las ganancias del tercer trimestre de la compañía superaron las estimaciones, con mejores ingresos y resultados finales, lo que indica una perspectiva positiva para el futuro. El negocio de streaming de Paramount está ganando impulso, con un aumento de los ingresos y suscriptores, y planes de expansión, lo que lo convierte en una inversión atractiva.</t>
  </si>
  <si>
    <t>Potencial de piso de largo plazo. Todavía no hay evidencia firme pero justifica comenzar a tomar posición. Compramos mal. Sigo considerando que es una acción atractiva de mediano plazo.</t>
  </si>
  <si>
    <t>BABA</t>
  </si>
  <si>
    <t>Consumo Cíclico</t>
  </si>
  <si>
    <t>Alibaba tiene una sólida posición en el mercado, con finanzas sólidas que le permiten invertir en oportunidades de crecimiento y capear las recesiones económicas. Ninguna noticia positiva parece ayudar a la empresa. Incluso el anuncio de un dividendo, así como la continuación del gran programa de recompra de acciones, no afectó el precio de las acciones. Sin embargo, el potencial de Alibaba es enorme en lo que respecta a lo barato que está, el campo de la inteligencia artificial, una oportunidad en el espacio de diseño de chips y el potencial de asociaciones</t>
  </si>
  <si>
    <t>Sigue sin haber evidencia de piso pero considero justifica armar posición. Potencial de suba de cara a los próximos meses</t>
  </si>
  <si>
    <t>ABBV</t>
  </si>
  <si>
    <t>Biofarmaceútica</t>
  </si>
  <si>
    <r>
      <rPr>
        <b/>
        <sz val="7"/>
        <color rgb="FF000000"/>
        <rFont val="Arial"/>
      </rPr>
      <t>AbbVie</t>
    </r>
    <r>
      <rPr>
        <sz val="7"/>
        <color rgb="FF000000"/>
        <rFont val="Arial"/>
      </rPr>
      <t xml:space="preserve"> ha demostrado resistencia y fortaleza a pesar de la pérdida de la patente de su medicamento más vendido, Humira. La compañía ha reportado ganancias impresionantes, ventas sólidas en varios segmentos y una cartera prometedora. AbbVie ofrece una rentabilidad por dividendo del 4%, un crecimiento constante de los dividendos y una valoración atractiva.</t>
    </r>
  </si>
  <si>
    <t>Cayó hasta $136 en noviembre y rebotó hasta $180 en febrero, una suba de casi 30%. Muy cerca de nuestro objetivo de mediano plazo, lo que incrementa las chances de que esté completando toda la suba. De muy corto plazo espero un retroceso a niveles de $150. Esperar.</t>
  </si>
  <si>
    <t>PXD</t>
  </si>
  <si>
    <t>Petróleo&amp;Gas</t>
  </si>
  <si>
    <t>Atractiva MP</t>
  </si>
  <si>
    <t>Pioneer Natural Resources tiene reservas de alta calidad, operaciones eficientes, un balance saludable y un programa de gastos de capital muy atractivo. Exxon Mobil compra Pioneer Natural Resources en una transacción de acciones. Los accionistas de PXD obtienen 2,3234 acciones de Exxon por acción si se cierra la transacción. Todo apunta a que sería durante el Q224.</t>
  </si>
  <si>
    <t xml:space="preserve">La acción seguramente deje de operar en 2Q24. El precio de compra está en el entorno de los $247. Es decir, tiene poco upside desde estos precios. Mantener </t>
  </si>
  <si>
    <t>OXY</t>
  </si>
  <si>
    <r>
      <rPr>
        <sz val="7"/>
        <color rgb="FF000000"/>
        <rFont val="Arial"/>
      </rPr>
      <t xml:space="preserve">En el segundo trimestre, </t>
    </r>
    <r>
      <rPr>
        <sz val="7"/>
        <color rgb="FF000000"/>
        <rFont val="Arial"/>
      </rPr>
      <t>OXY</t>
    </r>
    <r>
      <rPr>
        <sz val="7"/>
        <color rgb="FF000000"/>
        <rFont val="Arial"/>
      </rPr>
      <t xml:space="preserve"> no cumplió con sus estimaciones de ingresos y ganancias por acción, pero aumentó su guía de producción para todo el año. La compañía ha estado trabajando para sanear su balance y ha aumentado su dividendo y ha puesto en marcha un plan de recompra de acciones.</t>
    </r>
  </si>
  <si>
    <t>Como todo el sector, es posible que esté comenzando el proceso de subas</t>
  </si>
  <si>
    <t>BP</t>
  </si>
  <si>
    <t>Integrado</t>
  </si>
  <si>
    <r>
      <rPr>
        <sz val="7"/>
        <color rgb="FF000000"/>
        <rFont val="Arial"/>
      </rPr>
      <t>BP</t>
    </r>
    <r>
      <rPr>
        <sz val="7"/>
        <color rgb="FF000000"/>
        <rFont val="Arial"/>
      </rPr>
      <t xml:space="preserve"> ha experimentado condiciones difíciles en el mercado petrolero, pero se ha estabilizado financieramente y ahora es una vaca lechera. La compañía planea devolver el flujo de caja excedente a los accionistas a través de aumentos de dividendos y recompras de acciones. Las acciones de BP están infravaloradas a los precios actuales del petróleo y ofrecen un potencial alcista incluso a precios más bajos del petróleo.</t>
    </r>
  </si>
  <si>
    <t>BP cayó en las últimas semanas, debe comenzar a repuntar para que el conteo siga vigente</t>
  </si>
  <si>
    <t>SLB</t>
  </si>
  <si>
    <t>Servicios</t>
  </si>
  <si>
    <r>
      <rPr>
        <sz val="7"/>
        <color rgb="FF000000"/>
        <rFont val="Arial"/>
      </rPr>
      <t xml:space="preserve">La capitalización bursátil de </t>
    </r>
    <r>
      <rPr>
        <sz val="7"/>
        <color rgb="FF000000"/>
        <rFont val="Arial"/>
      </rPr>
      <t>SLB</t>
    </r>
    <r>
      <rPr>
        <sz val="7"/>
        <color rgb="FF000000"/>
        <rFont val="Arial"/>
      </rPr>
      <t xml:space="preserve"> es de 83.300 millones de dólares. Su rentabilidad por dividendo es del 1,7% y cuenta con un programa de recompra. De sus ingresos del 2T23, el 78% provino de operaciones internacionales; el 22% restante de América del Norte. La inversión de capital en la perforación petrolera está aumentando y se está desplazando hacia las operaciones internacionales, la fortaleza de SLB.</t>
    </r>
  </si>
  <si>
    <t>Está más atrasada que el resto, espero haga catch up</t>
  </si>
  <si>
    <t>FTXN</t>
  </si>
  <si>
    <t>ETF sin una alta concentración en los principales productores</t>
  </si>
  <si>
    <t>Parece haber comenzado el proceso de subas</t>
  </si>
  <si>
    <t>Oportunidad CP</t>
  </si>
  <si>
    <t>Volvimos a tomar ganancias. Espero que pronto comience una aceleración en las caídas</t>
  </si>
  <si>
    <t>RSP</t>
  </si>
  <si>
    <t>Tras la fuerte suba esa semana, tomamos algo de ganancias. Espero pausa hacia fin de mes y suba en diciembre</t>
  </si>
  <si>
    <t>Cash</t>
  </si>
  <si>
    <t>Valor actual posiciones</t>
  </si>
  <si>
    <t>Valor posiciones al 9-feb-2024</t>
  </si>
  <si>
    <t>Distribución sectorial</t>
  </si>
  <si>
    <t>1 año</t>
  </si>
  <si>
    <t>Desde el inicio</t>
  </si>
  <si>
    <t>Desde el inicio (anual)</t>
  </si>
  <si>
    <t>Diferencia</t>
  </si>
  <si>
    <t>Rend Sem (%)</t>
  </si>
  <si>
    <t>Rendimiento PORTAFOLIO</t>
  </si>
  <si>
    <t>1 semana</t>
  </si>
  <si>
    <t>MTD</t>
  </si>
  <si>
    <t>3m</t>
  </si>
  <si>
    <t>6m</t>
  </si>
  <si>
    <t>12m</t>
  </si>
  <si>
    <t>Rendimiento S&amp;P 500</t>
  </si>
  <si>
    <t>Date</t>
  </si>
  <si>
    <t>Close</t>
  </si>
  <si>
    <t>Real estate</t>
  </si>
  <si>
    <t>Consumo cíclico</t>
  </si>
  <si>
    <t>El rendimiento YTD incluye dividendos y tbills correspondiente al efectivo</t>
  </si>
  <si>
    <t>Atractivas Mediano plazo</t>
  </si>
  <si>
    <t>Oportunidades corto plazo</t>
  </si>
  <si>
    <t>POSICIONES CERRADAS 2024</t>
  </si>
  <si>
    <t>Posiciones cerradas</t>
  </si>
  <si>
    <t>Cierre</t>
  </si>
  <si>
    <t>Precio cierre</t>
  </si>
  <si>
    <t>Monto cierre</t>
  </si>
  <si>
    <t>Comentarios</t>
  </si>
  <si>
    <t>Toma de ganancias ante el inicio de corrección</t>
  </si>
  <si>
    <t>Toma de ganancias</t>
  </si>
  <si>
    <t>Abr 22</t>
  </si>
  <si>
    <t>1 a 4 semanas</t>
  </si>
  <si>
    <t>1 a 3 meses</t>
  </si>
  <si>
    <t>Operaciones LONG</t>
  </si>
  <si>
    <t>GGAL</t>
  </si>
  <si>
    <t>Alta</t>
  </si>
  <si>
    <t>Posiblemente consolide en el corto plazo. Esperar para incrementar</t>
  </si>
  <si>
    <t>VXX</t>
  </si>
  <si>
    <t>iPath Series S&amp;P 500 Vix Short Term</t>
  </si>
  <si>
    <t>Se ha mantenido firme en un escenario de caída generalizada</t>
  </si>
  <si>
    <t>DOG</t>
  </si>
  <si>
    <t>Inverso del Dow</t>
  </si>
  <si>
    <t>Inverso</t>
  </si>
  <si>
    <t>TSLZ</t>
  </si>
  <si>
    <t>Inverso de tsla x 2</t>
  </si>
  <si>
    <t>Acciones USA</t>
  </si>
  <si>
    <t>Precio promedio de venta</t>
  </si>
  <si>
    <t>Monto de venta</t>
  </si>
  <si>
    <t>Punto de venta actual</t>
  </si>
  <si>
    <t>Operaciones SHORT</t>
  </si>
  <si>
    <t>SQ</t>
  </si>
  <si>
    <t>Block Inc</t>
  </si>
  <si>
    <t>Posbilidad de acerar las caídas en las próximas semanas</t>
  </si>
  <si>
    <t>FSLR</t>
  </si>
  <si>
    <t>RESUMEN 2024</t>
  </si>
  <si>
    <t>Rendimiento total (ponderado)</t>
  </si>
  <si>
    <t>RESUMEN HISTÓRICO</t>
  </si>
  <si>
    <t>Cerradas</t>
  </si>
  <si>
    <t>Abiertas</t>
  </si>
  <si>
    <t>Cantidad de trades</t>
  </si>
  <si>
    <t>Porcentaje de éxito</t>
  </si>
  <si>
    <t>Suba promedio</t>
  </si>
  <si>
    <t>Promedio subas cerradas</t>
  </si>
  <si>
    <t>Promedio caídas cerradas</t>
  </si>
  <si>
    <t>Caídas</t>
  </si>
  <si>
    <t>4,1%</t>
  </si>
  <si>
    <t>11,1%</t>
  </si>
  <si>
    <t>-6,9%</t>
  </si>
  <si>
    <t>Subas</t>
  </si>
  <si>
    <t>1,4%</t>
  </si>
  <si>
    <t>10,9%</t>
  </si>
  <si>
    <t>-8,9%</t>
  </si>
  <si>
    <t>Duración</t>
  </si>
  <si>
    <t>22 días</t>
  </si>
  <si>
    <t>40 dìas</t>
  </si>
  <si>
    <t>16,0%</t>
  </si>
  <si>
    <t>-11,0%</t>
  </si>
  <si>
    <t>9,5%</t>
  </si>
  <si>
    <t>21,3%</t>
  </si>
  <si>
    <t>-10,2%</t>
  </si>
  <si>
    <t>Cantidad</t>
  </si>
  <si>
    <t>9,1%</t>
  </si>
  <si>
    <t>19,5%</t>
  </si>
  <si>
    <t>-5,3%</t>
  </si>
  <si>
    <t>Negativas</t>
  </si>
  <si>
    <t>8,2%</t>
  </si>
  <si>
    <t>Positivas</t>
  </si>
  <si>
    <t>15,5%</t>
  </si>
  <si>
    <t>Cantidad (%)</t>
  </si>
  <si>
    <t>Tipo</t>
  </si>
  <si>
    <t>Fecha cierre</t>
  </si>
  <si>
    <t>L</t>
  </si>
  <si>
    <t>NFLX</t>
  </si>
  <si>
    <t>S</t>
  </si>
  <si>
    <t>TSM</t>
  </si>
  <si>
    <t>LRCX</t>
  </si>
  <si>
    <t>BITI</t>
  </si>
  <si>
    <t>TSLA</t>
  </si>
  <si>
    <t>Vehículos elec</t>
  </si>
  <si>
    <t>Inverso de Bitcoin</t>
  </si>
  <si>
    <t>MARA</t>
  </si>
  <si>
    <t>Cripto</t>
  </si>
  <si>
    <t>Minera</t>
  </si>
  <si>
    <t>AAPL</t>
  </si>
  <si>
    <t>Long</t>
  </si>
  <si>
    <t>Short</t>
  </si>
  <si>
    <t>Precio entrada</t>
  </si>
  <si>
    <t>% para compra</t>
  </si>
  <si>
    <t>Precio objetivo de suba</t>
  </si>
  <si>
    <t>% de suba</t>
  </si>
  <si>
    <t>Nasdaq</t>
  </si>
  <si>
    <t>D</t>
  </si>
  <si>
    <t>Russell 2000</t>
  </si>
  <si>
    <t>Bonos soberanos largos</t>
  </si>
  <si>
    <t>Nuevo estado</t>
  </si>
  <si>
    <t>Señal</t>
  </si>
  <si>
    <t>Acierto</t>
  </si>
  <si>
    <t>Incorrecta</t>
  </si>
  <si>
    <t>Precio objetivo de compra</t>
  </si>
  <si>
    <t>PORTAFOLIO DISCRECIONAL</t>
  </si>
  <si>
    <t>CVS</t>
  </si>
  <si>
    <t>LMT</t>
  </si>
  <si>
    <t>Defensa</t>
  </si>
  <si>
    <t>NOC</t>
  </si>
  <si>
    <t>VZ</t>
  </si>
  <si>
    <t>CRWD</t>
  </si>
  <si>
    <t>Ciberseguridad</t>
  </si>
  <si>
    <t>SWBI</t>
  </si>
  <si>
    <t>ALB</t>
  </si>
  <si>
    <t>Químicos</t>
  </si>
  <si>
    <t>FCG</t>
  </si>
  <si>
    <t>COP</t>
  </si>
  <si>
    <t>Oil &amp; Gas</t>
  </si>
  <si>
    <t>HES</t>
  </si>
  <si>
    <t>IDEAS DE TRADING - LONG</t>
  </si>
  <si>
    <t>EQNR</t>
  </si>
  <si>
    <t>CEIX</t>
  </si>
  <si>
    <t>Carbón</t>
  </si>
  <si>
    <t>PUMP</t>
  </si>
  <si>
    <t>CPA</t>
  </si>
  <si>
    <t>Aerolíneas</t>
  </si>
  <si>
    <t>OTEX</t>
  </si>
  <si>
    <t>Software</t>
  </si>
  <si>
    <t>CVI</t>
  </si>
  <si>
    <t>Refinería</t>
  </si>
  <si>
    <t>Precio objetivo de venta</t>
  </si>
  <si>
    <t>% para venta</t>
  </si>
  <si>
    <t>Precio objetivo de caída</t>
  </si>
  <si>
    <t>% de ganancia</t>
  </si>
  <si>
    <t>IDEAS DE TRADING - SHORT</t>
  </si>
  <si>
    <t>EBAY</t>
  </si>
  <si>
    <t>AA</t>
  </si>
  <si>
    <t>Meteriales</t>
  </si>
  <si>
    <t>Aluminio</t>
  </si>
  <si>
    <t>APD</t>
  </si>
  <si>
    <t>LLY</t>
  </si>
  <si>
    <t>Medicamentos</t>
  </si>
  <si>
    <t>MSGS</t>
  </si>
  <si>
    <t>LOW</t>
  </si>
  <si>
    <t>Consumo cílico</t>
  </si>
  <si>
    <t>Minorista</t>
  </si>
  <si>
    <t>ETF con un peso alto en sectores growth</t>
  </si>
  <si>
    <t>A la espera de un nuevo repunte en la volatilidad en las próximas semanas</t>
  </si>
  <si>
    <t>A la espera de nuevas caídas en el DOW</t>
  </si>
  <si>
    <t>Espero nuevas caídas en TSLA comenzando esta semana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</si>
</sst>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d&quot;-&quot;mmm&quot;-&quot;yyyy"/>
    <numFmt numFmtId="168" formatCode="0.0"/>
    <numFmt numFmtId="169" formatCode="&quot;$&quot;#,##0"/>
    <numFmt numFmtId="170" formatCode="m/d/yyyy"/>
    <numFmt numFmtId="171" formatCode="&quot;$&quot;#,##0.0"/>
    <numFmt numFmtId="172" formatCode="mmmd"/>
    <numFmt numFmtId="173" formatCode="mmm\ d"/>
  </numFmts>
  <fonts count="54">
    <font>
      <sz val="10"/>
      <color rgb="FF000000"/>
      <name val="Arial"/>
      <scheme val="minor"/>
    </font>
    <font>
      <sz val="9"/>
      <color theme="1"/>
      <name val="Arial"/>
    </font>
    <font>
      <sz val="10"/>
      <color theme="1"/>
      <name val="Arial"/>
    </font>
    <font>
      <sz val="9"/>
      <color rgb="FF000000"/>
      <name val="Arial"/>
    </font>
    <font>
      <b/>
      <sz val="9"/>
      <color rgb="FFFFFFFF"/>
      <name val="Arial"/>
    </font>
    <font>
      <b/>
      <sz val="9"/>
      <color theme="1"/>
      <name val="Arial"/>
    </font>
    <font>
      <sz val="10"/>
      <color theme="1"/>
      <name val="Arial"/>
      <scheme val="minor"/>
    </font>
    <font>
      <b/>
      <sz val="9"/>
      <color rgb="FF000000"/>
      <name val="Arial"/>
    </font>
    <font>
      <sz val="10"/>
      <name val="Arial"/>
    </font>
    <font>
      <sz val="7"/>
      <color rgb="FF000000"/>
      <name val="Arial"/>
    </font>
    <font>
      <sz val="9"/>
      <color rgb="FFFFFFFF"/>
      <name val="Arial"/>
    </font>
    <font>
      <sz val="10"/>
      <color rgb="FF000000"/>
      <name val="Arial"/>
    </font>
    <font>
      <sz val="10"/>
      <color rgb="FF000000"/>
      <name val="Arial"/>
      <scheme val="minor"/>
    </font>
    <font>
      <b/>
      <sz val="10"/>
      <color theme="1"/>
      <name val="Arial"/>
    </font>
    <font>
      <b/>
      <sz val="10"/>
      <color theme="1"/>
      <name val="Arial"/>
      <scheme val="minor"/>
    </font>
    <font>
      <sz val="9"/>
      <color rgb="FFFF0000"/>
      <name val="Arial"/>
    </font>
    <font>
      <sz val="7"/>
      <color rgb="FFFF0000"/>
      <name val="Arial"/>
    </font>
    <font>
      <sz val="10"/>
      <color rgb="FFFF0000"/>
      <name val="Arial"/>
    </font>
    <font>
      <sz val="10"/>
      <color rgb="FFFF0000"/>
      <name val="Arial"/>
      <scheme val="minor"/>
    </font>
    <font>
      <sz val="10"/>
      <color theme="1"/>
      <name val="Arial"/>
    </font>
    <font>
      <sz val="10"/>
      <color rgb="FFFF0000"/>
      <name val="Arial"/>
    </font>
    <font>
      <sz val="10"/>
      <color rgb="FF000000"/>
      <name val="Arial"/>
    </font>
    <font>
      <sz val="9"/>
      <color rgb="FF1155CC"/>
      <name val="&quot;Google Sans Mono&quot;"/>
    </font>
    <font>
      <sz val="8"/>
      <color rgb="FF000000"/>
      <name val="Arial"/>
    </font>
    <font>
      <sz val="8"/>
      <color theme="1"/>
      <name val="Arial"/>
    </font>
    <font>
      <b/>
      <sz val="11"/>
      <color theme="1"/>
      <name val="Arial"/>
    </font>
    <font>
      <b/>
      <sz val="10"/>
      <color rgb="FF000000"/>
      <name val="Arial"/>
    </font>
    <font>
      <i/>
      <sz val="9"/>
      <color rgb="FF000000"/>
      <name val="Arial"/>
    </font>
    <font>
      <i/>
      <sz val="9"/>
      <color theme="1"/>
      <name val="Arial"/>
    </font>
    <font>
      <i/>
      <sz val="9"/>
      <color rgb="FF0B8043"/>
      <name val="Arial"/>
    </font>
    <font>
      <b/>
      <i/>
      <sz val="9"/>
      <color theme="1"/>
      <name val="Arial"/>
    </font>
    <font>
      <b/>
      <i/>
      <sz val="9"/>
      <color rgb="FFFF0000"/>
      <name val="Arial"/>
    </font>
    <font>
      <b/>
      <i/>
      <sz val="9"/>
      <color rgb="FF0B8043"/>
      <name val="Arial"/>
    </font>
    <font>
      <b/>
      <i/>
      <sz val="9"/>
      <color rgb="FF000000"/>
      <name val="Arial"/>
    </font>
    <font>
      <i/>
      <sz val="7"/>
      <color rgb="FF000000"/>
      <name val="Arial"/>
    </font>
    <font>
      <i/>
      <sz val="10"/>
      <color theme="1"/>
      <name val="Arial"/>
    </font>
    <font>
      <b/>
      <sz val="9"/>
      <color rgb="FF0B8043"/>
      <name val="Arial"/>
    </font>
    <font>
      <b/>
      <sz val="9"/>
      <color rgb="FFFF0000"/>
      <name val="Arial"/>
    </font>
    <font>
      <b/>
      <sz val="7"/>
      <color theme="1"/>
      <name val="Arial"/>
    </font>
    <font>
      <b/>
      <sz val="10"/>
      <color theme="1"/>
      <name val="Arial"/>
    </font>
    <font>
      <sz val="9"/>
      <color rgb="FF0B8043"/>
      <name val="Arial"/>
    </font>
    <font>
      <b/>
      <sz val="7"/>
      <color rgb="FF000000"/>
      <name val="Arial"/>
    </font>
    <font>
      <b/>
      <u/>
      <sz val="9"/>
      <color rgb="FF000000"/>
      <name val="Arial"/>
    </font>
    <font>
      <b/>
      <u/>
      <sz val="9"/>
      <color rgb="FFFFFFFF"/>
      <name val="Arial"/>
    </font>
    <font>
      <b/>
      <u/>
      <sz val="9"/>
      <color rgb="FF000000"/>
      <name val="Arial"/>
    </font>
    <font>
      <b/>
      <u/>
      <sz val="9"/>
      <color rgb="FF000000"/>
      <name val="Arial"/>
    </font>
    <font>
      <b/>
      <u/>
      <sz val="9"/>
      <color rgb="FFFFFFFF"/>
      <name val="Arial"/>
    </font>
    <font>
      <b/>
      <u/>
      <sz val="9"/>
      <color rgb="FFFFFFFF"/>
      <name val="Arial"/>
    </font>
    <font>
      <sz val="10"/>
      <color theme="1"/>
      <name val="Arial"/>
      <family val="2"/>
    </font>
    <font>
      <sz val="7"/>
      <color rgb="FFFF0000"/>
      <name val="Arial"/>
      <family val="2"/>
    </font>
    <font>
      <b/>
      <sz val="9"/>
      <color theme="1"/>
      <name val="Arial"/>
      <family val="2"/>
    </font>
    <font>
      <sz val="9"/>
      <color theme="1"/>
      <name val="Arial"/>
      <family val="2"/>
    </font>
    <font>
      <b/>
      <sz val="7"/>
      <color rgb="FF000000"/>
      <name val="Arial"/>
      <family val="2"/>
    </font>
    <font>
      <sz val="7"/>
      <color rgb="FF000000"/>
      <name val="Arial"/>
      <family val="2"/>
    </font>
  </fonts>
  <fills count="25">
    <fill>
      <patternFill patternType="none"/>
    </fill>
    <fill>
      <patternFill patternType="gray125"/>
    </fill>
    <fill>
      <patternFill patternType="solid">
        <fgColor rgb="FFFFFFFF"/>
        <bgColor rgb="FFFFFFFF"/>
      </patternFill>
    </fill>
    <fill>
      <patternFill patternType="solid">
        <fgColor rgb="FF0C343D"/>
        <bgColor rgb="FF0C343D"/>
      </patternFill>
    </fill>
    <fill>
      <patternFill patternType="solid">
        <fgColor rgb="FFD9D9D9"/>
        <bgColor rgb="FFD9D9D9"/>
      </patternFill>
    </fill>
    <fill>
      <patternFill patternType="solid">
        <fgColor theme="0"/>
        <bgColor theme="0"/>
      </patternFill>
    </fill>
    <fill>
      <patternFill patternType="solid">
        <fgColor rgb="FFD0E0E3"/>
        <bgColor rgb="FFD0E0E3"/>
      </patternFill>
    </fill>
    <fill>
      <patternFill patternType="solid">
        <fgColor rgb="FFFCE8B2"/>
        <bgColor rgb="FFFCE8B2"/>
      </patternFill>
    </fill>
    <fill>
      <patternFill patternType="solid">
        <fgColor rgb="FFFFF2CC"/>
        <bgColor rgb="FFFFF2CC"/>
      </patternFill>
    </fill>
    <fill>
      <patternFill patternType="solid">
        <fgColor rgb="FFFBE8E7"/>
        <bgColor rgb="FFFBE8E7"/>
      </patternFill>
    </fill>
    <fill>
      <patternFill patternType="solid">
        <fgColor rgb="FFCDEBDC"/>
        <bgColor rgb="FFCDEBDC"/>
      </patternFill>
    </fill>
    <fill>
      <patternFill patternType="solid">
        <fgColor rgb="FFFDFEFD"/>
        <bgColor rgb="FFFDFEFD"/>
      </patternFill>
    </fill>
    <fill>
      <patternFill patternType="solid">
        <fgColor rgb="FFF8DBD9"/>
        <bgColor rgb="FFF8DBD9"/>
      </patternFill>
    </fill>
    <fill>
      <patternFill patternType="solid">
        <fgColor rgb="FFB7E1CD"/>
        <bgColor rgb="FFB7E1CD"/>
      </patternFill>
    </fill>
    <fill>
      <patternFill patternType="solid">
        <fgColor rgb="FFF4C7C3"/>
        <bgColor rgb="FFF4C7C3"/>
      </patternFill>
    </fill>
    <fill>
      <patternFill patternType="solid">
        <fgColor rgb="FF93C47D"/>
        <bgColor rgb="FF93C47D"/>
      </patternFill>
    </fill>
    <fill>
      <patternFill patternType="solid">
        <fgColor rgb="FF134F5C"/>
        <bgColor rgb="FF134F5C"/>
      </patternFill>
    </fill>
    <fill>
      <patternFill patternType="solid">
        <fgColor rgb="FFFCF4F3"/>
        <bgColor rgb="FFFCF4F3"/>
      </patternFill>
    </fill>
    <fill>
      <patternFill patternType="solid">
        <fgColor rgb="FFFCE5CD"/>
        <bgColor rgb="FFFCE5CD"/>
      </patternFill>
    </fill>
    <fill>
      <patternFill patternType="solid">
        <fgColor rgb="FFF9E4E2"/>
        <bgColor rgb="FFF9E4E2"/>
      </patternFill>
    </fill>
    <fill>
      <patternFill patternType="solid">
        <fgColor rgb="FFF3F3F3"/>
        <bgColor rgb="FFF3F3F3"/>
      </patternFill>
    </fill>
    <fill>
      <patternFill patternType="solid">
        <fgColor rgb="FFF0F9F5"/>
        <bgColor rgb="FFF0F9F5"/>
      </patternFill>
    </fill>
    <fill>
      <patternFill patternType="solid">
        <fgColor rgb="FFF6CECB"/>
        <bgColor rgb="FFF6CECB"/>
      </patternFill>
    </fill>
    <fill>
      <patternFill patternType="solid">
        <fgColor rgb="FFE67C73"/>
        <bgColor rgb="FFE67C73"/>
      </patternFill>
    </fill>
    <fill>
      <patternFill patternType="solid">
        <fgColor rgb="FFEBF7F1"/>
        <bgColor rgb="FFEBF7F1"/>
      </patternFill>
    </fill>
  </fills>
  <borders count="70">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FFFFFF"/>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1">
    <xf numFmtId="0" fontId="0" fillId="0" borderId="0" xfId="0"/>
    <xf numFmtId="0" fontId="1" fillId="2" borderId="1" xfId="0" applyFont="1" applyFill="1" applyBorder="1"/>
    <xf numFmtId="164" fontId="1" fillId="2" borderId="1" xfId="0" applyNumberFormat="1" applyFont="1" applyFill="1" applyBorder="1" applyAlignment="1">
      <alignment horizontal="center"/>
    </xf>
    <xf numFmtId="164" fontId="2" fillId="2" borderId="1" xfId="0" applyNumberFormat="1" applyFont="1" applyFill="1" applyBorder="1"/>
    <xf numFmtId="0" fontId="1" fillId="2" borderId="1" xfId="0" applyFont="1" applyFill="1" applyBorder="1" applyAlignment="1">
      <alignment horizontal="right"/>
    </xf>
    <xf numFmtId="0" fontId="2" fillId="2" borderId="1" xfId="0" applyFont="1" applyFill="1" applyBorder="1"/>
    <xf numFmtId="165" fontId="1" fillId="2" borderId="1" xfId="0" applyNumberFormat="1" applyFont="1" applyFill="1" applyBorder="1" applyAlignment="1">
      <alignment horizontal="right"/>
    </xf>
    <xf numFmtId="0" fontId="3" fillId="2" borderId="1" xfId="0" applyFont="1" applyFill="1" applyBorder="1"/>
    <xf numFmtId="164" fontId="3"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4" xfId="0" applyNumberFormat="1" applyFont="1" applyFill="1" applyBorder="1" applyAlignment="1">
      <alignment horizontal="center"/>
    </xf>
    <xf numFmtId="164" fontId="1" fillId="2" borderId="8" xfId="0" applyNumberFormat="1" applyFont="1" applyFill="1" applyBorder="1" applyAlignment="1">
      <alignment horizontal="center"/>
    </xf>
    <xf numFmtId="164" fontId="1" fillId="2" borderId="5" xfId="0" applyNumberFormat="1" applyFont="1" applyFill="1" applyBorder="1"/>
    <xf numFmtId="164" fontId="2" fillId="2" borderId="4" xfId="0" applyNumberFormat="1" applyFont="1" applyFill="1" applyBorder="1"/>
    <xf numFmtId="164" fontId="2" fillId="2" borderId="6" xfId="0" applyNumberFormat="1" applyFont="1" applyFill="1" applyBorder="1"/>
    <xf numFmtId="164" fontId="2" fillId="2" borderId="5" xfId="0" applyNumberFormat="1" applyFont="1" applyFill="1" applyBorder="1"/>
    <xf numFmtId="164" fontId="3" fillId="2" borderId="10" xfId="0" applyNumberFormat="1" applyFont="1" applyFill="1" applyBorder="1" applyAlignment="1">
      <alignment horizontal="center"/>
    </xf>
    <xf numFmtId="164" fontId="1" fillId="2" borderId="9" xfId="0" applyNumberFormat="1" applyFont="1" applyFill="1" applyBorder="1" applyAlignment="1">
      <alignment horizontal="center"/>
    </xf>
    <xf numFmtId="164" fontId="1" fillId="2" borderId="10" xfId="0" applyNumberFormat="1" applyFont="1" applyFill="1" applyBorder="1" applyAlignment="1">
      <alignment horizontal="center"/>
    </xf>
    <xf numFmtId="164" fontId="1" fillId="2" borderId="14" xfId="0" applyNumberFormat="1" applyFont="1" applyFill="1" applyBorder="1" applyAlignment="1">
      <alignment horizontal="center"/>
    </xf>
    <xf numFmtId="164" fontId="2" fillId="2" borderId="15" xfId="0" applyNumberFormat="1" applyFont="1" applyFill="1" applyBorder="1"/>
    <xf numFmtId="0" fontId="1" fillId="2" borderId="0" xfId="0" applyFont="1" applyFill="1"/>
    <xf numFmtId="164" fontId="1"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xf numFmtId="164" fontId="2" fillId="2" borderId="0" xfId="0" applyNumberFormat="1" applyFont="1" applyFill="1"/>
    <xf numFmtId="0" fontId="5" fillId="2" borderId="1" xfId="0" applyFont="1" applyFill="1" applyBorder="1"/>
    <xf numFmtId="0" fontId="1" fillId="0" borderId="0" xfId="0" applyFont="1"/>
    <xf numFmtId="0" fontId="1" fillId="0" borderId="0" xfId="0" applyFont="1" applyAlignment="1">
      <alignment horizontal="center"/>
    </xf>
    <xf numFmtId="0" fontId="6" fillId="0" borderId="0" xfId="0" applyFont="1"/>
    <xf numFmtId="164" fontId="1" fillId="5" borderId="1" xfId="0" applyNumberFormat="1" applyFont="1" applyFill="1" applyBorder="1" applyAlignment="1">
      <alignment horizontal="center"/>
    </xf>
    <xf numFmtId="0" fontId="1" fillId="2" borderId="5" xfId="0" applyFont="1" applyFill="1" applyBorder="1"/>
    <xf numFmtId="164" fontId="1" fillId="5" borderId="9" xfId="0" applyNumberFormat="1" applyFont="1" applyFill="1" applyBorder="1" applyAlignment="1">
      <alignment horizontal="center"/>
    </xf>
    <xf numFmtId="0" fontId="7" fillId="6" borderId="24" xfId="0" applyFont="1" applyFill="1" applyBorder="1" applyAlignment="1">
      <alignment horizontal="center" wrapText="1"/>
    </xf>
    <xf numFmtId="0" fontId="7" fillId="6" borderId="3" xfId="0" applyFont="1" applyFill="1" applyBorder="1" applyAlignment="1">
      <alignment horizontal="center" wrapText="1"/>
    </xf>
    <xf numFmtId="0" fontId="7" fillId="6" borderId="25" xfId="0" applyFont="1" applyFill="1" applyBorder="1" applyAlignment="1">
      <alignment horizontal="center" wrapText="1"/>
    </xf>
    <xf numFmtId="0" fontId="1" fillId="0" borderId="0" xfId="0" applyFont="1" applyAlignment="1">
      <alignment vertical="center"/>
    </xf>
    <xf numFmtId="0" fontId="4" fillId="3" borderId="20" xfId="0" applyFont="1" applyFill="1" applyBorder="1" applyAlignment="1">
      <alignment horizontal="center" vertical="center"/>
    </xf>
    <xf numFmtId="0" fontId="4" fillId="3" borderId="20" xfId="0" applyFont="1" applyFill="1" applyBorder="1" applyAlignment="1">
      <alignment horizontal="left"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2" fillId="0" borderId="0" xfId="0" applyFont="1" applyAlignment="1">
      <alignment vertical="center"/>
    </xf>
    <xf numFmtId="0" fontId="3" fillId="2" borderId="1" xfId="0" applyFont="1" applyFill="1" applyBorder="1" applyAlignment="1">
      <alignment horizontal="right"/>
    </xf>
    <xf numFmtId="3" fontId="1" fillId="2" borderId="1" xfId="0" applyNumberFormat="1" applyFont="1" applyFill="1" applyBorder="1" applyAlignment="1">
      <alignment horizontal="left"/>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1" fillId="2" borderId="4" xfId="0" applyFont="1" applyFill="1" applyBorder="1" applyAlignment="1">
      <alignment horizontal="right"/>
    </xf>
    <xf numFmtId="2" fontId="1" fillId="2" borderId="1" xfId="0" applyNumberFormat="1" applyFont="1" applyFill="1" applyBorder="1" applyAlignment="1">
      <alignment horizontal="center"/>
    </xf>
    <xf numFmtId="168" fontId="1" fillId="2" borderId="1" xfId="0" applyNumberFormat="1" applyFont="1" applyFill="1" applyBorder="1" applyAlignment="1">
      <alignment horizontal="center"/>
    </xf>
    <xf numFmtId="169" fontId="1" fillId="2" borderId="1" xfId="0" applyNumberFormat="1" applyFont="1" applyFill="1" applyBorder="1" applyAlignment="1">
      <alignment horizontal="center"/>
    </xf>
    <xf numFmtId="169" fontId="1" fillId="2" borderId="5" xfId="0" applyNumberFormat="1" applyFont="1" applyFill="1" applyBorder="1" applyAlignment="1">
      <alignment horizontal="center"/>
    </xf>
    <xf numFmtId="164" fontId="3" fillId="2" borderId="1" xfId="0" applyNumberFormat="1"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4"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8" borderId="30" xfId="0" applyFont="1" applyFill="1" applyBorder="1" applyAlignment="1">
      <alignment horizontal="left" vertical="center" wrapText="1"/>
    </xf>
    <xf numFmtId="170" fontId="1" fillId="2" borderId="1" xfId="0" applyNumberFormat="1"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right"/>
    </xf>
    <xf numFmtId="164" fontId="3" fillId="5" borderId="0" xfId="0" applyNumberFormat="1" applyFont="1" applyFill="1" applyAlignment="1">
      <alignment horizontal="center"/>
    </xf>
    <xf numFmtId="164" fontId="3" fillId="2" borderId="7" xfId="0" applyNumberFormat="1" applyFont="1" applyFill="1" applyBorder="1" applyAlignment="1">
      <alignment horizontal="center"/>
    </xf>
    <xf numFmtId="164" fontId="2" fillId="2" borderId="1" xfId="0" applyNumberFormat="1" applyFont="1" applyFill="1" applyBorder="1" applyAlignment="1">
      <alignment vertical="center"/>
    </xf>
    <xf numFmtId="0" fontId="10" fillId="3" borderId="31" xfId="0" applyFont="1" applyFill="1" applyBorder="1" applyAlignment="1">
      <alignment horizontal="center" vertical="center" wrapText="1"/>
    </xf>
    <xf numFmtId="0" fontId="9" fillId="9" borderId="30" xfId="0" applyFont="1" applyFill="1" applyBorder="1" applyAlignment="1">
      <alignment horizontal="left" vertical="center" wrapText="1"/>
    </xf>
    <xf numFmtId="171" fontId="1" fillId="5" borderId="0" xfId="0" applyNumberFormat="1" applyFont="1" applyFill="1" applyAlignment="1">
      <alignment horizontal="center"/>
    </xf>
    <xf numFmtId="164" fontId="1" fillId="5" borderId="0" xfId="0" applyNumberFormat="1" applyFont="1" applyFill="1" applyAlignment="1">
      <alignment horizontal="center"/>
    </xf>
    <xf numFmtId="3" fontId="3" fillId="2" borderId="1" xfId="0" applyNumberFormat="1" applyFont="1" applyFill="1" applyBorder="1" applyAlignment="1">
      <alignment horizontal="left"/>
    </xf>
    <xf numFmtId="3" fontId="3" fillId="2" borderId="1" xfId="0" applyNumberFormat="1" applyFont="1" applyFill="1" applyBorder="1" applyAlignment="1">
      <alignment horizontal="center"/>
    </xf>
    <xf numFmtId="0" fontId="3" fillId="2" borderId="1" xfId="0" applyFont="1" applyFill="1" applyBorder="1" applyAlignment="1">
      <alignment horizontal="center"/>
    </xf>
    <xf numFmtId="165" fontId="3" fillId="2" borderId="1"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2" borderId="4" xfId="0" applyFont="1" applyFill="1" applyBorder="1" applyAlignment="1">
      <alignment horizontal="right"/>
    </xf>
    <xf numFmtId="2" fontId="3" fillId="2" borderId="1" xfId="0" applyNumberFormat="1" applyFont="1" applyFill="1" applyBorder="1" applyAlignment="1">
      <alignment horizontal="center"/>
    </xf>
    <xf numFmtId="168" fontId="3" fillId="2" borderId="1" xfId="0" applyNumberFormat="1" applyFont="1" applyFill="1" applyBorder="1" applyAlignment="1">
      <alignment horizontal="center"/>
    </xf>
    <xf numFmtId="169" fontId="3" fillId="2" borderId="1" xfId="0" applyNumberFormat="1" applyFont="1" applyFill="1" applyBorder="1" applyAlignment="1">
      <alignment horizontal="center"/>
    </xf>
    <xf numFmtId="169" fontId="3" fillId="2" borderId="5" xfId="0" applyNumberFormat="1" applyFont="1" applyFill="1" applyBorder="1" applyAlignment="1">
      <alignment horizontal="center"/>
    </xf>
    <xf numFmtId="0" fontId="3" fillId="2" borderId="7" xfId="0" applyFont="1" applyFill="1" applyBorder="1" applyAlignment="1">
      <alignment horizontal="center"/>
    </xf>
    <xf numFmtId="0" fontId="3" fillId="2" borderId="4" xfId="0" applyFont="1" applyFill="1" applyBorder="1" applyAlignment="1">
      <alignment horizontal="center"/>
    </xf>
    <xf numFmtId="0" fontId="3" fillId="2" borderId="4" xfId="0" applyFont="1" applyFill="1" applyBorder="1" applyAlignment="1">
      <alignment horizontal="center" vertical="center"/>
    </xf>
    <xf numFmtId="0" fontId="3" fillId="7" borderId="1" xfId="0" applyFont="1" applyFill="1" applyBorder="1" applyAlignment="1">
      <alignment horizontal="center" vertical="center"/>
    </xf>
    <xf numFmtId="0" fontId="3" fillId="2" borderId="1" xfId="0" applyFont="1" applyFill="1" applyBorder="1" applyAlignment="1">
      <alignment horizontal="center" vertical="center"/>
    </xf>
    <xf numFmtId="0" fontId="11" fillId="2" borderId="1" xfId="0" applyFont="1" applyFill="1" applyBorder="1"/>
    <xf numFmtId="0" fontId="12" fillId="0" borderId="0" xfId="0" applyFont="1"/>
    <xf numFmtId="0" fontId="3" fillId="0" borderId="0" xfId="0" applyFont="1"/>
    <xf numFmtId="3" fontId="5" fillId="2" borderId="1" xfId="0" applyNumberFormat="1" applyFont="1" applyFill="1" applyBorder="1" applyAlignment="1">
      <alignment horizontal="left"/>
    </xf>
    <xf numFmtId="3" fontId="5" fillId="2" borderId="1" xfId="0" applyNumberFormat="1" applyFont="1" applyFill="1" applyBorder="1" applyAlignment="1">
      <alignment horizontal="center"/>
    </xf>
    <xf numFmtId="0" fontId="5" fillId="2" borderId="1" xfId="0" applyFont="1" applyFill="1" applyBorder="1" applyAlignment="1">
      <alignment horizontal="center"/>
    </xf>
    <xf numFmtId="165" fontId="5" fillId="2" borderId="1" xfId="0" applyNumberFormat="1" applyFont="1" applyFill="1" applyBorder="1" applyAlignment="1">
      <alignment horizontal="center"/>
    </xf>
    <xf numFmtId="164" fontId="5" fillId="2" borderId="1" xfId="0" applyNumberFormat="1" applyFont="1" applyFill="1" applyBorder="1" applyAlignment="1">
      <alignment horizontal="center"/>
    </xf>
    <xf numFmtId="0" fontId="5" fillId="2" borderId="5" xfId="0" applyFont="1" applyFill="1" applyBorder="1" applyAlignment="1">
      <alignment horizontal="center"/>
    </xf>
    <xf numFmtId="0" fontId="5" fillId="2" borderId="4" xfId="0" applyFont="1" applyFill="1" applyBorder="1" applyAlignment="1">
      <alignment horizontal="right"/>
    </xf>
    <xf numFmtId="2" fontId="5" fillId="2" borderId="1" xfId="0" applyNumberFormat="1" applyFont="1" applyFill="1" applyBorder="1" applyAlignment="1">
      <alignment horizontal="center"/>
    </xf>
    <xf numFmtId="0" fontId="5" fillId="2" borderId="5" xfId="0" applyFont="1" applyFill="1" applyBorder="1" applyAlignment="1">
      <alignment horizontal="right"/>
    </xf>
    <xf numFmtId="171" fontId="5" fillId="5" borderId="0" xfId="0" applyNumberFormat="1" applyFont="1" applyFill="1" applyAlignment="1">
      <alignment horizontal="center"/>
    </xf>
    <xf numFmtId="164" fontId="5" fillId="5" borderId="0" xfId="0" applyNumberFormat="1" applyFont="1" applyFill="1" applyAlignment="1">
      <alignment horizontal="center"/>
    </xf>
    <xf numFmtId="164" fontId="7" fillId="2" borderId="7" xfId="0" applyNumberFormat="1" applyFont="1" applyFill="1" applyBorder="1" applyAlignment="1">
      <alignment horizontal="center"/>
    </xf>
    <xf numFmtId="164" fontId="7" fillId="2" borderId="4" xfId="0" applyNumberFormat="1" applyFont="1" applyFill="1" applyBorder="1" applyAlignment="1">
      <alignment horizontal="center"/>
    </xf>
    <xf numFmtId="164" fontId="7" fillId="2" borderId="1" xfId="0" applyNumberFormat="1" applyFont="1" applyFill="1" applyBorder="1" applyAlignment="1">
      <alignment horizontal="center"/>
    </xf>
    <xf numFmtId="164" fontId="5" fillId="2" borderId="4" xfId="0" applyNumberFormat="1" applyFont="1" applyFill="1" applyBorder="1" applyAlignment="1">
      <alignment horizontal="center"/>
    </xf>
    <xf numFmtId="164" fontId="13" fillId="2" borderId="4" xfId="0" applyNumberFormat="1" applyFont="1" applyFill="1" applyBorder="1"/>
    <xf numFmtId="164" fontId="13" fillId="2" borderId="1" xfId="0" applyNumberFormat="1" applyFont="1" applyFill="1" applyBorder="1"/>
    <xf numFmtId="164" fontId="13" fillId="2" borderId="1" xfId="0" applyNumberFormat="1" applyFont="1" applyFill="1" applyBorder="1" applyAlignment="1">
      <alignment vertical="center"/>
    </xf>
    <xf numFmtId="0" fontId="5" fillId="0" borderId="0" xfId="0" applyFont="1"/>
    <xf numFmtId="0" fontId="13" fillId="2" borderId="1" xfId="0" applyFont="1" applyFill="1" applyBorder="1"/>
    <xf numFmtId="0" fontId="14" fillId="0" borderId="0" xfId="0" applyFont="1"/>
    <xf numFmtId="0" fontId="15" fillId="2" borderId="1" xfId="0" applyFont="1" applyFill="1" applyBorder="1" applyAlignment="1">
      <alignment horizontal="right"/>
    </xf>
    <xf numFmtId="0" fontId="15" fillId="2" borderId="1" xfId="0" applyFont="1" applyFill="1" applyBorder="1"/>
    <xf numFmtId="3" fontId="15" fillId="2" borderId="1" xfId="0" applyNumberFormat="1" applyFont="1" applyFill="1" applyBorder="1" applyAlignment="1">
      <alignment horizontal="left"/>
    </xf>
    <xf numFmtId="3" fontId="15" fillId="2" borderId="1" xfId="0" applyNumberFormat="1" applyFont="1" applyFill="1" applyBorder="1" applyAlignment="1">
      <alignment horizontal="center"/>
    </xf>
    <xf numFmtId="0" fontId="15" fillId="2" borderId="1" xfId="0" applyFont="1" applyFill="1" applyBorder="1" applyAlignment="1">
      <alignment horizontal="center"/>
    </xf>
    <xf numFmtId="165" fontId="15" fillId="2" borderId="1" xfId="0" applyNumberFormat="1" applyFont="1" applyFill="1" applyBorder="1" applyAlignment="1">
      <alignment horizontal="center"/>
    </xf>
    <xf numFmtId="164" fontId="15" fillId="2" borderId="1" xfId="0" applyNumberFormat="1" applyFont="1" applyFill="1" applyBorder="1" applyAlignment="1">
      <alignment horizontal="center"/>
    </xf>
    <xf numFmtId="164" fontId="15" fillId="2" borderId="5" xfId="0" applyNumberFormat="1" applyFont="1" applyFill="1" applyBorder="1" applyAlignment="1">
      <alignment horizontal="center"/>
    </xf>
    <xf numFmtId="0" fontId="15" fillId="2" borderId="4" xfId="0" applyFont="1" applyFill="1" applyBorder="1" applyAlignment="1">
      <alignment horizontal="right"/>
    </xf>
    <xf numFmtId="2" fontId="15" fillId="2" borderId="1" xfId="0" applyNumberFormat="1" applyFont="1" applyFill="1" applyBorder="1" applyAlignment="1">
      <alignment horizontal="center"/>
    </xf>
    <xf numFmtId="168" fontId="15" fillId="2" borderId="1" xfId="0" applyNumberFormat="1" applyFont="1" applyFill="1" applyBorder="1" applyAlignment="1">
      <alignment horizontal="center"/>
    </xf>
    <xf numFmtId="169" fontId="15" fillId="2" borderId="1" xfId="0" applyNumberFormat="1" applyFont="1" applyFill="1" applyBorder="1" applyAlignment="1">
      <alignment horizontal="center"/>
    </xf>
    <xf numFmtId="169" fontId="15" fillId="2" borderId="5" xfId="0" applyNumberFormat="1" applyFont="1" applyFill="1" applyBorder="1" applyAlignment="1">
      <alignment horizontal="center"/>
    </xf>
    <xf numFmtId="0" fontId="15" fillId="2" borderId="7" xfId="0" applyFont="1" applyFill="1" applyBorder="1" applyAlignment="1">
      <alignment horizontal="center"/>
    </xf>
    <xf numFmtId="0" fontId="15" fillId="2" borderId="4" xfId="0" applyFont="1" applyFill="1" applyBorder="1" applyAlignment="1">
      <alignment horizontal="center"/>
    </xf>
    <xf numFmtId="164" fontId="15" fillId="2" borderId="4" xfId="0" applyNumberFormat="1" applyFont="1" applyFill="1" applyBorder="1" applyAlignment="1">
      <alignment horizontal="center"/>
    </xf>
    <xf numFmtId="0" fontId="15" fillId="2" borderId="4" xfId="0" applyFont="1" applyFill="1" applyBorder="1" applyAlignment="1">
      <alignment horizontal="center" vertical="center"/>
    </xf>
    <xf numFmtId="0" fontId="15" fillId="7"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0" borderId="0" xfId="0" applyFont="1"/>
    <xf numFmtId="0" fontId="17" fillId="2" borderId="1" xfId="0" applyFont="1" applyFill="1" applyBorder="1"/>
    <xf numFmtId="0" fontId="18" fillId="0" borderId="0" xfId="0" applyFont="1"/>
    <xf numFmtId="0" fontId="9" fillId="10" borderId="30" xfId="0" applyFont="1" applyFill="1" applyBorder="1" applyAlignment="1">
      <alignment horizontal="left" vertical="center" wrapText="1"/>
    </xf>
    <xf numFmtId="0" fontId="7" fillId="2" borderId="1" xfId="0" applyFont="1" applyFill="1" applyBorder="1" applyAlignment="1">
      <alignment horizontal="right"/>
    </xf>
    <xf numFmtId="0" fontId="19" fillId="2" borderId="0" xfId="0" applyFont="1" applyFill="1"/>
    <xf numFmtId="3" fontId="19" fillId="2" borderId="0" xfId="0" applyNumberFormat="1" applyFont="1" applyFill="1"/>
    <xf numFmtId="165" fontId="19" fillId="2" borderId="0" xfId="0" applyNumberFormat="1" applyFont="1" applyFill="1"/>
    <xf numFmtId="164" fontId="19" fillId="2" borderId="0" xfId="0" applyNumberFormat="1" applyFont="1" applyFill="1"/>
    <xf numFmtId="0" fontId="19" fillId="2" borderId="32" xfId="0" applyFont="1" applyFill="1" applyBorder="1"/>
    <xf numFmtId="2" fontId="19" fillId="2" borderId="0" xfId="0" applyNumberFormat="1" applyFont="1" applyFill="1"/>
    <xf numFmtId="171" fontId="19" fillId="2" borderId="0" xfId="0" applyNumberFormat="1" applyFont="1" applyFill="1"/>
    <xf numFmtId="164" fontId="19" fillId="2" borderId="32" xfId="0" applyNumberFormat="1" applyFont="1" applyFill="1" applyBorder="1"/>
    <xf numFmtId="164" fontId="5" fillId="2" borderId="0" xfId="0" applyNumberFormat="1" applyFont="1" applyFill="1" applyAlignment="1">
      <alignment horizontal="center"/>
    </xf>
    <xf numFmtId="164" fontId="5" fillId="2" borderId="32" xfId="0" applyNumberFormat="1" applyFont="1" applyFill="1" applyBorder="1" applyAlignment="1">
      <alignment horizontal="center"/>
    </xf>
    <xf numFmtId="165" fontId="5" fillId="2" borderId="0" xfId="0" applyNumberFormat="1" applyFont="1" applyFill="1" applyAlignment="1">
      <alignment horizontal="center"/>
    </xf>
    <xf numFmtId="0" fontId="5" fillId="0" borderId="0" xfId="0" applyFont="1" applyAlignment="1">
      <alignment horizontal="right"/>
    </xf>
    <xf numFmtId="0" fontId="19" fillId="0" borderId="0" xfId="0" applyFont="1"/>
    <xf numFmtId="0" fontId="3" fillId="2" borderId="5" xfId="0" applyFont="1" applyFill="1" applyBorder="1" applyAlignment="1">
      <alignment horizontal="center"/>
    </xf>
    <xf numFmtId="0" fontId="3" fillId="2" borderId="5" xfId="0" applyFont="1" applyFill="1" applyBorder="1" applyAlignment="1">
      <alignment horizontal="right"/>
    </xf>
    <xf numFmtId="171" fontId="3" fillId="5" borderId="0" xfId="0" applyNumberFormat="1" applyFont="1" applyFill="1" applyAlignment="1">
      <alignment horizontal="center"/>
    </xf>
    <xf numFmtId="164" fontId="11" fillId="2" borderId="4" xfId="0" applyNumberFormat="1" applyFont="1" applyFill="1" applyBorder="1"/>
    <xf numFmtId="164" fontId="11" fillId="2" borderId="1" xfId="0" applyNumberFormat="1" applyFont="1" applyFill="1" applyBorder="1"/>
    <xf numFmtId="164" fontId="11" fillId="2" borderId="1" xfId="0" applyNumberFormat="1" applyFont="1" applyFill="1" applyBorder="1" applyAlignment="1">
      <alignment vertical="center"/>
    </xf>
    <xf numFmtId="0" fontId="9" fillId="2" borderId="30" xfId="0" applyFont="1" applyFill="1" applyBorder="1" applyAlignment="1">
      <alignment horizontal="left" wrapText="1"/>
    </xf>
    <xf numFmtId="0" fontId="9" fillId="10" borderId="30" xfId="0" applyFont="1" applyFill="1" applyBorder="1" applyAlignment="1">
      <alignment horizontal="left" wrapText="1"/>
    </xf>
    <xf numFmtId="165" fontId="7" fillId="2" borderId="1" xfId="0" applyNumberFormat="1" applyFont="1" applyFill="1" applyBorder="1" applyAlignment="1">
      <alignment horizontal="center"/>
    </xf>
    <xf numFmtId="0" fontId="7" fillId="2" borderId="4" xfId="0" applyFont="1" applyFill="1" applyBorder="1" applyAlignment="1">
      <alignment horizontal="right"/>
    </xf>
    <xf numFmtId="0" fontId="7" fillId="0" borderId="0" xfId="0" applyFont="1"/>
    <xf numFmtId="0" fontId="15" fillId="2" borderId="0" xfId="0" applyFont="1" applyFill="1"/>
    <xf numFmtId="3" fontId="15" fillId="2" borderId="0" xfId="0" applyNumberFormat="1" applyFont="1" applyFill="1"/>
    <xf numFmtId="3" fontId="15" fillId="2" borderId="0" xfId="0" applyNumberFormat="1" applyFont="1" applyFill="1" applyAlignment="1">
      <alignment horizontal="center"/>
    </xf>
    <xf numFmtId="0" fontId="15" fillId="2" borderId="0" xfId="0" applyFont="1" applyFill="1" applyAlignment="1">
      <alignment horizontal="center"/>
    </xf>
    <xf numFmtId="0" fontId="20" fillId="2" borderId="0" xfId="0" applyFont="1" applyFill="1"/>
    <xf numFmtId="164" fontId="15" fillId="2" borderId="0" xfId="0" applyNumberFormat="1" applyFont="1" applyFill="1" applyAlignment="1">
      <alignment horizontal="center"/>
    </xf>
    <xf numFmtId="164" fontId="15" fillId="2" borderId="32" xfId="0" applyNumberFormat="1" applyFont="1" applyFill="1" applyBorder="1" applyAlignment="1">
      <alignment horizontal="center"/>
    </xf>
    <xf numFmtId="0" fontId="15" fillId="2" borderId="0" xfId="0" applyFont="1" applyFill="1" applyAlignment="1">
      <alignment horizontal="right"/>
    </xf>
    <xf numFmtId="2" fontId="15" fillId="2" borderId="0" xfId="0" applyNumberFormat="1" applyFont="1" applyFill="1" applyAlignment="1">
      <alignment horizontal="center"/>
    </xf>
    <xf numFmtId="169" fontId="15" fillId="2" borderId="0" xfId="0" applyNumberFormat="1" applyFont="1" applyFill="1" applyAlignment="1">
      <alignment horizontal="center"/>
    </xf>
    <xf numFmtId="0" fontId="15" fillId="2" borderId="32" xfId="0" applyFont="1" applyFill="1" applyBorder="1" applyAlignment="1">
      <alignment horizontal="center"/>
    </xf>
    <xf numFmtId="164" fontId="15" fillId="11" borderId="0" xfId="0" applyNumberFormat="1" applyFont="1" applyFill="1" applyAlignment="1">
      <alignment horizontal="center"/>
    </xf>
    <xf numFmtId="164" fontId="15" fillId="12" borderId="32" xfId="0" applyNumberFormat="1" applyFont="1" applyFill="1" applyBorder="1" applyAlignment="1">
      <alignment horizontal="center"/>
    </xf>
    <xf numFmtId="0" fontId="15" fillId="13" borderId="0" xfId="0" applyFont="1" applyFill="1" applyAlignment="1">
      <alignment horizontal="center"/>
    </xf>
    <xf numFmtId="0" fontId="15" fillId="14" borderId="0" xfId="0" applyFont="1" applyFill="1" applyAlignment="1">
      <alignment horizontal="center"/>
    </xf>
    <xf numFmtId="0" fontId="15" fillId="15" borderId="0" xfId="0" applyFont="1" applyFill="1" applyAlignment="1">
      <alignment horizontal="center"/>
    </xf>
    <xf numFmtId="0" fontId="15" fillId="7" borderId="0" xfId="0" applyFont="1" applyFill="1" applyAlignment="1">
      <alignment horizontal="center"/>
    </xf>
    <xf numFmtId="0" fontId="15" fillId="7" borderId="32" xfId="0" applyFont="1" applyFill="1" applyBorder="1" applyAlignment="1">
      <alignment horizontal="center"/>
    </xf>
    <xf numFmtId="0" fontId="16" fillId="9" borderId="30" xfId="0" applyFont="1" applyFill="1" applyBorder="1" applyAlignment="1">
      <alignment horizontal="left" vertical="center" wrapText="1"/>
    </xf>
    <xf numFmtId="164" fontId="20" fillId="2" borderId="0" xfId="0" applyNumberFormat="1" applyFont="1" applyFill="1"/>
    <xf numFmtId="0" fontId="20" fillId="0" borderId="0" xfId="0" applyFont="1"/>
    <xf numFmtId="0" fontId="3" fillId="2" borderId="0" xfId="0" applyFont="1" applyFill="1" applyAlignment="1">
      <alignment horizontal="right"/>
    </xf>
    <xf numFmtId="0" fontId="21" fillId="2" borderId="0" xfId="0" applyFont="1" applyFill="1"/>
    <xf numFmtId="3" fontId="21" fillId="2" borderId="0" xfId="0" applyNumberFormat="1" applyFont="1" applyFill="1"/>
    <xf numFmtId="165" fontId="21" fillId="2" borderId="0" xfId="0" applyNumberFormat="1" applyFont="1" applyFill="1"/>
    <xf numFmtId="164" fontId="21" fillId="2" borderId="0" xfId="0" applyNumberFormat="1" applyFont="1" applyFill="1"/>
    <xf numFmtId="164" fontId="21" fillId="2" borderId="32" xfId="0" applyNumberFormat="1" applyFont="1" applyFill="1" applyBorder="1"/>
    <xf numFmtId="2" fontId="21" fillId="2" borderId="0" xfId="0" applyNumberFormat="1" applyFont="1" applyFill="1"/>
    <xf numFmtId="168" fontId="21" fillId="2" borderId="0" xfId="0" applyNumberFormat="1" applyFont="1" applyFill="1"/>
    <xf numFmtId="169" fontId="21" fillId="2" borderId="0" xfId="0" applyNumberFormat="1" applyFont="1" applyFill="1"/>
    <xf numFmtId="171" fontId="21" fillId="2" borderId="0" xfId="0" applyNumberFormat="1" applyFont="1" applyFill="1"/>
    <xf numFmtId="165" fontId="3" fillId="2" borderId="0" xfId="0" applyNumberFormat="1" applyFont="1" applyFill="1" applyAlignment="1">
      <alignment horizontal="center"/>
    </xf>
    <xf numFmtId="0" fontId="3" fillId="0" borderId="0" xfId="0" applyFont="1" applyAlignment="1">
      <alignment horizontal="right"/>
    </xf>
    <xf numFmtId="0" fontId="21" fillId="0" borderId="0" xfId="0" applyFont="1"/>
    <xf numFmtId="0" fontId="16" fillId="2" borderId="30" xfId="0" applyFont="1" applyFill="1" applyBorder="1" applyAlignment="1">
      <alignment horizontal="left" wrapText="1"/>
    </xf>
    <xf numFmtId="165" fontId="13" fillId="4" borderId="9" xfId="0" applyNumberFormat="1" applyFont="1" applyFill="1" applyBorder="1"/>
    <xf numFmtId="165" fontId="13" fillId="4" borderId="11" xfId="0" applyNumberFormat="1" applyFont="1" applyFill="1" applyBorder="1"/>
    <xf numFmtId="0" fontId="13" fillId="4" borderId="33" xfId="0" applyFont="1" applyFill="1" applyBorder="1"/>
    <xf numFmtId="0" fontId="13" fillId="4" borderId="34" xfId="0" applyFont="1" applyFill="1" applyBorder="1"/>
    <xf numFmtId="169" fontId="13" fillId="4" borderId="35" xfId="0" applyNumberFormat="1" applyFont="1" applyFill="1" applyBorder="1"/>
    <xf numFmtId="164" fontId="1" fillId="4" borderId="18" xfId="0" applyNumberFormat="1" applyFont="1" applyFill="1" applyBorder="1" applyAlignment="1">
      <alignment horizontal="center"/>
    </xf>
    <xf numFmtId="0" fontId="13" fillId="4" borderId="18" xfId="0" applyFont="1" applyFill="1" applyBorder="1"/>
    <xf numFmtId="0" fontId="13" fillId="4" borderId="13" xfId="0" applyFont="1" applyFill="1" applyBorder="1"/>
    <xf numFmtId="0" fontId="13" fillId="4" borderId="12" xfId="0" applyFont="1" applyFill="1" applyBorder="1"/>
    <xf numFmtId="0" fontId="13" fillId="4" borderId="9" xfId="0" applyFont="1" applyFill="1" applyBorder="1"/>
    <xf numFmtId="0" fontId="13" fillId="4" borderId="11" xfId="0" applyFont="1" applyFill="1" applyBorder="1"/>
    <xf numFmtId="164" fontId="13" fillId="4" borderId="9" xfId="0" applyNumberFormat="1" applyFont="1" applyFill="1" applyBorder="1"/>
    <xf numFmtId="164" fontId="2" fillId="4" borderId="12" xfId="0" applyNumberFormat="1" applyFont="1" applyFill="1" applyBorder="1"/>
    <xf numFmtId="164" fontId="2" fillId="4" borderId="9" xfId="0" applyNumberFormat="1" applyFont="1" applyFill="1" applyBorder="1"/>
    <xf numFmtId="0" fontId="5" fillId="2" borderId="0" xfId="0" applyFont="1" applyFill="1"/>
    <xf numFmtId="165" fontId="13" fillId="2" borderId="15" xfId="0" applyNumberFormat="1" applyFont="1" applyFill="1" applyBorder="1"/>
    <xf numFmtId="165" fontId="13" fillId="2" borderId="36" xfId="0" applyNumberFormat="1" applyFont="1" applyFill="1" applyBorder="1"/>
    <xf numFmtId="0" fontId="13" fillId="2" borderId="37" xfId="0" applyFont="1" applyFill="1" applyBorder="1"/>
    <xf numFmtId="0" fontId="13" fillId="2" borderId="16" xfId="0" applyFont="1" applyFill="1" applyBorder="1"/>
    <xf numFmtId="169" fontId="13" fillId="2" borderId="38" xfId="0" applyNumberFormat="1" applyFont="1" applyFill="1" applyBorder="1"/>
    <xf numFmtId="164" fontId="1" fillId="2" borderId="39" xfId="0" applyNumberFormat="1" applyFont="1" applyFill="1" applyBorder="1" applyAlignment="1">
      <alignment horizontal="center"/>
    </xf>
    <xf numFmtId="0" fontId="13" fillId="2" borderId="40" xfId="0" applyFont="1" applyFill="1" applyBorder="1"/>
    <xf numFmtId="0" fontId="13" fillId="2" borderId="15" xfId="0" applyFont="1" applyFill="1" applyBorder="1"/>
    <xf numFmtId="164" fontId="13" fillId="2" borderId="15" xfId="0" applyNumberFormat="1" applyFont="1" applyFill="1" applyBorder="1"/>
    <xf numFmtId="165" fontId="13" fillId="2" borderId="1" xfId="0" applyNumberFormat="1" applyFont="1" applyFill="1" applyBorder="1"/>
    <xf numFmtId="165" fontId="13" fillId="2" borderId="5" xfId="0" applyNumberFormat="1" applyFont="1" applyFill="1" applyBorder="1"/>
    <xf numFmtId="0" fontId="13" fillId="2" borderId="10" xfId="0" applyFont="1" applyFill="1" applyBorder="1"/>
    <xf numFmtId="0" fontId="13" fillId="2" borderId="9" xfId="0" applyFont="1" applyFill="1" applyBorder="1"/>
    <xf numFmtId="169" fontId="13" fillId="2" borderId="11" xfId="0" applyNumberFormat="1" applyFont="1" applyFill="1" applyBorder="1"/>
    <xf numFmtId="164" fontId="1" fillId="2" borderId="41" xfId="0" applyNumberFormat="1" applyFont="1" applyFill="1" applyBorder="1" applyAlignment="1">
      <alignment horizontal="center"/>
    </xf>
    <xf numFmtId="0" fontId="13" fillId="2" borderId="6" xfId="0" applyFont="1" applyFill="1" applyBorder="1"/>
    <xf numFmtId="0" fontId="22" fillId="2" borderId="0" xfId="0" applyFont="1" applyFill="1"/>
    <xf numFmtId="165" fontId="13" fillId="2" borderId="1" xfId="0" applyNumberFormat="1" applyFont="1" applyFill="1" applyBorder="1" applyAlignment="1">
      <alignment horizontal="left"/>
    </xf>
    <xf numFmtId="169" fontId="13" fillId="2" borderId="42" xfId="0" applyNumberFormat="1" applyFont="1" applyFill="1" applyBorder="1"/>
    <xf numFmtId="0" fontId="13" fillId="2" borderId="33" xfId="0" applyFont="1" applyFill="1" applyBorder="1"/>
    <xf numFmtId="0" fontId="13" fillId="2" borderId="34" xfId="0" applyFont="1" applyFill="1" applyBorder="1"/>
    <xf numFmtId="169" fontId="13" fillId="2" borderId="43" xfId="0" applyNumberFormat="1" applyFont="1" applyFill="1" applyBorder="1"/>
    <xf numFmtId="164" fontId="2" fillId="2" borderId="19" xfId="0" applyNumberFormat="1" applyFont="1" applyFill="1" applyBorder="1"/>
    <xf numFmtId="0" fontId="2" fillId="2" borderId="15" xfId="0" applyFont="1" applyFill="1" applyBorder="1"/>
    <xf numFmtId="4" fontId="13" fillId="2" borderId="1" xfId="0" applyNumberFormat="1" applyFont="1" applyFill="1" applyBorder="1"/>
    <xf numFmtId="0" fontId="4" fillId="3" borderId="30" xfId="0" applyFont="1" applyFill="1" applyBorder="1" applyAlignment="1">
      <alignment horizontal="center" vertical="center" wrapText="1"/>
    </xf>
    <xf numFmtId="172" fontId="4" fillId="3" borderId="30" xfId="0" applyNumberFormat="1" applyFont="1" applyFill="1" applyBorder="1" applyAlignment="1">
      <alignment horizontal="center" vertical="center" wrapText="1"/>
    </xf>
    <xf numFmtId="165" fontId="10" fillId="2" borderId="6" xfId="0" applyNumberFormat="1" applyFont="1" applyFill="1" applyBorder="1" applyAlignment="1">
      <alignment horizontal="center"/>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164" fontId="3" fillId="2" borderId="47" xfId="0" applyNumberFormat="1" applyFont="1" applyFill="1" applyBorder="1" applyAlignment="1">
      <alignment horizontal="center"/>
    </xf>
    <xf numFmtId="164" fontId="1" fillId="2" borderId="48" xfId="0" applyNumberFormat="1" applyFont="1" applyFill="1" applyBorder="1" applyAlignment="1">
      <alignment horizontal="center"/>
    </xf>
    <xf numFmtId="164" fontId="1" fillId="2" borderId="15" xfId="0" applyNumberFormat="1" applyFont="1" applyFill="1" applyBorder="1" applyAlignment="1">
      <alignment horizontal="center"/>
    </xf>
    <xf numFmtId="164" fontId="1" fillId="2" borderId="49" xfId="0" applyNumberFormat="1" applyFont="1" applyFill="1" applyBorder="1" applyAlignment="1">
      <alignment horizontal="center"/>
    </xf>
    <xf numFmtId="0" fontId="7" fillId="2" borderId="1" xfId="0" applyFont="1" applyFill="1" applyBorder="1"/>
    <xf numFmtId="0" fontId="6" fillId="0" borderId="0" xfId="0" applyFont="1" applyAlignment="1">
      <alignment horizontal="right"/>
    </xf>
    <xf numFmtId="164" fontId="3" fillId="2" borderId="0" xfId="0" applyNumberFormat="1" applyFont="1" applyFill="1" applyAlignment="1">
      <alignment horizontal="center"/>
    </xf>
    <xf numFmtId="4" fontId="13" fillId="2" borderId="21" xfId="0" applyNumberFormat="1" applyFont="1" applyFill="1" applyBorder="1"/>
    <xf numFmtId="164" fontId="3" fillId="2" borderId="30" xfId="0" applyNumberFormat="1" applyFont="1" applyFill="1" applyBorder="1" applyAlignment="1">
      <alignment horizontal="center"/>
    </xf>
    <xf numFmtId="173" fontId="10" fillId="3" borderId="30" xfId="0" applyNumberFormat="1" applyFont="1" applyFill="1" applyBorder="1" applyAlignment="1">
      <alignment horizontal="center" vertical="center" wrapText="1"/>
    </xf>
    <xf numFmtId="4" fontId="23" fillId="2" borderId="0" xfId="0" applyNumberFormat="1" applyFont="1" applyFill="1"/>
    <xf numFmtId="164" fontId="24" fillId="2" borderId="1" xfId="0" applyNumberFormat="1" applyFont="1" applyFill="1" applyBorder="1"/>
    <xf numFmtId="0" fontId="24" fillId="2" borderId="1" xfId="0" applyFont="1" applyFill="1" applyBorder="1"/>
    <xf numFmtId="0" fontId="1" fillId="2" borderId="11" xfId="0" applyFont="1" applyFill="1" applyBorder="1"/>
    <xf numFmtId="164" fontId="1" fillId="0" borderId="50" xfId="0" applyNumberFormat="1" applyFont="1" applyBorder="1"/>
    <xf numFmtId="164" fontId="1" fillId="2" borderId="36" xfId="0" applyNumberFormat="1" applyFont="1" applyFill="1" applyBorder="1" applyAlignment="1">
      <alignment horizontal="center"/>
    </xf>
    <xf numFmtId="4" fontId="25" fillId="2" borderId="19" xfId="0" applyNumberFormat="1" applyFont="1" applyFill="1" applyBorder="1"/>
    <xf numFmtId="4" fontId="13" fillId="2" borderId="19" xfId="0" applyNumberFormat="1" applyFont="1" applyFill="1" applyBorder="1"/>
    <xf numFmtId="165" fontId="13" fillId="2" borderId="19" xfId="0" applyNumberFormat="1" applyFont="1" applyFill="1" applyBorder="1"/>
    <xf numFmtId="0" fontId="13" fillId="2" borderId="19" xfId="0" applyFont="1" applyFill="1" applyBorder="1"/>
    <xf numFmtId="0" fontId="4" fillId="16" borderId="20" xfId="0" applyFont="1" applyFill="1" applyBorder="1" applyAlignment="1">
      <alignment horizontal="center" vertical="center"/>
    </xf>
    <xf numFmtId="0" fontId="10" fillId="16" borderId="26"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4" fillId="16" borderId="54" xfId="0" applyFont="1" applyFill="1" applyBorder="1" applyAlignment="1">
      <alignment horizontal="left" vertical="center" wrapText="1"/>
    </xf>
    <xf numFmtId="173" fontId="10" fillId="3" borderId="30" xfId="0" applyNumberFormat="1" applyFont="1" applyFill="1" applyBorder="1" applyAlignment="1">
      <alignment horizontal="center"/>
    </xf>
    <xf numFmtId="0" fontId="10" fillId="3" borderId="31" xfId="0" applyFont="1" applyFill="1" applyBorder="1" applyAlignment="1">
      <alignment horizontal="center"/>
    </xf>
    <xf numFmtId="173" fontId="10" fillId="3" borderId="31" xfId="0" applyNumberFormat="1" applyFont="1" applyFill="1" applyBorder="1" applyAlignment="1">
      <alignment horizontal="center"/>
    </xf>
    <xf numFmtId="0" fontId="13" fillId="0" borderId="0" xfId="0" applyFont="1"/>
    <xf numFmtId="169" fontId="13" fillId="2" borderId="30" xfId="0" applyNumberFormat="1" applyFont="1" applyFill="1" applyBorder="1"/>
    <xf numFmtId="164" fontId="26" fillId="2" borderId="1" xfId="0" applyNumberFormat="1" applyFont="1" applyFill="1" applyBorder="1"/>
    <xf numFmtId="0" fontId="26" fillId="2" borderId="1" xfId="0" applyFont="1" applyFill="1" applyBorder="1"/>
    <xf numFmtId="10" fontId="3" fillId="2" borderId="4" xfId="0" applyNumberFormat="1" applyFon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0" fontId="5" fillId="6" borderId="56" xfId="0" applyFont="1" applyFill="1" applyBorder="1"/>
    <xf numFmtId="3" fontId="1" fillId="6" borderId="56" xfId="0" applyNumberFormat="1" applyFont="1" applyFill="1" applyBorder="1" applyAlignment="1">
      <alignment horizontal="left"/>
    </xf>
    <xf numFmtId="3" fontId="1" fillId="6" borderId="56" xfId="0" applyNumberFormat="1" applyFont="1" applyFill="1" applyBorder="1" applyAlignment="1">
      <alignment horizontal="center"/>
    </xf>
    <xf numFmtId="0" fontId="1" fillId="6" borderId="56" xfId="0" applyFont="1" applyFill="1" applyBorder="1" applyAlignment="1">
      <alignment horizontal="center"/>
    </xf>
    <xf numFmtId="165" fontId="1" fillId="6" borderId="56" xfId="0" applyNumberFormat="1" applyFont="1" applyFill="1" applyBorder="1" applyAlignment="1">
      <alignment horizontal="center"/>
    </xf>
    <xf numFmtId="0" fontId="27" fillId="2" borderId="1" xfId="0" applyFont="1" applyFill="1" applyBorder="1" applyAlignment="1">
      <alignment horizontal="right"/>
    </xf>
    <xf numFmtId="0" fontId="28" fillId="2" borderId="1" xfId="0" applyFont="1" applyFill="1" applyBorder="1"/>
    <xf numFmtId="3" fontId="28" fillId="2" borderId="1" xfId="0" applyNumberFormat="1" applyFont="1" applyFill="1" applyBorder="1" applyAlignment="1">
      <alignment horizontal="left"/>
    </xf>
    <xf numFmtId="3" fontId="28" fillId="2" borderId="1" xfId="0" applyNumberFormat="1" applyFont="1" applyFill="1" applyBorder="1" applyAlignment="1">
      <alignment horizontal="center"/>
    </xf>
    <xf numFmtId="3" fontId="28" fillId="2" borderId="0" xfId="0" applyNumberFormat="1" applyFont="1" applyFill="1"/>
    <xf numFmtId="3" fontId="28" fillId="2" borderId="0" xfId="0" applyNumberFormat="1" applyFont="1" applyFill="1" applyAlignment="1">
      <alignment horizontal="center"/>
    </xf>
    <xf numFmtId="165" fontId="28" fillId="2" borderId="0" xfId="0" applyNumberFormat="1" applyFont="1" applyFill="1" applyAlignment="1">
      <alignment horizontal="center"/>
    </xf>
    <xf numFmtId="2" fontId="28" fillId="2" borderId="0" xfId="0" applyNumberFormat="1" applyFont="1" applyFill="1" applyAlignment="1">
      <alignment horizontal="center"/>
    </xf>
    <xf numFmtId="168" fontId="28" fillId="2" borderId="0" xfId="0" applyNumberFormat="1" applyFont="1" applyFill="1" applyAlignment="1">
      <alignment horizontal="center"/>
    </xf>
    <xf numFmtId="169" fontId="28" fillId="2" borderId="0" xfId="0" applyNumberFormat="1" applyFont="1" applyFill="1" applyAlignment="1">
      <alignment horizontal="center"/>
    </xf>
    <xf numFmtId="169" fontId="29" fillId="2" borderId="0" xfId="0" applyNumberFormat="1" applyFont="1" applyFill="1" applyAlignment="1">
      <alignment horizontal="center"/>
    </xf>
    <xf numFmtId="164" fontId="29" fillId="2" borderId="0" xfId="0" applyNumberFormat="1" applyFont="1" applyFill="1" applyAlignment="1">
      <alignment horizontal="center"/>
    </xf>
    <xf numFmtId="0" fontId="28" fillId="2" borderId="32" xfId="0" applyFont="1" applyFill="1" applyBorder="1" applyAlignment="1">
      <alignment horizontal="center"/>
    </xf>
    <xf numFmtId="0" fontId="28" fillId="2" borderId="4" xfId="0" applyFont="1" applyFill="1" applyBorder="1" applyAlignment="1">
      <alignment horizontal="center"/>
    </xf>
    <xf numFmtId="164" fontId="30" fillId="2" borderId="32" xfId="0" applyNumberFormat="1" applyFont="1" applyFill="1" applyBorder="1" applyAlignment="1">
      <alignment horizontal="center"/>
    </xf>
    <xf numFmtId="0" fontId="30" fillId="2" borderId="0" xfId="0" applyFont="1" applyFill="1" applyAlignment="1">
      <alignment horizontal="center"/>
    </xf>
    <xf numFmtId="164" fontId="28" fillId="2" borderId="0" xfId="0" applyNumberFormat="1" applyFont="1" applyFill="1" applyAlignment="1">
      <alignment horizontal="center"/>
    </xf>
    <xf numFmtId="164" fontId="27" fillId="2" borderId="4" xfId="0" applyNumberFormat="1" applyFont="1" applyFill="1" applyBorder="1" applyAlignment="1">
      <alignment horizontal="center"/>
    </xf>
    <xf numFmtId="164" fontId="30" fillId="17" borderId="32" xfId="0" applyNumberFormat="1" applyFont="1" applyFill="1" applyBorder="1" applyAlignment="1">
      <alignment horizontal="center"/>
    </xf>
    <xf numFmtId="164" fontId="31" fillId="2" borderId="32" xfId="0" applyNumberFormat="1" applyFont="1" applyFill="1" applyBorder="1" applyAlignment="1">
      <alignment horizontal="center"/>
    </xf>
    <xf numFmtId="164" fontId="32" fillId="2" borderId="32" xfId="0" applyNumberFormat="1" applyFont="1" applyFill="1" applyBorder="1" applyAlignment="1">
      <alignment horizontal="center"/>
    </xf>
    <xf numFmtId="0" fontId="33" fillId="2" borderId="32" xfId="0" applyFont="1" applyFill="1" applyBorder="1" applyAlignment="1">
      <alignment horizontal="center"/>
    </xf>
    <xf numFmtId="0" fontId="32" fillId="2" borderId="32" xfId="0" applyFont="1" applyFill="1" applyBorder="1" applyAlignment="1">
      <alignment horizontal="center"/>
    </xf>
    <xf numFmtId="0" fontId="30" fillId="13" borderId="0" xfId="0" applyFont="1" applyFill="1" applyAlignment="1">
      <alignment horizontal="center"/>
    </xf>
    <xf numFmtId="0" fontId="34" fillId="2" borderId="0" xfId="0" applyFont="1" applyFill="1" applyAlignment="1">
      <alignment horizontal="left"/>
    </xf>
    <xf numFmtId="164" fontId="28" fillId="2" borderId="1" xfId="0" applyNumberFormat="1" applyFont="1" applyFill="1" applyBorder="1" applyAlignment="1">
      <alignment horizontal="center"/>
    </xf>
    <xf numFmtId="0" fontId="28" fillId="0" borderId="0" xfId="0" applyFont="1"/>
    <xf numFmtId="164" fontId="30" fillId="2" borderId="0" xfId="0" applyNumberFormat="1" applyFont="1" applyFill="1" applyAlignment="1">
      <alignment horizontal="center"/>
    </xf>
    <xf numFmtId="0" fontId="30" fillId="0" borderId="0" xfId="0" applyFont="1"/>
    <xf numFmtId="0" fontId="35" fillId="2" borderId="0" xfId="0" applyFont="1" applyFill="1"/>
    <xf numFmtId="0" fontId="35" fillId="0" borderId="0" xfId="0" applyFont="1"/>
    <xf numFmtId="0" fontId="10" fillId="2" borderId="56" xfId="0" applyFont="1" applyFill="1" applyBorder="1" applyAlignment="1">
      <alignment horizontal="center" vertical="center"/>
    </xf>
    <xf numFmtId="0" fontId="10" fillId="2" borderId="56" xfId="0" applyFont="1" applyFill="1" applyBorder="1" applyAlignment="1">
      <alignment horizontal="left" vertical="center"/>
    </xf>
    <xf numFmtId="0" fontId="10" fillId="2" borderId="0" xfId="0" applyFont="1" applyFill="1" applyAlignment="1">
      <alignment horizontal="center" vertical="center" wrapText="1"/>
    </xf>
    <xf numFmtId="164" fontId="3" fillId="2" borderId="19" xfId="0" applyNumberFormat="1" applyFont="1" applyFill="1" applyBorder="1" applyAlignment="1">
      <alignment horizontal="center"/>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xf>
    <xf numFmtId="0" fontId="10" fillId="2" borderId="55" xfId="0" applyFont="1" applyFill="1" applyBorder="1" applyAlignment="1">
      <alignment horizontal="center" vertical="center" wrapText="1"/>
    </xf>
    <xf numFmtId="0" fontId="10" fillId="2" borderId="0" xfId="0" applyFont="1" applyFill="1" applyAlignment="1">
      <alignment horizontal="left" vertical="center" wrapText="1"/>
    </xf>
    <xf numFmtId="0" fontId="6" fillId="2" borderId="0" xfId="0" applyFont="1" applyFill="1"/>
    <xf numFmtId="0" fontId="33" fillId="2" borderId="1" xfId="0" applyFont="1" applyFill="1" applyBorder="1" applyAlignment="1">
      <alignment horizontal="right"/>
    </xf>
    <xf numFmtId="0" fontId="5" fillId="2" borderId="0" xfId="0" applyFont="1" applyFill="1" applyAlignment="1">
      <alignment horizontal="right"/>
    </xf>
    <xf numFmtId="165" fontId="5" fillId="2" borderId="0" xfId="0" applyNumberFormat="1" applyFont="1" applyFill="1"/>
    <xf numFmtId="168" fontId="5" fillId="2" borderId="0" xfId="0" applyNumberFormat="1" applyFont="1" applyFill="1" applyAlignment="1">
      <alignment horizontal="center"/>
    </xf>
    <xf numFmtId="169" fontId="5" fillId="2" borderId="0" xfId="0" applyNumberFormat="1" applyFont="1" applyFill="1" applyAlignment="1">
      <alignment horizontal="center"/>
    </xf>
    <xf numFmtId="169" fontId="36" fillId="2" borderId="0" xfId="0" applyNumberFormat="1" applyFont="1" applyFill="1" applyAlignment="1">
      <alignment horizontal="center"/>
    </xf>
    <xf numFmtId="164" fontId="36" fillId="2" borderId="0" xfId="0" applyNumberFormat="1" applyFont="1" applyFill="1" applyAlignment="1">
      <alignment horizontal="center"/>
    </xf>
    <xf numFmtId="0" fontId="5" fillId="2" borderId="32" xfId="0" applyFont="1" applyFill="1" applyBorder="1" applyAlignment="1">
      <alignment horizontal="center"/>
    </xf>
    <xf numFmtId="169" fontId="5" fillId="2" borderId="17" xfId="0" applyNumberFormat="1" applyFont="1" applyFill="1" applyBorder="1" applyAlignment="1">
      <alignment horizontal="center"/>
    </xf>
    <xf numFmtId="164" fontId="5" fillId="17" borderId="32" xfId="0" applyNumberFormat="1" applyFont="1" applyFill="1" applyBorder="1" applyAlignment="1">
      <alignment horizontal="center"/>
    </xf>
    <xf numFmtId="164" fontId="37" fillId="2" borderId="32" xfId="0" applyNumberFormat="1" applyFont="1" applyFill="1" applyBorder="1" applyAlignment="1">
      <alignment horizontal="center"/>
    </xf>
    <xf numFmtId="164" fontId="36" fillId="2" borderId="32" xfId="0" applyNumberFormat="1" applyFont="1" applyFill="1" applyBorder="1" applyAlignment="1">
      <alignment horizontal="center"/>
    </xf>
    <xf numFmtId="164" fontId="5" fillId="7" borderId="0" xfId="0" applyNumberFormat="1" applyFont="1" applyFill="1" applyAlignment="1">
      <alignment horizontal="center"/>
    </xf>
    <xf numFmtId="0" fontId="38" fillId="2" borderId="0" xfId="0" applyFont="1" applyFill="1"/>
    <xf numFmtId="164" fontId="39" fillId="2" borderId="0" xfId="0" applyNumberFormat="1" applyFont="1" applyFill="1"/>
    <xf numFmtId="164" fontId="39" fillId="0" borderId="0" xfId="0" applyNumberFormat="1" applyFont="1"/>
    <xf numFmtId="0" fontId="39" fillId="0" borderId="0" xfId="0" applyFont="1"/>
    <xf numFmtId="0" fontId="39" fillId="2" borderId="0" xfId="0" applyFont="1" applyFill="1"/>
    <xf numFmtId="165" fontId="1" fillId="2" borderId="0" xfId="0" applyNumberFormat="1" applyFont="1" applyFill="1" applyAlignment="1">
      <alignment horizontal="center"/>
    </xf>
    <xf numFmtId="0" fontId="1" fillId="0" borderId="0" xfId="0" applyFont="1" applyAlignment="1">
      <alignment horizontal="right"/>
    </xf>
    <xf numFmtId="169" fontId="1" fillId="2" borderId="0" xfId="0" applyNumberFormat="1" applyFont="1" applyFill="1" applyAlignment="1">
      <alignment horizontal="center"/>
    </xf>
    <xf numFmtId="169" fontId="40" fillId="2" borderId="0" xfId="0" applyNumberFormat="1" applyFont="1" applyFill="1" applyAlignment="1">
      <alignment horizontal="center"/>
    </xf>
    <xf numFmtId="164" fontId="40" fillId="2" borderId="0" xfId="0" applyNumberFormat="1" applyFont="1" applyFill="1" applyAlignment="1">
      <alignment horizontal="center"/>
    </xf>
    <xf numFmtId="0" fontId="1" fillId="2" borderId="32" xfId="0" applyFont="1" applyFill="1" applyBorder="1" applyAlignment="1">
      <alignment horizontal="center"/>
    </xf>
    <xf numFmtId="0" fontId="9" fillId="2" borderId="0" xfId="0" applyFont="1" applyFill="1" applyAlignment="1">
      <alignment horizontal="left"/>
    </xf>
    <xf numFmtId="168" fontId="5" fillId="2" borderId="1" xfId="0" applyNumberFormat="1" applyFont="1" applyFill="1" applyBorder="1" applyAlignment="1">
      <alignment horizontal="center"/>
    </xf>
    <xf numFmtId="169" fontId="5" fillId="2" borderId="1" xfId="0" applyNumberFormat="1"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horizontal="center" vertical="center"/>
    </xf>
    <xf numFmtId="0" fontId="5" fillId="7" borderId="1" xfId="0" applyFont="1" applyFill="1" applyBorder="1" applyAlignment="1">
      <alignment horizontal="center" vertical="center"/>
    </xf>
    <xf numFmtId="0" fontId="5" fillId="2" borderId="1" xfId="0" applyFont="1" applyFill="1" applyBorder="1" applyAlignment="1">
      <alignment horizontal="center" vertical="center"/>
    </xf>
    <xf numFmtId="0" fontId="41" fillId="2" borderId="0" xfId="0" applyFont="1" applyFill="1" applyAlignment="1">
      <alignment horizontal="left"/>
    </xf>
    <xf numFmtId="0" fontId="4" fillId="4" borderId="56" xfId="0" applyFont="1" applyFill="1" applyBorder="1" applyAlignment="1">
      <alignment horizontal="center" vertical="center"/>
    </xf>
    <xf numFmtId="0" fontId="4" fillId="4" borderId="56" xfId="0" applyFont="1" applyFill="1" applyBorder="1" applyAlignment="1">
      <alignment horizontal="left"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8" xfId="0" applyFont="1" applyFill="1" applyBorder="1" applyAlignment="1">
      <alignment horizontal="center" vertical="center"/>
    </xf>
    <xf numFmtId="0" fontId="4" fillId="4" borderId="57"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0" xfId="0" applyFont="1" applyFill="1" applyAlignment="1">
      <alignment horizontal="left" vertical="center" wrapText="1"/>
    </xf>
    <xf numFmtId="0" fontId="5" fillId="18" borderId="56" xfId="0" applyFont="1" applyFill="1" applyBorder="1"/>
    <xf numFmtId="3" fontId="1" fillId="18" borderId="56" xfId="0" applyNumberFormat="1" applyFont="1" applyFill="1" applyBorder="1" applyAlignment="1">
      <alignment horizontal="left"/>
    </xf>
    <xf numFmtId="3" fontId="1" fillId="18" borderId="56" xfId="0" applyNumberFormat="1" applyFont="1" applyFill="1" applyBorder="1" applyAlignment="1">
      <alignment horizontal="center"/>
    </xf>
    <xf numFmtId="0" fontId="1" fillId="18" borderId="56" xfId="0" applyFont="1" applyFill="1" applyBorder="1" applyAlignment="1">
      <alignment horizontal="center"/>
    </xf>
    <xf numFmtId="165" fontId="1" fillId="18" borderId="56" xfId="0" applyNumberFormat="1" applyFont="1" applyFill="1" applyBorder="1" applyAlignment="1">
      <alignment horizontal="center"/>
    </xf>
    <xf numFmtId="165" fontId="1" fillId="2" borderId="5" xfId="0" applyNumberFormat="1" applyFont="1" applyFill="1" applyBorder="1" applyAlignment="1">
      <alignment horizontal="center"/>
    </xf>
    <xf numFmtId="0" fontId="1" fillId="2" borderId="4" xfId="0" applyFont="1" applyFill="1" applyBorder="1"/>
    <xf numFmtId="0" fontId="1" fillId="2" borderId="0" xfId="0" applyFont="1" applyFill="1" applyAlignment="1">
      <alignment horizontal="right"/>
    </xf>
    <xf numFmtId="3" fontId="1" fillId="2" borderId="0" xfId="0" applyNumberFormat="1" applyFont="1" applyFill="1"/>
    <xf numFmtId="3" fontId="1" fillId="2" borderId="0" xfId="0" applyNumberFormat="1" applyFont="1" applyFill="1" applyAlignment="1">
      <alignment horizontal="center"/>
    </xf>
    <xf numFmtId="165" fontId="1" fillId="2" borderId="32" xfId="0" applyNumberFormat="1" applyFont="1" applyFill="1" applyBorder="1" applyAlignment="1">
      <alignment horizontal="center"/>
    </xf>
    <xf numFmtId="0" fontId="1" fillId="2" borderId="17" xfId="0" applyFont="1" applyFill="1" applyBorder="1" applyAlignment="1">
      <alignment horizontal="right"/>
    </xf>
    <xf numFmtId="2" fontId="1" fillId="2" borderId="0" xfId="0" applyNumberFormat="1" applyFont="1" applyFill="1" applyAlignment="1">
      <alignment horizontal="center"/>
    </xf>
    <xf numFmtId="168" fontId="1" fillId="2" borderId="0" xfId="0" applyNumberFormat="1" applyFont="1" applyFill="1" applyAlignment="1">
      <alignment horizontal="center"/>
    </xf>
    <xf numFmtId="169" fontId="19" fillId="2" borderId="0" xfId="0" applyNumberFormat="1" applyFont="1" applyFill="1"/>
    <xf numFmtId="0" fontId="19" fillId="7" borderId="0" xfId="0" applyFont="1" applyFill="1"/>
    <xf numFmtId="0" fontId="19" fillId="19" borderId="59" xfId="0" applyFont="1" applyFill="1" applyBorder="1"/>
    <xf numFmtId="0" fontId="19" fillId="2" borderId="0" xfId="0" applyFont="1" applyFill="1" applyAlignment="1">
      <alignment horizontal="right"/>
    </xf>
    <xf numFmtId="0" fontId="19" fillId="0" borderId="0" xfId="0" applyFont="1" applyAlignment="1">
      <alignment horizontal="right"/>
    </xf>
    <xf numFmtId="165" fontId="5" fillId="2" borderId="5" xfId="0" applyNumberFormat="1" applyFont="1" applyFill="1" applyBorder="1" applyAlignment="1">
      <alignment horizontal="center"/>
    </xf>
    <xf numFmtId="0" fontId="5" fillId="2" borderId="4" xfId="0" applyFont="1" applyFill="1" applyBorder="1"/>
    <xf numFmtId="169" fontId="5" fillId="2" borderId="5" xfId="0" applyNumberFormat="1" applyFont="1" applyFill="1" applyBorder="1" applyAlignment="1">
      <alignment horizontal="center"/>
    </xf>
    <xf numFmtId="0" fontId="2" fillId="20" borderId="9" xfId="0" applyFont="1" applyFill="1" applyBorder="1"/>
    <xf numFmtId="4" fontId="2" fillId="20" borderId="9" xfId="0" applyNumberFormat="1" applyFont="1" applyFill="1" applyBorder="1" applyAlignment="1">
      <alignment horizontal="left"/>
    </xf>
    <xf numFmtId="4" fontId="2" fillId="20" borderId="9" xfId="0" applyNumberFormat="1" applyFont="1" applyFill="1" applyBorder="1"/>
    <xf numFmtId="165" fontId="2" fillId="20" borderId="9" xfId="0" applyNumberFormat="1" applyFont="1" applyFill="1" applyBorder="1" applyAlignment="1">
      <alignment horizontal="center"/>
    </xf>
    <xf numFmtId="165" fontId="1" fillId="20" borderId="9" xfId="0" applyNumberFormat="1" applyFont="1" applyFill="1" applyBorder="1" applyAlignment="1">
      <alignment horizontal="center"/>
    </xf>
    <xf numFmtId="0" fontId="2" fillId="20" borderId="10" xfId="0" applyFont="1" applyFill="1" applyBorder="1"/>
    <xf numFmtId="0" fontId="2" fillId="20" borderId="11" xfId="0" applyFont="1" applyFill="1" applyBorder="1"/>
    <xf numFmtId="164" fontId="2" fillId="20" borderId="11" xfId="0" applyNumberFormat="1" applyFont="1" applyFill="1" applyBorder="1"/>
    <xf numFmtId="164" fontId="2" fillId="20" borderId="10" xfId="0" applyNumberFormat="1" applyFont="1" applyFill="1" applyBorder="1"/>
    <xf numFmtId="164" fontId="2" fillId="20" borderId="9" xfId="0" applyNumberFormat="1" applyFont="1" applyFill="1" applyBorder="1"/>
    <xf numFmtId="0" fontId="1" fillId="20" borderId="10" xfId="0" applyFont="1" applyFill="1" applyBorder="1" applyAlignment="1">
      <alignment horizontal="center"/>
    </xf>
    <xf numFmtId="0" fontId="1" fillId="20" borderId="9" xfId="0" applyFont="1" applyFill="1" applyBorder="1" applyAlignment="1">
      <alignment horizontal="center"/>
    </xf>
    <xf numFmtId="0" fontId="13" fillId="2" borderId="60" xfId="0" applyFont="1" applyFill="1" applyBorder="1"/>
    <xf numFmtId="0" fontId="13" fillId="2" borderId="61" xfId="0" applyFont="1" applyFill="1" applyBorder="1"/>
    <xf numFmtId="169" fontId="13" fillId="2" borderId="62" xfId="0" applyNumberFormat="1" applyFont="1" applyFill="1" applyBorder="1"/>
    <xf numFmtId="169" fontId="1" fillId="2" borderId="62" xfId="0" applyNumberFormat="1" applyFont="1" applyFill="1" applyBorder="1" applyAlignment="1">
      <alignment horizontal="center"/>
    </xf>
    <xf numFmtId="164" fontId="3" fillId="2" borderId="9" xfId="0" applyNumberFormat="1" applyFont="1" applyFill="1" applyBorder="1" applyAlignment="1">
      <alignment horizontal="center"/>
    </xf>
    <xf numFmtId="168" fontId="1" fillId="2" borderId="23" xfId="0" applyNumberFormat="1" applyFont="1" applyFill="1" applyBorder="1" applyAlignment="1">
      <alignment horizontal="center"/>
    </xf>
    <xf numFmtId="0" fontId="13" fillId="2" borderId="0" xfId="0" applyFont="1" applyFill="1"/>
    <xf numFmtId="0" fontId="42" fillId="2" borderId="1" xfId="0" applyFont="1" applyFill="1" applyBorder="1"/>
    <xf numFmtId="164" fontId="13" fillId="2" borderId="0" xfId="0" applyNumberFormat="1" applyFont="1" applyFill="1"/>
    <xf numFmtId="0" fontId="7" fillId="2" borderId="61" xfId="0" applyFont="1" applyFill="1" applyBorder="1"/>
    <xf numFmtId="164" fontId="13" fillId="2" borderId="19" xfId="0" applyNumberFormat="1" applyFont="1" applyFill="1" applyBorder="1"/>
    <xf numFmtId="164" fontId="13" fillId="2" borderId="6" xfId="0" applyNumberFormat="1" applyFont="1" applyFill="1" applyBorder="1"/>
    <xf numFmtId="0" fontId="43" fillId="3" borderId="2" xfId="0" applyFont="1" applyFill="1" applyBorder="1"/>
    <xf numFmtId="0" fontId="44" fillId="2" borderId="9" xfId="0" applyFont="1" applyFill="1" applyBorder="1" applyAlignment="1">
      <alignment horizontal="center"/>
    </xf>
    <xf numFmtId="0" fontId="45" fillId="2" borderId="1" xfId="0" applyFont="1" applyFill="1" applyBorder="1" applyAlignment="1">
      <alignment horizontal="center"/>
    </xf>
    <xf numFmtId="0" fontId="11" fillId="0" borderId="0" xfId="0" applyFont="1"/>
    <xf numFmtId="0" fontId="4" fillId="3" borderId="26" xfId="0" applyFont="1" applyFill="1" applyBorder="1" applyAlignment="1">
      <alignment horizontal="center"/>
    </xf>
    <xf numFmtId="0" fontId="4" fillId="3" borderId="27" xfId="0" applyFont="1" applyFill="1" applyBorder="1" applyAlignment="1">
      <alignment horizontal="center"/>
    </xf>
    <xf numFmtId="0" fontId="3" fillId="2" borderId="3" xfId="0" applyFont="1" applyFill="1" applyBorder="1"/>
    <xf numFmtId="0" fontId="3" fillId="2" borderId="37" xfId="0" applyFont="1" applyFill="1" applyBorder="1"/>
    <xf numFmtId="164" fontId="1" fillId="5" borderId="16" xfId="0" applyNumberFormat="1" applyFont="1" applyFill="1" applyBorder="1" applyAlignment="1">
      <alignment horizontal="center"/>
    </xf>
    <xf numFmtId="164" fontId="1" fillId="5" borderId="42" xfId="0" applyNumberFormat="1" applyFont="1" applyFill="1" applyBorder="1" applyAlignment="1">
      <alignment horizontal="center"/>
    </xf>
    <xf numFmtId="0" fontId="4" fillId="3" borderId="2" xfId="0" applyFont="1" applyFill="1" applyBorder="1" applyAlignment="1">
      <alignment horizontal="right"/>
    </xf>
    <xf numFmtId="10" fontId="3" fillId="2" borderId="1" xfId="0" applyNumberFormat="1" applyFont="1" applyFill="1" applyBorder="1" applyAlignment="1">
      <alignment horizontal="right"/>
    </xf>
    <xf numFmtId="0" fontId="3" fillId="2" borderId="10" xfId="0" applyFont="1" applyFill="1" applyBorder="1"/>
    <xf numFmtId="164" fontId="1" fillId="5" borderId="63" xfId="0" applyNumberFormat="1" applyFont="1" applyFill="1" applyBorder="1" applyAlignment="1">
      <alignment horizontal="center"/>
    </xf>
    <xf numFmtId="0" fontId="46" fillId="3" borderId="3" xfId="0" applyFont="1" applyFill="1" applyBorder="1"/>
    <xf numFmtId="0" fontId="3" fillId="2" borderId="6" xfId="0" applyFont="1" applyFill="1" applyBorder="1"/>
    <xf numFmtId="0" fontId="7" fillId="2" borderId="1" xfId="0" applyFont="1" applyFill="1" applyBorder="1" applyAlignment="1">
      <alignment horizontal="center"/>
    </xf>
    <xf numFmtId="0" fontId="3" fillId="2" borderId="2" xfId="0" applyFont="1" applyFill="1" applyBorder="1"/>
    <xf numFmtId="0" fontId="4" fillId="3" borderId="64" xfId="0" applyFont="1" applyFill="1" applyBorder="1" applyAlignment="1">
      <alignment horizontal="right"/>
    </xf>
    <xf numFmtId="0" fontId="47" fillId="3" borderId="2" xfId="0" applyFont="1" applyFill="1" applyBorder="1"/>
    <xf numFmtId="0" fontId="7" fillId="2" borderId="16" xfId="0" applyFont="1" applyFill="1" applyBorder="1" applyAlignment="1">
      <alignment horizontal="center"/>
    </xf>
    <xf numFmtId="0" fontId="7" fillId="2" borderId="42" xfId="0" applyFont="1" applyFill="1" applyBorder="1" applyAlignment="1">
      <alignment horizontal="center"/>
    </xf>
    <xf numFmtId="0" fontId="7" fillId="2" borderId="4" xfId="0" applyFont="1" applyFill="1" applyBorder="1" applyAlignment="1">
      <alignment horizontal="left"/>
    </xf>
    <xf numFmtId="0" fontId="3" fillId="2" borderId="65" xfId="0" applyFont="1" applyFill="1" applyBorder="1"/>
    <xf numFmtId="0" fontId="7" fillId="2" borderId="9" xfId="0" applyFont="1" applyFill="1" applyBorder="1" applyAlignment="1">
      <alignment horizontal="center"/>
    </xf>
    <xf numFmtId="0" fontId="7" fillId="2" borderId="63" xfId="0" applyFont="1" applyFill="1" applyBorder="1" applyAlignment="1">
      <alignment horizontal="center"/>
    </xf>
    <xf numFmtId="0" fontId="7" fillId="2" borderId="30" xfId="0" applyFont="1" applyFill="1" applyBorder="1" applyAlignment="1">
      <alignment horizontal="left"/>
    </xf>
    <xf numFmtId="0" fontId="3" fillId="5" borderId="3" xfId="0" applyFont="1" applyFill="1" applyBorder="1"/>
    <xf numFmtId="0" fontId="3" fillId="5" borderId="37" xfId="0" applyFont="1" applyFill="1" applyBorder="1"/>
    <xf numFmtId="9" fontId="7" fillId="5" borderId="16" xfId="0" applyNumberFormat="1" applyFont="1" applyFill="1" applyBorder="1" applyAlignment="1">
      <alignment horizontal="center"/>
    </xf>
    <xf numFmtId="9" fontId="7" fillId="5" borderId="42" xfId="0" applyNumberFormat="1" applyFont="1" applyFill="1" applyBorder="1" applyAlignment="1">
      <alignment horizontal="center"/>
    </xf>
    <xf numFmtId="9" fontId="7" fillId="5" borderId="4" xfId="0" applyNumberFormat="1" applyFont="1" applyFill="1" applyBorder="1" applyAlignment="1">
      <alignment horizontal="left"/>
    </xf>
    <xf numFmtId="9" fontId="7" fillId="5" borderId="9" xfId="0" applyNumberFormat="1" applyFont="1" applyFill="1" applyBorder="1" applyAlignment="1">
      <alignment horizontal="center"/>
    </xf>
    <xf numFmtId="9" fontId="7" fillId="5" borderId="63" xfId="0" applyNumberFormat="1" applyFont="1" applyFill="1" applyBorder="1" applyAlignment="1">
      <alignment horizontal="center"/>
    </xf>
    <xf numFmtId="0" fontId="3" fillId="5" borderId="1" xfId="0" applyFont="1" applyFill="1" applyBorder="1"/>
    <xf numFmtId="9" fontId="7" fillId="5" borderId="1" xfId="0" applyNumberFormat="1" applyFont="1" applyFill="1" applyBorder="1" applyAlignment="1">
      <alignment horizontal="center"/>
    </xf>
    <xf numFmtId="0" fontId="4" fillId="16" borderId="55" xfId="0" applyFont="1" applyFill="1" applyBorder="1" applyAlignment="1">
      <alignment horizontal="left" vertical="center" wrapText="1"/>
    </xf>
    <xf numFmtId="0" fontId="4" fillId="16" borderId="40" xfId="0" applyFont="1" applyFill="1" applyBorder="1" applyAlignment="1">
      <alignment horizontal="left" vertical="center" wrapText="1"/>
    </xf>
    <xf numFmtId="0" fontId="1" fillId="0" borderId="17" xfId="0" applyFont="1" applyBorder="1"/>
    <xf numFmtId="0" fontId="28" fillId="2" borderId="1" xfId="0" applyFont="1" applyFill="1" applyBorder="1" applyAlignment="1">
      <alignment horizontal="center"/>
    </xf>
    <xf numFmtId="165" fontId="28" fillId="2" borderId="1" xfId="0" applyNumberFormat="1" applyFont="1" applyFill="1" applyBorder="1" applyAlignment="1">
      <alignment horizontal="center"/>
    </xf>
    <xf numFmtId="0" fontId="28" fillId="2" borderId="4" xfId="0" applyFont="1" applyFill="1" applyBorder="1" applyAlignment="1">
      <alignment horizontal="right"/>
    </xf>
    <xf numFmtId="2" fontId="28" fillId="2" borderId="1" xfId="0" applyNumberFormat="1" applyFont="1" applyFill="1" applyBorder="1" applyAlignment="1">
      <alignment horizontal="center"/>
    </xf>
    <xf numFmtId="168" fontId="28" fillId="2" borderId="1" xfId="0" applyNumberFormat="1" applyFont="1" applyFill="1" applyBorder="1" applyAlignment="1">
      <alignment horizontal="center"/>
    </xf>
    <xf numFmtId="169" fontId="28" fillId="2" borderId="1" xfId="0" applyNumberFormat="1" applyFont="1" applyFill="1" applyBorder="1" applyAlignment="1">
      <alignment horizontal="center"/>
    </xf>
    <xf numFmtId="169" fontId="28" fillId="2" borderId="5" xfId="0" applyNumberFormat="1" applyFont="1" applyFill="1" applyBorder="1" applyAlignment="1">
      <alignment horizontal="center"/>
    </xf>
    <xf numFmtId="164" fontId="27" fillId="2" borderId="1" xfId="0" applyNumberFormat="1" applyFont="1" applyFill="1" applyBorder="1" applyAlignment="1">
      <alignment horizontal="center"/>
    </xf>
    <xf numFmtId="165" fontId="1" fillId="2" borderId="0" xfId="0" applyNumberFormat="1" applyFont="1" applyFill="1"/>
    <xf numFmtId="0" fontId="13" fillId="2" borderId="66" xfId="0" applyFont="1" applyFill="1" applyBorder="1"/>
    <xf numFmtId="0" fontId="13" fillId="2" borderId="56" xfId="0" applyFont="1" applyFill="1" applyBorder="1"/>
    <xf numFmtId="169" fontId="13" fillId="2" borderId="57" xfId="0" applyNumberFormat="1" applyFont="1" applyFill="1" applyBorder="1"/>
    <xf numFmtId="169" fontId="1" fillId="2" borderId="57" xfId="0" applyNumberFormat="1" applyFont="1" applyFill="1" applyBorder="1" applyAlignment="1">
      <alignment horizontal="center"/>
    </xf>
    <xf numFmtId="164" fontId="3" fillId="2" borderId="34" xfId="0" applyNumberFormat="1" applyFont="1" applyFill="1" applyBorder="1" applyAlignment="1">
      <alignment horizontal="center"/>
    </xf>
    <xf numFmtId="165" fontId="1" fillId="21" borderId="1" xfId="0" applyNumberFormat="1" applyFont="1" applyFill="1" applyBorder="1" applyAlignment="1">
      <alignment horizontal="center"/>
    </xf>
    <xf numFmtId="165" fontId="1" fillId="7" borderId="1" xfId="0" applyNumberFormat="1" applyFont="1" applyFill="1" applyBorder="1" applyAlignment="1">
      <alignment horizontal="center"/>
    </xf>
    <xf numFmtId="165" fontId="1" fillId="22" borderId="1" xfId="0" applyNumberFormat="1" applyFont="1" applyFill="1" applyBorder="1" applyAlignment="1">
      <alignment horizontal="center"/>
    </xf>
    <xf numFmtId="10" fontId="1" fillId="2" borderId="1" xfId="0" applyNumberFormat="1" applyFont="1" applyFill="1" applyBorder="1" applyAlignment="1">
      <alignment horizontal="center"/>
    </xf>
    <xf numFmtId="0" fontId="5" fillId="2" borderId="56" xfId="0" applyFont="1" applyFill="1" applyBorder="1"/>
    <xf numFmtId="3" fontId="1" fillId="2" borderId="56" xfId="0" applyNumberFormat="1" applyFont="1" applyFill="1" applyBorder="1" applyAlignment="1">
      <alignment horizontal="left"/>
    </xf>
    <xf numFmtId="3" fontId="1" fillId="2" borderId="56" xfId="0" applyNumberFormat="1" applyFont="1" applyFill="1" applyBorder="1" applyAlignment="1">
      <alignment horizontal="center"/>
    </xf>
    <xf numFmtId="0" fontId="1" fillId="2" borderId="56" xfId="0" applyFont="1" applyFill="1" applyBorder="1" applyAlignment="1">
      <alignment horizontal="center"/>
    </xf>
    <xf numFmtId="165" fontId="1" fillId="2" borderId="57" xfId="0" applyNumberFormat="1" applyFont="1" applyFill="1" applyBorder="1" applyAlignment="1">
      <alignment horizontal="center"/>
    </xf>
    <xf numFmtId="165" fontId="1" fillId="2" borderId="58" xfId="0" applyNumberFormat="1" applyFont="1" applyFill="1" applyBorder="1" applyAlignment="1">
      <alignment horizontal="center"/>
    </xf>
    <xf numFmtId="165" fontId="1" fillId="2" borderId="56" xfId="0" applyNumberFormat="1" applyFont="1" applyFill="1" applyBorder="1" applyAlignment="1">
      <alignment horizontal="center"/>
    </xf>
    <xf numFmtId="164" fontId="7" fillId="2" borderId="5" xfId="0" applyNumberFormat="1" applyFont="1" applyFill="1" applyBorder="1" applyAlignment="1">
      <alignment horizontal="center"/>
    </xf>
    <xf numFmtId="0" fontId="14" fillId="2" borderId="0" xfId="0" applyFont="1" applyFill="1"/>
    <xf numFmtId="0" fontId="4" fillId="2" borderId="56" xfId="0" applyFont="1" applyFill="1" applyBorder="1" applyAlignment="1">
      <alignment horizontal="center" vertical="center"/>
    </xf>
    <xf numFmtId="0" fontId="4" fillId="2" borderId="56" xfId="0" applyFont="1" applyFill="1" applyBorder="1" applyAlignment="1">
      <alignment horizontal="left" vertical="center"/>
    </xf>
    <xf numFmtId="0" fontId="4" fillId="2" borderId="0" xfId="0" applyFont="1" applyFill="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xf>
    <xf numFmtId="0" fontId="4" fillId="4" borderId="0" xfId="0" applyFont="1" applyFill="1" applyAlignment="1">
      <alignment horizontal="center" vertical="center" wrapText="1"/>
    </xf>
    <xf numFmtId="164" fontId="1" fillId="23" borderId="0" xfId="0" applyNumberFormat="1" applyFont="1" applyFill="1" applyAlignment="1">
      <alignment horizontal="center"/>
    </xf>
    <xf numFmtId="164" fontId="1" fillId="24" borderId="32" xfId="0" applyNumberFormat="1" applyFont="1" applyFill="1" applyBorder="1" applyAlignment="1">
      <alignment horizontal="center"/>
    </xf>
    <xf numFmtId="0" fontId="7" fillId="6" borderId="21" xfId="0" applyFont="1" applyFill="1" applyBorder="1" applyAlignment="1">
      <alignment horizontal="center" wrapText="1"/>
    </xf>
    <xf numFmtId="0" fontId="8" fillId="0" borderId="22" xfId="0" applyFont="1" applyBorder="1"/>
    <xf numFmtId="0" fontId="8" fillId="0" borderId="23" xfId="0" applyFont="1" applyBorder="1"/>
    <xf numFmtId="0" fontId="7" fillId="6" borderId="22" xfId="0" applyFont="1" applyFill="1" applyBorder="1" applyAlignment="1">
      <alignment horizontal="center" wrapText="1"/>
    </xf>
    <xf numFmtId="0" fontId="7" fillId="6" borderId="24" xfId="0" applyFont="1" applyFill="1" applyBorder="1" applyAlignment="1">
      <alignment horizontal="center" wrapText="1"/>
    </xf>
    <xf numFmtId="0" fontId="8" fillId="0" borderId="24" xfId="0" applyFont="1" applyBorder="1"/>
    <xf numFmtId="0" fontId="8" fillId="0" borderId="25" xfId="0" applyFont="1" applyBorder="1"/>
    <xf numFmtId="0" fontId="5" fillId="6" borderId="51" xfId="0" applyFont="1" applyFill="1" applyBorder="1" applyAlignment="1">
      <alignment horizontal="center" wrapText="1"/>
    </xf>
    <xf numFmtId="0" fontId="8" fillId="0" borderId="52" xfId="0" applyFont="1" applyBorder="1"/>
    <xf numFmtId="0" fontId="8" fillId="0" borderId="53" xfId="0" applyFont="1" applyBorder="1"/>
    <xf numFmtId="0" fontId="4" fillId="16" borderId="54" xfId="0" applyFont="1" applyFill="1" applyBorder="1" applyAlignment="1">
      <alignment horizontal="left" vertical="center" wrapText="1"/>
    </xf>
    <xf numFmtId="0" fontId="8" fillId="0" borderId="55" xfId="0" applyFont="1" applyBorder="1"/>
    <xf numFmtId="0" fontId="8" fillId="0" borderId="40" xfId="0" applyFont="1" applyBorder="1"/>
    <xf numFmtId="0" fontId="7" fillId="6" borderId="67" xfId="0" applyFont="1" applyFill="1" applyBorder="1" applyAlignment="1">
      <alignment horizontal="center" wrapText="1"/>
    </xf>
    <xf numFmtId="0" fontId="8" fillId="0" borderId="68" xfId="0" applyFont="1" applyBorder="1"/>
    <xf numFmtId="0" fontId="8" fillId="0" borderId="69" xfId="0" applyFont="1" applyBorder="1"/>
    <xf numFmtId="0" fontId="49" fillId="9" borderId="30" xfId="0" applyFont="1" applyFill="1" applyBorder="1" applyAlignment="1">
      <alignment horizontal="left" vertical="center" wrapText="1"/>
    </xf>
    <xf numFmtId="0" fontId="52" fillId="2" borderId="0" xfId="0" applyFont="1" applyFill="1" applyAlignment="1">
      <alignment horizontal="left"/>
    </xf>
    <xf numFmtId="0" fontId="53" fillId="2" borderId="0" xfId="0" applyFont="1" applyFill="1" applyAlignment="1">
      <alignment horizontal="left"/>
    </xf>
    <xf numFmtId="0" fontId="51" fillId="7" borderId="1" xfId="0" applyFont="1" applyFill="1" applyBorder="1" applyAlignment="1">
      <alignment horizontal="center" vertical="center"/>
    </xf>
    <xf numFmtId="0" fontId="50" fillId="7" borderId="1" xfId="0" applyFont="1" applyFill="1" applyBorder="1" applyAlignment="1">
      <alignment horizontal="center" vertical="center"/>
    </xf>
    <xf numFmtId="165" fontId="48" fillId="2" borderId="1" xfId="0" applyNumberFormat="1" applyFont="1" applyFill="1" applyBorder="1"/>
  </cellXfs>
  <cellStyles count="1">
    <cellStyle name="Normal" xfId="0" builtinId="0"/>
  </cellStyles>
  <dxfs count="109">
    <dxf>
      <font>
        <color rgb="FFFF0000"/>
      </font>
      <fill>
        <patternFill patternType="solid">
          <fgColor rgb="FFFFFFFF"/>
          <bgColor rgb="FFFFFFFF"/>
        </patternFill>
      </fill>
    </dxf>
    <dxf>
      <font>
        <color rgb="FF0B8043"/>
      </font>
      <fill>
        <patternFill patternType="solid">
          <fgColor rgb="FFFFFFFF"/>
          <bgColor rgb="FFFFFFFF"/>
        </patternFill>
      </fill>
    </dxf>
    <dxf>
      <font>
        <color rgb="FFC53929"/>
      </font>
      <fill>
        <patternFill patternType="none"/>
      </fill>
    </dxf>
    <dxf>
      <font>
        <color rgb="FF0B8043"/>
      </font>
      <fill>
        <patternFill patternType="none"/>
      </fill>
    </dxf>
    <dxf>
      <fill>
        <patternFill patternType="solid">
          <fgColor rgb="FFFFF2CC"/>
          <bgColor rgb="FFFFF2CC"/>
        </patternFill>
      </fill>
    </dxf>
    <dxf>
      <fill>
        <patternFill patternType="solid">
          <fgColor rgb="FFF8DBD9"/>
          <bgColor rgb="FFF8DBD9"/>
        </patternFill>
      </fill>
    </dxf>
    <dxf>
      <fill>
        <patternFill patternType="solid">
          <fgColor rgb="FFB7E1CD"/>
          <bgColor rgb="FFB7E1CD"/>
        </patternFill>
      </fill>
    </dxf>
    <dxf>
      <font>
        <color rgb="FF000000"/>
      </font>
      <fill>
        <patternFill patternType="solid">
          <fgColor rgb="FFFCE8B2"/>
          <bgColor rgb="FFFCE8B2"/>
        </patternFill>
      </fill>
    </dxf>
    <dxf>
      <fill>
        <patternFill patternType="solid">
          <fgColor rgb="FFBF9000"/>
          <bgColor rgb="FFBF9000"/>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b/>
        <color rgb="FF0B8043"/>
      </font>
      <fill>
        <patternFill patternType="none"/>
      </fill>
    </dxf>
    <dxf>
      <font>
        <b/>
        <color rgb="FFC53929"/>
      </font>
      <fill>
        <patternFill patternType="none"/>
      </fill>
    </dxf>
    <dxf>
      <font>
        <b/>
        <color rgb="FFC53929"/>
      </font>
      <fill>
        <patternFill patternType="none"/>
      </fill>
    </dxf>
    <dxf>
      <font>
        <b/>
        <color rgb="FF0B8043"/>
      </font>
      <fill>
        <patternFill patternType="none"/>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F9000"/>
          <bgColor rgb="FFBF9000"/>
        </patternFill>
      </fill>
    </dxf>
    <dxf>
      <font>
        <color rgb="FF000000"/>
      </font>
      <fill>
        <patternFill patternType="solid">
          <fgColor rgb="FFFCE8B2"/>
          <bgColor rgb="FFFCE8B2"/>
        </patternFill>
      </fill>
    </dxf>
    <dxf>
      <font>
        <color rgb="FF000000"/>
      </font>
      <fill>
        <patternFill patternType="solid">
          <fgColor rgb="FFA64D79"/>
          <bgColor rgb="FFA64D79"/>
        </patternFill>
      </fill>
    </dxf>
    <dxf>
      <font>
        <color rgb="FF000000"/>
      </font>
      <fill>
        <patternFill patternType="solid">
          <fgColor rgb="FF9FC5E8"/>
          <bgColor rgb="FF9FC5E8"/>
        </patternFill>
      </fill>
    </dxf>
    <dxf>
      <font>
        <color rgb="FF000000"/>
      </font>
      <fill>
        <patternFill patternType="solid">
          <fgColor rgb="FFCCCCCC"/>
          <bgColor rgb="FFCCCCCC"/>
        </patternFill>
      </fill>
    </dxf>
    <dxf>
      <font>
        <color rgb="FF000000"/>
      </font>
      <fill>
        <patternFill patternType="solid">
          <fgColor rgb="FFFCE8B2"/>
          <bgColor rgb="FFFCE8B2"/>
        </patternFill>
      </fill>
    </dxf>
    <dxf>
      <font>
        <color rgb="FF000000"/>
      </font>
      <fill>
        <patternFill patternType="solid">
          <fgColor rgb="FFCFE2F3"/>
          <bgColor rgb="FFCFE2F3"/>
        </patternFill>
      </fill>
    </dxf>
    <dxf>
      <font>
        <color rgb="FF000000"/>
      </font>
      <fill>
        <patternFill patternType="solid">
          <fgColor rgb="FF93C47D"/>
          <bgColor rgb="FF93C47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1">
    <tableStyle name="ETFs-style" pivot="0" count="2" xr9:uid="{00000000-0011-0000-FFFF-FFFF00000000}">
      <tableStyleElement type="firstRowStripe" dxfId="108"/>
      <tableStyleElement type="secondRowStripe" dxfId="107"/>
    </tableStyle>
    <tableStyle name="ETFs-style 2" pivot="0" count="2" xr9:uid="{00000000-0011-0000-FFFF-FFFF01000000}">
      <tableStyleElement type="firstRowStripe" dxfId="106"/>
      <tableStyleElement type="secondRowStripe" dxfId="105"/>
    </tableStyle>
    <tableStyle name="ETFs-style 3" pivot="0" count="2" xr9:uid="{00000000-0011-0000-FFFF-FFFF02000000}">
      <tableStyleElement type="firstRowStripe" dxfId="104"/>
      <tableStyleElement type="secondRowStripe" dxfId="103"/>
    </tableStyle>
    <tableStyle name="ETFs-style 4" pivot="0" count="3" xr9:uid="{00000000-0011-0000-FFFF-FFFF03000000}">
      <tableStyleElement type="headerRow" dxfId="102"/>
      <tableStyleElement type="firstRowStripe" dxfId="101"/>
      <tableStyleElement type="secondRowStripe" dxfId="100"/>
    </tableStyle>
    <tableStyle name="ETFs-style 5" pivot="0" count="2" xr9:uid="{00000000-0011-0000-FFFF-FFFF04000000}">
      <tableStyleElement type="firstRowStripe" dxfId="99"/>
      <tableStyleElement type="secondRowStripe" dxfId="98"/>
    </tableStyle>
    <tableStyle name="ETFs-style 6" pivot="0" count="2" xr9:uid="{00000000-0011-0000-FFFF-FFFF05000000}">
      <tableStyleElement type="firstRowStripe" dxfId="97"/>
      <tableStyleElement type="secondRowStripe" dxfId="96"/>
    </tableStyle>
    <tableStyle name="ETFs-style 7" pivot="0" count="2" xr9:uid="{00000000-0011-0000-FFFF-FFFF06000000}">
      <tableStyleElement type="firstRowStripe" dxfId="95"/>
      <tableStyleElement type="secondRowStripe" dxfId="94"/>
    </tableStyle>
    <tableStyle name="ETFs-style 8" pivot="0" count="2" xr9:uid="{00000000-0011-0000-FFFF-FFFF07000000}">
      <tableStyleElement type="firstRowStripe" dxfId="93"/>
      <tableStyleElement type="secondRowStripe" dxfId="92"/>
    </tableStyle>
    <tableStyle name="ETFs-style 9" pivot="0" count="2" xr9:uid="{00000000-0011-0000-FFFF-FFFF08000000}">
      <tableStyleElement type="firstRowStripe" dxfId="91"/>
      <tableStyleElement type="secondRowStripe" dxfId="90"/>
    </tableStyle>
    <tableStyle name="ETFs-style 10" pivot="0" count="2" xr9:uid="{00000000-0011-0000-FFFF-FFFF09000000}">
      <tableStyleElement type="firstRowStripe" dxfId="89"/>
      <tableStyleElement type="secondRowStripe" dxfId="88"/>
    </tableStyle>
    <tableStyle name="ETFs-style 11" pivot="0" count="2" xr9:uid="{00000000-0011-0000-FFFF-FFFF0A000000}">
      <tableStyleElement type="firstRowStripe" dxfId="87"/>
      <tableStyleElement type="secondRowStripe" dxfId="86"/>
    </tableStyle>
    <tableStyle name="ETFs-style 12" pivot="0" count="2" xr9:uid="{00000000-0011-0000-FFFF-FFFF0B000000}">
      <tableStyleElement type="firstRowStripe" dxfId="85"/>
      <tableStyleElement type="secondRowStripe" dxfId="84"/>
    </tableStyle>
    <tableStyle name="ETF resumido-style" pivot="0" count="2" xr9:uid="{00000000-0011-0000-FFFF-FFFF0C000000}">
      <tableStyleElement type="firstRowStripe" dxfId="83"/>
      <tableStyleElement type="secondRowStripe" dxfId="82"/>
    </tableStyle>
    <tableStyle name="ETF resumido-style 2" pivot="0" count="2" xr9:uid="{00000000-0011-0000-FFFF-FFFF0D000000}">
      <tableStyleElement type="firstRowStripe" dxfId="81"/>
      <tableStyleElement type="secondRowStripe" dxfId="80"/>
    </tableStyle>
    <tableStyle name="ETF resumido-style 3" pivot="0" count="2" xr9:uid="{00000000-0011-0000-FFFF-FFFF0E000000}">
      <tableStyleElement type="firstRowStripe" dxfId="79"/>
      <tableStyleElement type="secondRowStripe" dxfId="78"/>
    </tableStyle>
    <tableStyle name="ETF resumido-style 4" pivot="0" count="3" xr9:uid="{00000000-0011-0000-FFFF-FFFF0F000000}">
      <tableStyleElement type="headerRow" dxfId="77"/>
      <tableStyleElement type="firstRowStripe" dxfId="76"/>
      <tableStyleElement type="secondRowStripe" dxfId="75"/>
    </tableStyle>
    <tableStyle name="ETF resumido-style 5" pivot="0" count="2" xr9:uid="{00000000-0011-0000-FFFF-FFFF10000000}">
      <tableStyleElement type="firstRowStripe" dxfId="74"/>
      <tableStyleElement type="secondRowStripe" dxfId="73"/>
    </tableStyle>
    <tableStyle name="ETF resumido-style 6" pivot="0" count="2" xr9:uid="{00000000-0011-0000-FFFF-FFFF11000000}">
      <tableStyleElement type="firstRowStripe" dxfId="72"/>
      <tableStyleElement type="secondRowStripe" dxfId="71"/>
    </tableStyle>
    <tableStyle name="ETF resumido-style 7" pivot="0" count="2" xr9:uid="{00000000-0011-0000-FFFF-FFFF12000000}">
      <tableStyleElement type="firstRowStripe" dxfId="70"/>
      <tableStyleElement type="secondRowStripe" dxfId="69"/>
    </tableStyle>
    <tableStyle name="ETF resumido-style 8" pivot="0" count="2" xr9:uid="{00000000-0011-0000-FFFF-FFFF13000000}">
      <tableStyleElement type="firstRowStripe" dxfId="68"/>
      <tableStyleElement type="secondRowStripe" dxfId="67"/>
    </tableStyle>
    <tableStyle name="Portafolio Discrecional-style" pivot="0" count="2" xr9:uid="{00000000-0011-0000-FFFF-FFFF14000000}">
      <tableStyleElement type="firstRowStripe" dxfId="66"/>
      <tableStyleElement type="secondRowStripe" dxfId="6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Tipo de empresa</a:t>
            </a:r>
          </a:p>
        </c:rich>
      </c:tx>
      <c:overlay val="0"/>
    </c:title>
    <c:autoTitleDeleted val="0"/>
    <c:view3D>
      <c:rotX val="50"/>
      <c:rotY val="0"/>
      <c:rAngAx val="1"/>
    </c:view3D>
    <c:floor>
      <c:thickness val="0"/>
    </c:floor>
    <c:sideWall>
      <c:thickness val="0"/>
    </c:sideWall>
    <c:backWall>
      <c:thickness val="0"/>
    </c:backWall>
    <c:plotArea>
      <c:layout>
        <c:manualLayout>
          <c:layoutTarget val="inner"/>
          <c:xMode val="edge"/>
          <c:yMode val="edge"/>
          <c:x val="1.8364683581219014E-2"/>
          <c:y val="0.22708311461067363"/>
          <c:w val="0.55340186643336253"/>
          <c:h val="0.66805599300087493"/>
        </c:manualLayout>
      </c:layout>
      <c:pie3DChart>
        <c:varyColors val="1"/>
        <c:ser>
          <c:idx val="0"/>
          <c:order val="0"/>
          <c:dPt>
            <c:idx val="0"/>
            <c:bubble3D val="0"/>
            <c:spPr>
              <a:solidFill>
                <a:srgbClr val="3D85C6"/>
              </a:solidFill>
            </c:spPr>
            <c:extLst>
              <c:ext xmlns:c16="http://schemas.microsoft.com/office/drawing/2014/chart" uri="{C3380CC4-5D6E-409C-BE32-E72D297353CC}">
                <c16:uniqueId val="{00000001-9AEB-4E42-9B35-7DE9E78AEC05}"/>
              </c:ext>
            </c:extLst>
          </c:dPt>
          <c:dPt>
            <c:idx val="1"/>
            <c:bubble3D val="0"/>
            <c:spPr>
              <a:solidFill>
                <a:srgbClr val="9FC5E8"/>
              </a:solidFill>
            </c:spPr>
            <c:extLst>
              <c:ext xmlns:c16="http://schemas.microsoft.com/office/drawing/2014/chart" uri="{C3380CC4-5D6E-409C-BE32-E72D297353CC}">
                <c16:uniqueId val="{00000003-9AEB-4E42-9B35-7DE9E78AEC05}"/>
              </c:ext>
            </c:extLst>
          </c:dPt>
          <c:dPt>
            <c:idx val="2"/>
            <c:bubble3D val="0"/>
            <c:spPr>
              <a:solidFill>
                <a:srgbClr val="F1C232"/>
              </a:solidFill>
            </c:spPr>
            <c:extLst>
              <c:ext xmlns:c16="http://schemas.microsoft.com/office/drawing/2014/chart" uri="{C3380CC4-5D6E-409C-BE32-E72D297353CC}">
                <c16:uniqueId val="{00000005-9AEB-4E42-9B35-7DE9E78AEC05}"/>
              </c:ext>
            </c:extLst>
          </c:dPt>
          <c:dPt>
            <c:idx val="3"/>
            <c:bubble3D val="0"/>
            <c:spPr>
              <a:solidFill>
                <a:srgbClr val="57BB8A"/>
              </a:solidFill>
            </c:spPr>
            <c:extLst>
              <c:ext xmlns:c16="http://schemas.microsoft.com/office/drawing/2014/chart" uri="{C3380CC4-5D6E-409C-BE32-E72D297353CC}">
                <c16:uniqueId val="{00000007-9AEB-4E42-9B35-7DE9E78AEC05}"/>
              </c:ext>
            </c:extLst>
          </c:dPt>
          <c:dPt>
            <c:idx val="4"/>
            <c:bubble3D val="0"/>
            <c:spPr>
              <a:solidFill>
                <a:srgbClr val="BDBDBD"/>
              </a:solidFill>
            </c:spPr>
            <c:extLst>
              <c:ext xmlns:c16="http://schemas.microsoft.com/office/drawing/2014/chart" uri="{C3380CC4-5D6E-409C-BE32-E72D297353CC}">
                <c16:uniqueId val="{00000009-9AEB-4E42-9B35-7DE9E78AEC05}"/>
              </c:ext>
            </c:extLst>
          </c:dPt>
          <c:dLbls>
            <c:dLbl>
              <c:idx val="0"/>
              <c:layout>
                <c:manualLayout>
                  <c:x val="-4.9020122484689413E-2"/>
                  <c:y val="1.0349956255468067E-2"/>
                </c:manualLayout>
              </c:layout>
              <c:spPr/>
              <c:txPr>
                <a:bodyPr/>
                <a:lstStyle/>
                <a:p>
                  <a:pPr lvl="0">
                    <a:defRPr sz="1000"/>
                  </a:pPr>
                  <a:endParaRPr lang="es-UY"/>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EB-4E42-9B35-7DE9E78AEC05}"/>
                </c:ext>
              </c:extLst>
            </c:dLbl>
            <c:dLbl>
              <c:idx val="1"/>
              <c:spPr/>
              <c:txPr>
                <a:bodyPr/>
                <a:lstStyle/>
                <a:p>
                  <a:pPr lvl="0">
                    <a:defRPr sz="1000">
                      <a:solidFill>
                        <a:srgbClr val="000000"/>
                      </a:solidFill>
                    </a:defRPr>
                  </a:pPr>
                  <a:endParaRPr lang="es-UY"/>
                </a:p>
              </c:txPr>
              <c:showLegendKey val="0"/>
              <c:showVal val="1"/>
              <c:showCatName val="0"/>
              <c:showSerName val="0"/>
              <c:showPercent val="0"/>
              <c:showBubbleSize val="0"/>
              <c:extLst>
                <c:ext xmlns:c16="http://schemas.microsoft.com/office/drawing/2014/chart" uri="{C3380CC4-5D6E-409C-BE32-E72D297353CC}">
                  <c16:uniqueId val="{00000003-9AEB-4E42-9B35-7DE9E78AEC05}"/>
                </c:ext>
              </c:extLst>
            </c:dLbl>
            <c:dLbl>
              <c:idx val="2"/>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5-9AEB-4E42-9B35-7DE9E78AEC05}"/>
                </c:ext>
              </c:extLst>
            </c:dLbl>
            <c:dLbl>
              <c:idx val="3"/>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7-9AEB-4E42-9B35-7DE9E78AEC05}"/>
                </c:ext>
              </c:extLst>
            </c:dLbl>
            <c:dLbl>
              <c:idx val="4"/>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9-9AEB-4E42-9B35-7DE9E78AEC05}"/>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'Portafolio Discrecional'!$X$51:$X$55</c:f>
              <c:strCache>
                <c:ptCount val="5"/>
                <c:pt idx="0">
                  <c:v>Alta calidad</c:v>
                </c:pt>
                <c:pt idx="1">
                  <c:v>Líder global</c:v>
                </c:pt>
                <c:pt idx="2">
                  <c:v>Atractivas Mediano plazo</c:v>
                </c:pt>
                <c:pt idx="3">
                  <c:v>Oportunidades corto plazo</c:v>
                </c:pt>
                <c:pt idx="4">
                  <c:v>Cash</c:v>
                </c:pt>
              </c:strCache>
            </c:strRef>
          </c:cat>
          <c:val>
            <c:numRef>
              <c:f>'Portafolio Discrecional'!$Y$51:$Y$55</c:f>
              <c:numCache>
                <c:formatCode>0.0%</c:formatCode>
                <c:ptCount val="5"/>
                <c:pt idx="0">
                  <c:v>0.12795213857173721</c:v>
                </c:pt>
                <c:pt idx="1">
                  <c:v>0.16024422530497412</c:v>
                </c:pt>
                <c:pt idx="2">
                  <c:v>0.16789604375362749</c:v>
                </c:pt>
                <c:pt idx="3">
                  <c:v>7.6576068184498108E-2</c:v>
                </c:pt>
                <c:pt idx="4">
                  <c:v>0.46733152418516311</c:v>
                </c:pt>
              </c:numCache>
            </c:numRef>
          </c:val>
          <c:extLst>
            <c:ext xmlns:c16="http://schemas.microsoft.com/office/drawing/2014/chart" uri="{C3380CC4-5D6E-409C-BE32-E72D297353CC}">
              <c16:uniqueId val="{0000000A-9AEB-4E42-9B35-7DE9E78AEC05}"/>
            </c:ext>
          </c:extLst>
        </c:ser>
        <c:dLbls>
          <c:showLegendKey val="0"/>
          <c:showVal val="0"/>
          <c:showCatName val="0"/>
          <c:showSerName val="0"/>
          <c:showPercent val="0"/>
          <c:showBubbleSize val="0"/>
          <c:showLeaderLines val="1"/>
        </c:dLbls>
      </c:pie3DChart>
    </c:plotArea>
    <c:legend>
      <c:legendPos val="r"/>
      <c:layout>
        <c:manualLayout>
          <c:xMode val="edge"/>
          <c:yMode val="edge"/>
          <c:x val="0.6132793817439488"/>
          <c:y val="0.22494546515018957"/>
          <c:w val="0.35894284047827352"/>
          <c:h val="0.70196092155147272"/>
        </c:manualLayout>
      </c:layout>
      <c:overlay val="0"/>
      <c:txPr>
        <a:bodyPr/>
        <a:lstStyle/>
        <a:p>
          <a:pPr>
            <a:defRPr sz="800"/>
          </a:pPr>
          <a:endParaRPr lang="es-UY"/>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Rendimiento Portafolio vs S&amp;P 500 (16-feb-2024)</a:t>
            </a:r>
          </a:p>
        </c:rich>
      </c:tx>
      <c:overlay val="0"/>
    </c:title>
    <c:autoTitleDeleted val="0"/>
    <c:plotArea>
      <c:layout/>
      <c:barChart>
        <c:barDir val="col"/>
        <c:grouping val="clustered"/>
        <c:varyColors val="1"/>
        <c:ser>
          <c:idx val="0"/>
          <c:order val="0"/>
          <c:tx>
            <c:strRef>
              <c:f>'Portafolio Discrecional'!$C$44</c:f>
              <c:strCache>
                <c:ptCount val="1"/>
                <c:pt idx="0">
                  <c:v>Rendimiento PORTAFOLIO</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Discrecional'!$D$43:$P$43</c:f>
              <c:strCache>
                <c:ptCount val="13"/>
                <c:pt idx="0">
                  <c:v>Hoy</c:v>
                </c:pt>
                <c:pt idx="1">
                  <c:v>Semanal</c:v>
                </c:pt>
                <c:pt idx="2">
                  <c:v>Feb24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Discrecional'!$D$44:$P$44</c:f>
              <c:numCache>
                <c:formatCode>0.0%</c:formatCode>
                <c:ptCount val="13"/>
                <c:pt idx="0">
                  <c:v>-1.3781496554884972E-3</c:v>
                </c:pt>
                <c:pt idx="1">
                  <c:v>4.3413293378170561E-3</c:v>
                </c:pt>
                <c:pt idx="2">
                  <c:v>2.5341329337817058E-2</c:v>
                </c:pt>
                <c:pt idx="3">
                  <c:v>7.930196747687801E-2</c:v>
                </c:pt>
                <c:pt idx="4">
                  <c:v>0.13206491881260862</c:v>
                </c:pt>
                <c:pt idx="5">
                  <c:v>0.18616279576854233</c:v>
                </c:pt>
                <c:pt idx="6">
                  <c:v>5.9177593205965051E-2</c:v>
                </c:pt>
                <c:pt idx="7">
                  <c:v>0.13100000000000001</c:v>
                </c:pt>
                <c:pt idx="8">
                  <c:v>-0.126</c:v>
                </c:pt>
                <c:pt idx="9">
                  <c:v>0.104</c:v>
                </c:pt>
                <c:pt idx="10">
                  <c:v>0.77100000000000002</c:v>
                </c:pt>
                <c:pt idx="11">
                  <c:v>1.0470594566132712</c:v>
                </c:pt>
                <c:pt idx="12">
                  <c:v>0.18879659027510454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9CC-4E44-9D73-7939F5219EE3}"/>
            </c:ext>
          </c:extLst>
        </c:ser>
        <c:ser>
          <c:idx val="1"/>
          <c:order val="1"/>
          <c:tx>
            <c:strRef>
              <c:f>'Portafolio Discrecional'!$C$45</c:f>
              <c:strCache>
                <c:ptCount val="1"/>
                <c:pt idx="0">
                  <c:v>Rendimiento S&amp;P 500</c:v>
                </c:pt>
              </c:strCache>
            </c:strRef>
          </c:tx>
          <c:spPr>
            <a:solidFill>
              <a:srgbClr val="EA4335"/>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Discrecional'!$D$43:$P$43</c:f>
              <c:strCache>
                <c:ptCount val="13"/>
                <c:pt idx="0">
                  <c:v>Hoy</c:v>
                </c:pt>
                <c:pt idx="1">
                  <c:v>Semanal</c:v>
                </c:pt>
                <c:pt idx="2">
                  <c:v>Feb24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Discrecional'!$D$45:$P$45</c:f>
              <c:numCache>
                <c:formatCode>0.0%</c:formatCode>
                <c:ptCount val="13"/>
                <c:pt idx="0">
                  <c:v>-5.0000000000000001E-3</c:v>
                </c:pt>
                <c:pt idx="1">
                  <c:v>-3.3719074221867373E-3</c:v>
                </c:pt>
                <c:pt idx="2">
                  <c:v>3.4439198144466499E-2</c:v>
                </c:pt>
                <c:pt idx="3">
                  <c:v>9.9612556685598541E-2</c:v>
                </c:pt>
                <c:pt idx="4">
                  <c:v>0.13695543314972469</c:v>
                </c:pt>
                <c:pt idx="5">
                  <c:v>0.25162244105339648</c:v>
                </c:pt>
                <c:pt idx="6">
                  <c:v>5.0914140245313488E-2</c:v>
                </c:pt>
                <c:pt idx="7">
                  <c:v>0.24299999999999999</c:v>
                </c:pt>
                <c:pt idx="8">
                  <c:v>-0.19500000000000001</c:v>
                </c:pt>
                <c:pt idx="9">
                  <c:v>0.27</c:v>
                </c:pt>
                <c:pt idx="10">
                  <c:v>0.16200000000000001</c:v>
                </c:pt>
                <c:pt idx="11">
                  <c:v>0.55571820107138414</c:v>
                </c:pt>
                <c:pt idx="12">
                  <c:v>0.11266184814249813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9CC-4E44-9D73-7939F5219EE3}"/>
            </c:ext>
          </c:extLst>
        </c:ser>
        <c:dLbls>
          <c:showLegendKey val="0"/>
          <c:showVal val="0"/>
          <c:showCatName val="0"/>
          <c:showSerName val="0"/>
          <c:showPercent val="0"/>
          <c:showBubbleSize val="0"/>
        </c:dLbls>
        <c:gapWidth val="150"/>
        <c:axId val="1868365824"/>
        <c:axId val="706359550"/>
      </c:barChart>
      <c:catAx>
        <c:axId val="1868365824"/>
        <c:scaling>
          <c:orientation val="minMax"/>
        </c:scaling>
        <c:delete val="0"/>
        <c:axPos val="b"/>
        <c:title>
          <c:tx>
            <c:rich>
              <a:bodyPr/>
              <a:lstStyle/>
              <a:p>
                <a:pPr lvl="0">
                  <a:defRPr b="0">
                    <a:solidFill>
                      <a:srgbClr val="000000"/>
                    </a:solidFill>
                    <a:latin typeface="+mn-lt"/>
                  </a:defRPr>
                </a:pPr>
                <a:endParaRPr lang="es-UY"/>
              </a:p>
            </c:rich>
          </c:tx>
          <c:overlay val="0"/>
        </c:title>
        <c:numFmt formatCode="General" sourceLinked="1"/>
        <c:majorTickMark val="cross"/>
        <c:minorTickMark val="none"/>
        <c:tickLblPos val="nextTo"/>
        <c:txPr>
          <a:bodyPr/>
          <a:lstStyle/>
          <a:p>
            <a:pPr lvl="0">
              <a:defRPr b="0">
                <a:solidFill>
                  <a:srgbClr val="000000"/>
                </a:solidFill>
                <a:latin typeface="+mn-lt"/>
              </a:defRPr>
            </a:pPr>
            <a:endParaRPr lang="es-UY"/>
          </a:p>
        </c:txPr>
        <c:crossAx val="706359550"/>
        <c:crosses val="autoZero"/>
        <c:auto val="1"/>
        <c:lblAlgn val="ctr"/>
        <c:lblOffset val="100"/>
        <c:noMultiLvlLbl val="1"/>
      </c:catAx>
      <c:valAx>
        <c:axId val="70635955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UY"/>
              </a:p>
            </c:rich>
          </c:tx>
          <c:overlay val="0"/>
        </c:title>
        <c:numFmt formatCode="0.0%" sourceLinked="1"/>
        <c:majorTickMark val="none"/>
        <c:minorTickMark val="none"/>
        <c:tickLblPos val="nextTo"/>
        <c:spPr>
          <a:ln>
            <a:solidFill/>
          </a:ln>
        </c:spPr>
        <c:txPr>
          <a:bodyPr/>
          <a:lstStyle/>
          <a:p>
            <a:pPr lvl="0">
              <a:defRPr b="0">
                <a:solidFill>
                  <a:srgbClr val="000000"/>
                </a:solidFill>
                <a:latin typeface="+mn-lt"/>
              </a:defRPr>
            </a:pPr>
            <a:endParaRPr lang="es-UY"/>
          </a:p>
        </c:txPr>
        <c:crossAx val="1868365824"/>
        <c:crosses val="autoZero"/>
        <c:crossBetween val="between"/>
      </c:valAx>
    </c:plotArea>
    <c:legend>
      <c:legendPos val="b"/>
      <c:overlay val="0"/>
      <c:txPr>
        <a:bodyPr/>
        <a:lstStyle/>
        <a:p>
          <a:pPr lvl="0">
            <a:defRPr b="0">
              <a:solidFill>
                <a:srgbClr val="1A1A1A"/>
              </a:solidFill>
              <a:latin typeface="+mn-lt"/>
            </a:defRPr>
          </a:pPr>
          <a:endParaRPr lang="es-UY"/>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21</xdr:col>
      <xdr:colOff>441960</xdr:colOff>
      <xdr:row>41</xdr:row>
      <xdr:rowOff>76200</xdr:rowOff>
    </xdr:from>
    <xdr:ext cx="2743200" cy="1714500"/>
    <xdr:graphicFrame macro="">
      <xdr:nvGraphicFramePr>
        <xdr:cNvPr id="838650337" name="Chart 1" title="Chart">
          <a:extLst>
            <a:ext uri="{FF2B5EF4-FFF2-40B4-BE49-F238E27FC236}">
              <a16:creationId xmlns:a16="http://schemas.microsoft.com/office/drawing/2014/main" id="{00000000-0008-0000-0200-0000E1C9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516255</xdr:colOff>
      <xdr:row>47</xdr:row>
      <xdr:rowOff>55245</xdr:rowOff>
    </xdr:from>
    <xdr:ext cx="4410075" cy="2733675"/>
    <xdr:graphicFrame macro="">
      <xdr:nvGraphicFramePr>
        <xdr:cNvPr id="1974195972" name="Chart 2" title="Gráfico">
          <a:extLst>
            <a:ext uri="{FF2B5EF4-FFF2-40B4-BE49-F238E27FC236}">
              <a16:creationId xmlns:a16="http://schemas.microsoft.com/office/drawing/2014/main" id="{00000000-0008-0000-0200-000004D7A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B51" headerRowCount="0">
  <tableColumns count="1">
    <tableColumn id="1" xr3:uid="{00000000-0010-0000-1400-000001000000}" name="Column1"/>
  </tableColumns>
  <tableStyleInfo name="Portafolio Discrecio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A884"/>
  <sheetViews>
    <sheetView tabSelected="1" workbookViewId="0">
      <pane xSplit="2" ySplit="2" topLeftCell="C29" activePane="bottomRight" state="frozen"/>
      <selection pane="topRight" activeCell="C1" sqref="C1"/>
      <selection pane="bottomLeft" activeCell="A3" sqref="A3"/>
      <selection pane="bottomRight" activeCell="G41" sqref="G41"/>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9.6640625" customWidth="1"/>
    <col min="6" max="6" width="10.21875" customWidth="1"/>
    <col min="7" max="7" width="10.6640625" customWidth="1"/>
    <col min="8" max="8" width="9.44140625" customWidth="1"/>
    <col min="9" max="9" width="7" customWidth="1"/>
    <col min="10" max="12" width="7.88671875" customWidth="1"/>
    <col min="13" max="13" width="8.5546875" customWidth="1"/>
    <col min="14" max="16" width="7.88671875" customWidth="1"/>
    <col min="17" max="17" width="9" customWidth="1"/>
    <col min="18" max="18" width="7.109375" customWidth="1"/>
    <col min="19" max="21" width="7.6640625" customWidth="1"/>
    <col min="22" max="22" width="6.88671875" customWidth="1"/>
    <col min="23" max="23" width="8.109375" customWidth="1"/>
    <col min="24" max="24" width="10.33203125" customWidth="1"/>
    <col min="25" max="27" width="9" customWidth="1"/>
    <col min="28" max="28" width="14.109375" customWidth="1"/>
    <col min="29" max="29" width="8.33203125" customWidth="1"/>
    <col min="30" max="30" width="9.44140625" customWidth="1"/>
    <col min="31" max="31" width="12.44140625" customWidth="1"/>
    <col min="32" max="33" width="12.6640625" customWidth="1"/>
    <col min="34" max="34" width="79.44140625" customWidth="1"/>
    <col min="35" max="36" width="62.109375" customWidth="1"/>
    <col min="37" max="37" width="8" customWidth="1"/>
    <col min="38" max="38" width="14.44140625" customWidth="1"/>
    <col min="39" max="64" width="8" customWidth="1"/>
  </cols>
  <sheetData>
    <row r="1" spans="1:79" ht="15.75" customHeight="1">
      <c r="A1" s="27"/>
      <c r="B1" s="27"/>
      <c r="C1" s="492" t="s">
        <v>25</v>
      </c>
      <c r="D1" s="493"/>
      <c r="E1" s="493"/>
      <c r="F1" s="493"/>
      <c r="G1" s="493"/>
      <c r="H1" s="493"/>
      <c r="I1" s="494"/>
      <c r="J1" s="482" t="s">
        <v>26</v>
      </c>
      <c r="K1" s="480"/>
      <c r="L1" s="480"/>
      <c r="M1" s="480"/>
      <c r="N1" s="480"/>
      <c r="O1" s="480"/>
      <c r="P1" s="480"/>
      <c r="Q1" s="480"/>
      <c r="R1" s="480"/>
      <c r="S1" s="480"/>
      <c r="T1" s="480"/>
      <c r="U1" s="481"/>
      <c r="V1" s="479" t="s">
        <v>27</v>
      </c>
      <c r="W1" s="480"/>
      <c r="X1" s="480"/>
      <c r="Y1" s="480"/>
      <c r="Z1" s="480"/>
      <c r="AA1" s="481"/>
      <c r="AB1" s="483" t="s">
        <v>28</v>
      </c>
      <c r="AC1" s="484"/>
      <c r="AD1" s="485"/>
      <c r="AE1" s="34" t="s">
        <v>29</v>
      </c>
      <c r="AF1" s="33"/>
      <c r="AG1" s="33"/>
      <c r="AH1" s="35"/>
      <c r="AI1" s="35"/>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row>
    <row r="2" spans="1:79" ht="48">
      <c r="A2" s="36"/>
      <c r="B2" s="37" t="s">
        <v>0</v>
      </c>
      <c r="C2" s="38" t="s">
        <v>1</v>
      </c>
      <c r="D2" s="37" t="s">
        <v>30</v>
      </c>
      <c r="E2" s="37" t="s">
        <v>2</v>
      </c>
      <c r="F2" s="37" t="s">
        <v>31</v>
      </c>
      <c r="G2" s="37" t="s">
        <v>32</v>
      </c>
      <c r="H2" s="37" t="s">
        <v>33</v>
      </c>
      <c r="I2" s="37" t="s">
        <v>34</v>
      </c>
      <c r="J2" s="39" t="s">
        <v>3</v>
      </c>
      <c r="K2" s="39" t="s">
        <v>35</v>
      </c>
      <c r="L2" s="39" t="s">
        <v>36</v>
      </c>
      <c r="M2" s="39" t="s">
        <v>37</v>
      </c>
      <c r="N2" s="39" t="s">
        <v>38</v>
      </c>
      <c r="O2" s="39" t="s">
        <v>39</v>
      </c>
      <c r="P2" s="39" t="s">
        <v>40</v>
      </c>
      <c r="Q2" s="39" t="s">
        <v>41</v>
      </c>
      <c r="R2" s="39" t="s">
        <v>42</v>
      </c>
      <c r="S2" s="40" t="s">
        <v>43</v>
      </c>
      <c r="T2" s="40" t="s">
        <v>44</v>
      </c>
      <c r="U2" s="40" t="s">
        <v>45</v>
      </c>
      <c r="V2" s="41" t="s">
        <v>4</v>
      </c>
      <c r="W2" s="37" t="s">
        <v>46</v>
      </c>
      <c r="X2" s="37" t="s">
        <v>47</v>
      </c>
      <c r="Y2" s="37" t="s">
        <v>48</v>
      </c>
      <c r="Z2" s="37" t="s">
        <v>49</v>
      </c>
      <c r="AA2" s="37" t="s">
        <v>50</v>
      </c>
      <c r="AB2" s="42" t="s">
        <v>51</v>
      </c>
      <c r="AC2" s="42" t="s">
        <v>52</v>
      </c>
      <c r="AD2" s="42" t="s">
        <v>53</v>
      </c>
      <c r="AE2" s="42" t="s">
        <v>54</v>
      </c>
      <c r="AF2" s="42" t="s">
        <v>55</v>
      </c>
      <c r="AG2" s="42" t="s">
        <v>56</v>
      </c>
      <c r="AH2" s="43" t="s">
        <v>57</v>
      </c>
      <c r="AI2" s="43" t="s">
        <v>58</v>
      </c>
      <c r="AJ2" s="44"/>
      <c r="AK2" s="44"/>
      <c r="AL2" s="44"/>
      <c r="AM2" s="44"/>
      <c r="AN2" s="44"/>
      <c r="AO2" s="44"/>
      <c r="AP2" s="44"/>
      <c r="AQ2" s="44"/>
      <c r="AR2" s="44"/>
      <c r="AS2" s="44"/>
      <c r="AT2" s="44"/>
      <c r="AU2" s="44"/>
      <c r="AV2" s="44"/>
      <c r="AW2" s="44"/>
      <c r="AX2" s="44"/>
      <c r="AY2" s="44"/>
      <c r="AZ2" s="5" t="s">
        <v>59</v>
      </c>
      <c r="BA2" s="29" t="s">
        <v>60</v>
      </c>
      <c r="BC2" s="5" t="s">
        <v>61</v>
      </c>
      <c r="BD2" s="36"/>
      <c r="BE2" s="36"/>
      <c r="BF2" s="36"/>
      <c r="BG2" s="36"/>
      <c r="BH2" s="36"/>
      <c r="BI2" s="36"/>
      <c r="BJ2" s="36"/>
      <c r="BK2" s="36"/>
      <c r="BL2" s="36"/>
      <c r="BM2" s="36"/>
      <c r="BN2" s="36"/>
      <c r="BO2" s="36"/>
      <c r="BP2" s="36"/>
      <c r="BQ2" s="36"/>
      <c r="BR2" s="36"/>
    </row>
    <row r="3" spans="1:79" ht="28.8">
      <c r="A3" s="45">
        <v>1</v>
      </c>
      <c r="B3" s="1" t="s">
        <v>62</v>
      </c>
      <c r="C3" s="46" t="str">
        <f ca="1">IFERROR(__xludf.DUMMYFUNCTION("GoogleFinance(B3,""name"")"),"Procter &amp; Gamble Co")</f>
        <v>Procter &amp; Gamble Co</v>
      </c>
      <c r="D3" s="47">
        <f ca="1">IFERROR(__xludf.DUMMYFUNCTION("GoogleFinance(B3,""marketcap"")/1000000"),370624.167274)</f>
        <v>370624.16727400001</v>
      </c>
      <c r="E3" s="48" t="s">
        <v>16</v>
      </c>
      <c r="F3" s="48" t="s">
        <v>63</v>
      </c>
      <c r="G3" s="49">
        <v>45184</v>
      </c>
      <c r="H3" s="2">
        <v>0.04</v>
      </c>
      <c r="I3" s="9">
        <f ca="1">N3/$M$40</f>
        <v>4.339994867072073E-2</v>
      </c>
      <c r="J3" s="50">
        <f ca="1">IFERROR(__xludf.DUMMYFUNCTION("GOOGLEFINANCE(B3)"),157.51)</f>
        <v>157.51</v>
      </c>
      <c r="K3" s="51">
        <v>154.91</v>
      </c>
      <c r="L3" s="52">
        <f>4800/K3</f>
        <v>30.985733651797819</v>
      </c>
      <c r="M3" s="53">
        <f>L3*K3</f>
        <v>4800</v>
      </c>
      <c r="N3" s="54">
        <f ca="1">J3*L3</f>
        <v>4880.5629074946746</v>
      </c>
      <c r="O3" s="54">
        <f ca="1">N3-M3</f>
        <v>80.562907494674619</v>
      </c>
      <c r="P3" s="55">
        <f ca="1">J3/K3-1</f>
        <v>1.6783939061390418E-2</v>
      </c>
      <c r="Q3" s="56">
        <f ca="1">TODAY()-G3</f>
        <v>158</v>
      </c>
      <c r="R3" s="57">
        <v>140</v>
      </c>
      <c r="S3" s="55">
        <f t="shared" ref="S3:S7" ca="1" si="0">R3/J3-1</f>
        <v>-0.11116754491778291</v>
      </c>
      <c r="T3" s="48">
        <v>175</v>
      </c>
      <c r="U3" s="55">
        <f ca="1">T3/J3-1</f>
        <v>0.11104056885277136</v>
      </c>
      <c r="V3" s="8">
        <v>3.2000000000000002E-3</v>
      </c>
      <c r="W3" s="55">
        <v>5.7171896836494263E-4</v>
      </c>
      <c r="X3" s="55">
        <v>2.3545882652411532E-3</v>
      </c>
      <c r="Y3" s="55">
        <v>4.8179942769681183E-2</v>
      </c>
      <c r="Z3" s="55">
        <v>3.7820386110561932E-2</v>
      </c>
      <c r="AA3" s="55">
        <v>7.4860106455575171E-2</v>
      </c>
      <c r="AB3" s="58" t="s">
        <v>64</v>
      </c>
      <c r="AC3" s="59" t="s">
        <v>65</v>
      </c>
      <c r="AD3" s="59" t="s">
        <v>64</v>
      </c>
      <c r="AE3" s="60" t="s">
        <v>66</v>
      </c>
      <c r="AF3" s="60" t="s">
        <v>67</v>
      </c>
      <c r="AG3" s="60" t="s">
        <v>68</v>
      </c>
      <c r="AH3" s="61" t="s">
        <v>69</v>
      </c>
      <c r="AI3" s="61" t="s">
        <v>70</v>
      </c>
      <c r="AJ3" s="2"/>
      <c r="AK3" s="2"/>
      <c r="AL3" s="2"/>
      <c r="AM3" s="2" t="str">
        <f ca="1">IFERROR(__xludf.DUMMYFUNCTION("GoogleFinance(B3,""price"",DATE(2024,2,9))"),"Date")</f>
        <v>Date</v>
      </c>
      <c r="AN3" s="27" t="str">
        <f ca="1">IFERROR(__xludf.DUMMYFUNCTION("""COMPUTED_VALUE"""),"Close")</f>
        <v>Close</v>
      </c>
      <c r="AO3" s="2" t="str">
        <f ca="1">IFERROR(__xludf.DUMMYFUNCTION("GoogleFinance(B3,""price"",DATE(2024,1,31))"),"Date")</f>
        <v>Date</v>
      </c>
      <c r="AP3" s="27" t="str">
        <f ca="1">IFERROR(__xludf.DUMMYFUNCTION("""COMPUTED_VALUE"""),"Close")</f>
        <v>Close</v>
      </c>
      <c r="AQ3" s="2" t="str">
        <f ca="1">IFERROR(__xludf.DUMMYFUNCTION("GoogleFinance(B3,""price"",today()-91)"),"#N/A")</f>
        <v>#N/A</v>
      </c>
      <c r="AR3" s="27"/>
      <c r="AS3" s="2" t="str">
        <f ca="1">IFERROR(__xludf.DUMMYFUNCTION("GoogleFinance(B3,""price"",today()-182)"),"#N/A")</f>
        <v>#N/A</v>
      </c>
      <c r="AT3" s="27"/>
      <c r="AU3" s="2" t="str">
        <f ca="1">IFERROR(__xludf.DUMMYFUNCTION("GoogleFinance(B3,""price"",DATE(2023,12,29))"),"Date")</f>
        <v>Date</v>
      </c>
      <c r="AV3" s="27" t="str">
        <f ca="1">IFERROR(__xludf.DUMMYFUNCTION("""COMPUTED_VALUE"""),"Close")</f>
        <v>Close</v>
      </c>
      <c r="AW3" s="5"/>
      <c r="AX3" s="5"/>
      <c r="AY3" s="5"/>
      <c r="AZ3" s="5"/>
      <c r="BC3" s="5"/>
      <c r="BI3" s="5"/>
      <c r="BJ3" s="5"/>
      <c r="BK3" s="5"/>
      <c r="BL3" s="5"/>
      <c r="BM3" s="5"/>
      <c r="BN3" s="5"/>
      <c r="BO3" s="5"/>
      <c r="BP3" s="5"/>
      <c r="BQ3" s="5"/>
      <c r="BR3" s="5"/>
    </row>
    <row r="4" spans="1:79" ht="13.2" hidden="1">
      <c r="A4" s="45" t="e">
        <f>#REF!+1</f>
        <v>#REF!</v>
      </c>
      <c r="B4" s="1"/>
      <c r="C4" s="46"/>
      <c r="D4" s="47"/>
      <c r="E4" s="48"/>
      <c r="F4" s="48"/>
      <c r="G4" s="62"/>
      <c r="H4" s="2"/>
      <c r="I4" s="63"/>
      <c r="J4" s="50"/>
      <c r="K4" s="51"/>
      <c r="L4" s="48"/>
      <c r="M4" s="48"/>
      <c r="N4" s="64"/>
      <c r="O4" s="65"/>
      <c r="P4" s="65"/>
      <c r="Q4" s="66"/>
      <c r="R4" s="8"/>
      <c r="S4" s="55" t="e">
        <f t="shared" si="0"/>
        <v>#DIV/0!</v>
      </c>
      <c r="T4" s="55"/>
      <c r="U4" s="55"/>
      <c r="V4" s="10" t="e">
        <v>#N/A</v>
      </c>
      <c r="W4" s="55" t="e">
        <v>#REF!</v>
      </c>
      <c r="X4" s="55" t="e">
        <v>#REF!</v>
      </c>
      <c r="Y4" s="55" t="e">
        <v>#REF!</v>
      </c>
      <c r="Z4" s="55" t="e">
        <v>#REF!</v>
      </c>
      <c r="AA4" s="55" t="e">
        <v>#REF!</v>
      </c>
      <c r="AB4" s="13"/>
      <c r="AC4" s="3"/>
      <c r="AD4" s="3"/>
      <c r="AE4" s="3"/>
      <c r="AF4" s="3"/>
      <c r="AG4" s="3"/>
      <c r="AH4" s="3"/>
      <c r="AI4" s="67"/>
      <c r="AJ4" s="2"/>
      <c r="AK4" s="2"/>
      <c r="AL4" s="2"/>
      <c r="AM4" s="49">
        <f ca="1">IFERROR(__xludf.DUMMYFUNCTION("""COMPUTED_VALUE"""),45331.6666666666)</f>
        <v>45331.666666666599</v>
      </c>
      <c r="AN4" s="27">
        <f ca="1">IFERROR(__xludf.DUMMYFUNCTION("""COMPUTED_VALUE"""),157.42)</f>
        <v>157.41999999999999</v>
      </c>
      <c r="AO4" s="49">
        <f ca="1">IFERROR(__xludf.DUMMYFUNCTION("""COMPUTED_VALUE"""),45322.6666666666)</f>
        <v>45322.666666666599</v>
      </c>
      <c r="AP4" s="27">
        <f ca="1">IFERROR(__xludf.DUMMYFUNCTION("""COMPUTED_VALUE"""),157.14)</f>
        <v>157.13999999999999</v>
      </c>
      <c r="AQ4" s="49"/>
      <c r="AR4" s="27"/>
      <c r="AS4" s="49"/>
      <c r="AT4" s="27"/>
      <c r="AU4" s="49">
        <f ca="1">IFERROR(__xludf.DUMMYFUNCTION("""COMPUTED_VALUE"""),45289.6666666666)</f>
        <v>45289.666666666599</v>
      </c>
      <c r="AV4" s="27">
        <f ca="1">IFERROR(__xludf.DUMMYFUNCTION("""COMPUTED_VALUE"""),146.54)</f>
        <v>146.54</v>
      </c>
      <c r="AW4" s="5"/>
      <c r="AX4" s="5"/>
      <c r="AY4" s="68" t="s">
        <v>71</v>
      </c>
      <c r="AZ4" s="8">
        <v>4.65E-2</v>
      </c>
      <c r="BA4" s="8">
        <v>-1.0200000000000001E-2</v>
      </c>
      <c r="BI4" s="5"/>
      <c r="BJ4" s="5"/>
      <c r="BK4" s="5"/>
      <c r="BL4" s="5"/>
      <c r="BM4" s="5"/>
      <c r="BN4" s="5"/>
      <c r="BO4" s="5"/>
      <c r="BP4" s="5"/>
      <c r="BQ4" s="5"/>
      <c r="BR4" s="5"/>
    </row>
    <row r="5" spans="1:79" ht="38.4">
      <c r="A5" s="45">
        <f t="shared" ref="A5:A7" si="1">A3+1</f>
        <v>2</v>
      </c>
      <c r="B5" s="1" t="s">
        <v>72</v>
      </c>
      <c r="C5" s="46" t="str">
        <f ca="1">IFERROR(__xludf.DUMMYFUNCTION("GoogleFinance(B5,""name"")"),"UnitedHealth Group Inc")</f>
        <v>UnitedHealth Group Inc</v>
      </c>
      <c r="D5" s="47">
        <f ca="1">IFERROR(__xludf.DUMMYFUNCTION("GoogleFinance(B5,""marketcap"")/1000000"),482394.778924)</f>
        <v>482394.77892399998</v>
      </c>
      <c r="E5" s="48" t="s">
        <v>15</v>
      </c>
      <c r="F5" s="48" t="s">
        <v>73</v>
      </c>
      <c r="G5" s="49">
        <v>45309</v>
      </c>
      <c r="H5" s="2">
        <v>0.04</v>
      </c>
      <c r="I5" s="9">
        <f ca="1">N5/$M$40</f>
        <v>4.6378345404492864E-2</v>
      </c>
      <c r="J5" s="50">
        <f ca="1">IFERROR(__xludf.DUMMYFUNCTION("GOOGLEFINANCE(B5)"),521.55)</f>
        <v>521.54999999999995</v>
      </c>
      <c r="K5" s="51">
        <v>500</v>
      </c>
      <c r="L5" s="52">
        <f>5000/K5</f>
        <v>10</v>
      </c>
      <c r="M5" s="53">
        <f>L5*K5</f>
        <v>5000</v>
      </c>
      <c r="N5" s="54">
        <f ca="1">J5*L5</f>
        <v>5215.5</v>
      </c>
      <c r="O5" s="54">
        <f ca="1">N5-M5</f>
        <v>215.5</v>
      </c>
      <c r="P5" s="55">
        <f ca="1">J5/K5-1</f>
        <v>4.3099999999999916E-2</v>
      </c>
      <c r="Q5" s="56">
        <f ca="1">TODAY()-G5</f>
        <v>33</v>
      </c>
      <c r="R5" s="57">
        <v>471</v>
      </c>
      <c r="S5" s="55">
        <f t="shared" ca="1" si="0"/>
        <v>-9.6922634454989831E-2</v>
      </c>
      <c r="T5" s="48">
        <v>620</v>
      </c>
      <c r="U5" s="55">
        <f ca="1">T5/J5-1</f>
        <v>0.18876426037772043</v>
      </c>
      <c r="V5" s="8">
        <v>1.2999999999999999E-3</v>
      </c>
      <c r="W5" s="55">
        <v>6.4258423063561221E-3</v>
      </c>
      <c r="X5" s="55">
        <v>1.9169890960253122E-2</v>
      </c>
      <c r="Y5" s="55">
        <v>-2.5322369650532695E-2</v>
      </c>
      <c r="Z5" s="55">
        <v>4.7962546214434854E-2</v>
      </c>
      <c r="AA5" s="55">
        <v>-9.3452618382815489E-3</v>
      </c>
      <c r="AB5" s="58" t="s">
        <v>74</v>
      </c>
      <c r="AC5" s="59" t="s">
        <v>65</v>
      </c>
      <c r="AD5" s="59" t="s">
        <v>64</v>
      </c>
      <c r="AE5" s="60" t="s">
        <v>66</v>
      </c>
      <c r="AF5" s="60" t="s">
        <v>67</v>
      </c>
      <c r="AG5" s="60" t="s">
        <v>75</v>
      </c>
      <c r="AH5" s="69" t="s">
        <v>76</v>
      </c>
      <c r="AI5" s="69" t="s">
        <v>77</v>
      </c>
      <c r="AJ5" s="2"/>
      <c r="AK5" s="2"/>
      <c r="AL5" s="2"/>
      <c r="AM5" s="2" t="str">
        <f ca="1">IFERROR(__xludf.DUMMYFUNCTION("GoogleFinance(B5,""price"",DATE(2024,2,9))"),"Date")</f>
        <v>Date</v>
      </c>
      <c r="AN5" s="27" t="str">
        <f ca="1">IFERROR(__xludf.DUMMYFUNCTION("""COMPUTED_VALUE"""),"Close")</f>
        <v>Close</v>
      </c>
      <c r="AO5" s="2" t="str">
        <f ca="1">IFERROR(__xludf.DUMMYFUNCTION("GoogleFinance(B5,""price"",DATE(2024,1,31))"),"Date")</f>
        <v>Date</v>
      </c>
      <c r="AP5" s="27" t="str">
        <f ca="1">IFERROR(__xludf.DUMMYFUNCTION("""COMPUTED_VALUE"""),"Close")</f>
        <v>Close</v>
      </c>
      <c r="AQ5" s="2" t="str">
        <f ca="1">IFERROR(__xludf.DUMMYFUNCTION("GoogleFinance(B5,""price"",today()-91)"),"#N/A")</f>
        <v>#N/A</v>
      </c>
      <c r="AR5" s="27"/>
      <c r="AS5" s="2" t="str">
        <f ca="1">IFERROR(__xludf.DUMMYFUNCTION("GoogleFinance(B5,""price"",today()-182)"),"#N/A")</f>
        <v>#N/A</v>
      </c>
      <c r="AT5" s="27"/>
      <c r="AU5" s="2" t="str">
        <f ca="1">IFERROR(__xludf.DUMMYFUNCTION("GoogleFinance(B5,""price"",DATE(2023,12,29))"),"Date")</f>
        <v>Date</v>
      </c>
      <c r="AV5" s="27" t="str">
        <f ca="1">IFERROR(__xludf.DUMMYFUNCTION("""COMPUTED_VALUE"""),"Close")</f>
        <v>Close</v>
      </c>
      <c r="AW5" s="5"/>
      <c r="AX5" s="5"/>
      <c r="AY5" s="5"/>
      <c r="AZ5" s="5"/>
      <c r="BC5" s="5"/>
      <c r="BI5" s="5"/>
      <c r="BJ5" s="5"/>
      <c r="BK5" s="5"/>
      <c r="BL5" s="5"/>
      <c r="BM5" s="5"/>
      <c r="BN5" s="5"/>
      <c r="BO5" s="5"/>
      <c r="BP5" s="5"/>
      <c r="BQ5" s="5"/>
      <c r="BR5" s="5"/>
    </row>
    <row r="6" spans="1:79" ht="13.2" hidden="1">
      <c r="A6" s="45" t="e">
        <f t="shared" si="1"/>
        <v>#REF!</v>
      </c>
      <c r="B6" s="1"/>
      <c r="C6" s="46"/>
      <c r="D6" s="47"/>
      <c r="E6" s="48"/>
      <c r="F6" s="48"/>
      <c r="G6" s="62"/>
      <c r="H6" s="2"/>
      <c r="I6" s="63"/>
      <c r="J6" s="50"/>
      <c r="K6" s="51"/>
      <c r="L6" s="48"/>
      <c r="M6" s="48"/>
      <c r="N6" s="64"/>
      <c r="O6" s="65"/>
      <c r="P6" s="65"/>
      <c r="Q6" s="66"/>
      <c r="R6" s="8"/>
      <c r="S6" s="55" t="e">
        <f t="shared" si="0"/>
        <v>#DIV/0!</v>
      </c>
      <c r="T6" s="55"/>
      <c r="U6" s="55"/>
      <c r="V6" s="10" t="e">
        <v>#N/A</v>
      </c>
      <c r="W6" s="55" t="e">
        <v>#REF!</v>
      </c>
      <c r="X6" s="55" t="e">
        <v>#REF!</v>
      </c>
      <c r="Y6" s="55" t="e">
        <v>#REF!</v>
      </c>
      <c r="Z6" s="55" t="e">
        <v>#REF!</v>
      </c>
      <c r="AA6" s="55" t="e">
        <v>#REF!</v>
      </c>
      <c r="AB6" s="13"/>
      <c r="AC6" s="3"/>
      <c r="AD6" s="3"/>
      <c r="AE6" s="3"/>
      <c r="AF6" s="3"/>
      <c r="AG6" s="3"/>
      <c r="AH6" s="3"/>
      <c r="AI6" s="67"/>
      <c r="AJ6" s="2"/>
      <c r="AK6" s="2"/>
      <c r="AL6" s="2"/>
      <c r="AM6" s="49">
        <f ca="1">IFERROR(__xludf.DUMMYFUNCTION("""COMPUTED_VALUE"""),45331.6666666666)</f>
        <v>45331.666666666599</v>
      </c>
      <c r="AN6" s="27">
        <f ca="1">IFERROR(__xludf.DUMMYFUNCTION("""COMPUTED_VALUE"""),518.22)</f>
        <v>518.22</v>
      </c>
      <c r="AO6" s="49">
        <f ca="1">IFERROR(__xludf.DUMMYFUNCTION("""COMPUTED_VALUE"""),45322.6666666666)</f>
        <v>45322.666666666599</v>
      </c>
      <c r="AP6" s="27">
        <f ca="1">IFERROR(__xludf.DUMMYFUNCTION("""COMPUTED_VALUE"""),511.74)</f>
        <v>511.74</v>
      </c>
      <c r="AQ6" s="49"/>
      <c r="AR6" s="27"/>
      <c r="AS6" s="49"/>
      <c r="AT6" s="27"/>
      <c r="AU6" s="49">
        <f ca="1">IFERROR(__xludf.DUMMYFUNCTION("""COMPUTED_VALUE"""),45289.6666666666)</f>
        <v>45289.666666666599</v>
      </c>
      <c r="AV6" s="27">
        <f ca="1">IFERROR(__xludf.DUMMYFUNCTION("""COMPUTED_VALUE"""),526.47)</f>
        <v>526.47</v>
      </c>
      <c r="AW6" s="5"/>
      <c r="AX6" s="5"/>
      <c r="AY6" s="68" t="s">
        <v>71</v>
      </c>
      <c r="AZ6" s="8">
        <v>4.65E-2</v>
      </c>
      <c r="BA6" s="8">
        <v>-1.0200000000000001E-2</v>
      </c>
      <c r="BI6" s="5"/>
      <c r="BJ6" s="5"/>
      <c r="BK6" s="5"/>
      <c r="BL6" s="5"/>
      <c r="BM6" s="5"/>
      <c r="BN6" s="5"/>
      <c r="BO6" s="5"/>
      <c r="BP6" s="5"/>
      <c r="BQ6" s="5"/>
      <c r="BR6" s="5"/>
    </row>
    <row r="7" spans="1:79" ht="19.2">
      <c r="A7" s="45">
        <f t="shared" si="1"/>
        <v>3</v>
      </c>
      <c r="B7" s="27" t="s">
        <v>78</v>
      </c>
      <c r="C7" s="46" t="str">
        <f ca="1">IFERROR(__xludf.DUMMYFUNCTION("GoogleFinance(B7,""name"")"),"Kroger Co")</f>
        <v>Kroger Co</v>
      </c>
      <c r="D7" s="47">
        <f ca="1">IFERROR(__xludf.DUMMYFUNCTION("GoogleFinance(B7,""marketcap"")/1000000"),34273.3351)</f>
        <v>34273.335099999997</v>
      </c>
      <c r="E7" s="48" t="s">
        <v>16</v>
      </c>
      <c r="F7" s="48" t="s">
        <v>79</v>
      </c>
      <c r="G7" s="49">
        <v>44916</v>
      </c>
      <c r="H7" s="2">
        <v>0.04</v>
      </c>
      <c r="I7" s="9">
        <f ca="1">N7/$M$40</f>
        <v>3.8173844496523598E-2</v>
      </c>
      <c r="J7" s="50">
        <f ca="1">IFERROR(__xludf.DUMMYFUNCTION("GOOGLEFINANCE(B7)"),47.64)</f>
        <v>47.64</v>
      </c>
      <c r="K7" s="51">
        <v>44.39</v>
      </c>
      <c r="L7" s="52">
        <f>4000/K7</f>
        <v>90.11038522189682</v>
      </c>
      <c r="M7" s="53">
        <f>L7*K7</f>
        <v>4000</v>
      </c>
      <c r="N7" s="54">
        <f ca="1">J7*L7</f>
        <v>4292.8587519711646</v>
      </c>
      <c r="O7" s="54">
        <f ca="1">N7-M7</f>
        <v>292.85875197116457</v>
      </c>
      <c r="P7" s="55">
        <f ca="1">J7/K7-1</f>
        <v>7.3214687992791072E-2</v>
      </c>
      <c r="Q7" s="56">
        <f ca="1">TODAY()-G7</f>
        <v>426</v>
      </c>
      <c r="R7" s="57">
        <v>41</v>
      </c>
      <c r="S7" s="55">
        <f t="shared" ca="1" si="0"/>
        <v>-0.13937867338371113</v>
      </c>
      <c r="T7" s="48">
        <v>54</v>
      </c>
      <c r="U7" s="55">
        <f ca="1">T7/J7-1</f>
        <v>0.13350125944584379</v>
      </c>
      <c r="V7" s="8">
        <v>1.6399999999999998E-2</v>
      </c>
      <c r="W7" s="55">
        <v>4.9108125963444271E-2</v>
      </c>
      <c r="X7" s="55">
        <v>3.2509752925877766E-2</v>
      </c>
      <c r="Y7" s="55">
        <v>0.10997204100652369</v>
      </c>
      <c r="Z7" s="55">
        <v>5.2753745515932149E-3</v>
      </c>
      <c r="AA7" s="55">
        <v>4.2222708378910623E-2</v>
      </c>
      <c r="AB7" s="58" t="s">
        <v>64</v>
      </c>
      <c r="AC7" s="59" t="s">
        <v>65</v>
      </c>
      <c r="AD7" s="59" t="s">
        <v>64</v>
      </c>
      <c r="AE7" s="60" t="s">
        <v>66</v>
      </c>
      <c r="AF7" s="60" t="s">
        <v>80</v>
      </c>
      <c r="AG7" s="60" t="s">
        <v>68</v>
      </c>
      <c r="AH7" s="61" t="s">
        <v>81</v>
      </c>
      <c r="AI7" s="61" t="s">
        <v>82</v>
      </c>
      <c r="AJ7" s="2"/>
      <c r="AK7" s="2"/>
      <c r="AL7" s="2"/>
      <c r="AM7" s="2" t="str">
        <f ca="1">IFERROR(__xludf.DUMMYFUNCTION("GoogleFinance(B7,""price"",DATE(2024,2,9))"),"Date")</f>
        <v>Date</v>
      </c>
      <c r="AN7" s="27" t="str">
        <f ca="1">IFERROR(__xludf.DUMMYFUNCTION("""COMPUTED_VALUE"""),"Close")</f>
        <v>Close</v>
      </c>
      <c r="AO7" s="2" t="str">
        <f ca="1">IFERROR(__xludf.DUMMYFUNCTION("GoogleFinance(B7,""price"",DATE(2024,1,31))"),"Date")</f>
        <v>Date</v>
      </c>
      <c r="AP7" s="27" t="str">
        <f ca="1">IFERROR(__xludf.DUMMYFUNCTION("""COMPUTED_VALUE"""),"Close")</f>
        <v>Close</v>
      </c>
      <c r="AQ7" s="2" t="str">
        <f ca="1">IFERROR(__xludf.DUMMYFUNCTION("GoogleFinance(B7,""price"",today()-91)"),"#N/A")</f>
        <v>#N/A</v>
      </c>
      <c r="AR7" s="27"/>
      <c r="AS7" s="2" t="str">
        <f ca="1">IFERROR(__xludf.DUMMYFUNCTION("GoogleFinance(B7,""price"",today()-182)"),"#N/A")</f>
        <v>#N/A</v>
      </c>
      <c r="AT7" s="27"/>
      <c r="AU7" s="2" t="str">
        <f ca="1">IFERROR(__xludf.DUMMYFUNCTION("GoogleFinance(B7,""price"",DATE(2023,12,29))"),"Date")</f>
        <v>Date</v>
      </c>
      <c r="AV7" s="27" t="str">
        <f ca="1">IFERROR(__xludf.DUMMYFUNCTION("""COMPUTED_VALUE"""),"Close")</f>
        <v>Close</v>
      </c>
      <c r="AW7" s="5"/>
      <c r="AX7" s="5"/>
      <c r="BI7" s="5"/>
      <c r="BJ7" s="5"/>
      <c r="BK7" s="5"/>
      <c r="BL7" s="5"/>
      <c r="BM7" s="5"/>
      <c r="BN7" s="5"/>
      <c r="BO7" s="5"/>
      <c r="BP7" s="5"/>
      <c r="BQ7" s="5"/>
      <c r="BR7" s="5"/>
    </row>
    <row r="8" spans="1:79" ht="13.2" hidden="1">
      <c r="A8" s="45" t="e">
        <f>A4+1</f>
        <v>#REF!</v>
      </c>
      <c r="B8" s="1"/>
      <c r="C8" s="46"/>
      <c r="D8" s="47"/>
      <c r="E8" s="48"/>
      <c r="F8" s="48"/>
      <c r="G8" s="49"/>
      <c r="H8" s="2"/>
      <c r="I8" s="63"/>
      <c r="J8" s="50"/>
      <c r="K8" s="51"/>
      <c r="L8" s="48"/>
      <c r="M8" s="48"/>
      <c r="N8" s="64"/>
      <c r="O8" s="70"/>
      <c r="P8" s="71"/>
      <c r="Q8" s="66"/>
      <c r="R8" s="8"/>
      <c r="S8" s="55"/>
      <c r="T8" s="55"/>
      <c r="U8" s="55"/>
      <c r="V8" s="10" t="e">
        <v>#N/A</v>
      </c>
      <c r="W8" s="55" t="e">
        <v>#REF!</v>
      </c>
      <c r="X8" s="55" t="e">
        <v>#REF!</v>
      </c>
      <c r="Y8" s="55" t="e">
        <v>#REF!</v>
      </c>
      <c r="Z8" s="55" t="e">
        <v>#REF!</v>
      </c>
      <c r="AA8" s="55" t="e">
        <v>#REF!</v>
      </c>
      <c r="AB8" s="13"/>
      <c r="AC8" s="3"/>
      <c r="AD8" s="3"/>
      <c r="AE8" s="3"/>
      <c r="AF8" s="3"/>
      <c r="AG8" s="3"/>
      <c r="AH8" s="3"/>
      <c r="AI8" s="67"/>
      <c r="AJ8" s="2"/>
      <c r="AK8" s="2"/>
      <c r="AL8" s="2"/>
      <c r="AM8" s="49">
        <f ca="1">IFERROR(__xludf.DUMMYFUNCTION("""COMPUTED_VALUE"""),45331.6666666666)</f>
        <v>45331.666666666599</v>
      </c>
      <c r="AN8" s="27">
        <f ca="1">IFERROR(__xludf.DUMMYFUNCTION("""COMPUTED_VALUE"""),45.41)</f>
        <v>45.41</v>
      </c>
      <c r="AO8" s="49">
        <f ca="1">IFERROR(__xludf.DUMMYFUNCTION("""COMPUTED_VALUE"""),45322.6666666666)</f>
        <v>45322.666666666599</v>
      </c>
      <c r="AP8" s="27">
        <f ca="1">IFERROR(__xludf.DUMMYFUNCTION("""COMPUTED_VALUE"""),46.14)</f>
        <v>46.14</v>
      </c>
      <c r="AQ8" s="49"/>
      <c r="AR8" s="27"/>
      <c r="AS8" s="49"/>
      <c r="AT8" s="27"/>
      <c r="AU8" s="49">
        <f ca="1">IFERROR(__xludf.DUMMYFUNCTION("""COMPUTED_VALUE"""),45289.6666666666)</f>
        <v>45289.666666666599</v>
      </c>
      <c r="AV8" s="27">
        <f ca="1">IFERROR(__xludf.DUMMYFUNCTION("""COMPUTED_VALUE"""),45.71)</f>
        <v>45.71</v>
      </c>
      <c r="AW8" s="5"/>
      <c r="AX8" s="5"/>
      <c r="BI8" s="5"/>
      <c r="BJ8" s="5"/>
      <c r="BK8" s="5"/>
      <c r="BL8" s="5"/>
      <c r="BM8" s="5"/>
      <c r="BN8" s="5"/>
      <c r="BO8" s="5"/>
      <c r="BP8" s="5"/>
      <c r="BQ8" s="5"/>
      <c r="BR8" s="5"/>
    </row>
    <row r="9" spans="1:79" ht="38.4">
      <c r="A9" s="45">
        <f>A7+1</f>
        <v>4</v>
      </c>
      <c r="B9" s="7" t="s">
        <v>83</v>
      </c>
      <c r="C9" s="72" t="str">
        <f ca="1">IFERROR(__xludf.DUMMYFUNCTION("GoogleFinance(B9,""name"")"),"JPMorgan Chase &amp; Co")</f>
        <v>JPMorgan Chase &amp; Co</v>
      </c>
      <c r="D9" s="73">
        <f ca="1">IFERROR(__xludf.DUMMYFUNCTION("GoogleFinance(B9,""marketcap"")/1000000"),517577.15871)</f>
        <v>517577.15870999999</v>
      </c>
      <c r="E9" s="74" t="s">
        <v>13</v>
      </c>
      <c r="F9" s="74" t="s">
        <v>18</v>
      </c>
      <c r="G9" s="75">
        <v>45000</v>
      </c>
      <c r="H9" s="55">
        <v>0.02</v>
      </c>
      <c r="I9" s="76">
        <f ca="1">N9/$M$40</f>
        <v>1.2736060094359286E-2</v>
      </c>
      <c r="J9" s="77">
        <f ca="1">IFERROR(__xludf.DUMMYFUNCTION("GOOGLEFINANCE(B9)"),179.03)</f>
        <v>179.03</v>
      </c>
      <c r="K9" s="78">
        <v>133.97999999999999</v>
      </c>
      <c r="L9" s="79">
        <v>8</v>
      </c>
      <c r="M9" s="80">
        <f>L9*K9</f>
        <v>1071.8399999999999</v>
      </c>
      <c r="N9" s="81">
        <f ca="1">J9*L9</f>
        <v>1432.24</v>
      </c>
      <c r="O9" s="81">
        <f ca="1">N9-M9</f>
        <v>360.40000000000009</v>
      </c>
      <c r="P9" s="55">
        <f ca="1">J9/K9-1</f>
        <v>0.33624421555456041</v>
      </c>
      <c r="Q9" s="82">
        <f ca="1">TODAY()-G9</f>
        <v>342</v>
      </c>
      <c r="R9" s="83">
        <v>155</v>
      </c>
      <c r="S9" s="55">
        <f ca="1">R9/J9-1</f>
        <v>-0.13422331452829139</v>
      </c>
      <c r="T9" s="74">
        <v>190</v>
      </c>
      <c r="U9" s="55">
        <f ca="1">T9/J9-1</f>
        <v>6.1274646707255798E-2</v>
      </c>
      <c r="V9" s="8">
        <v>-4.6999999999999993E-3</v>
      </c>
      <c r="W9" s="55">
        <v>2.2970115993371953E-2</v>
      </c>
      <c r="X9" s="55">
        <v>2.6783665978435289E-2</v>
      </c>
      <c r="Y9" s="55">
        <v>0.16791702002739917</v>
      </c>
      <c r="Z9" s="55">
        <v>0.19768530907144788</v>
      </c>
      <c r="AA9" s="55">
        <v>5.2498530276308131E-2</v>
      </c>
      <c r="AB9" s="84" t="s">
        <v>74</v>
      </c>
      <c r="AC9" s="85" t="s">
        <v>84</v>
      </c>
      <c r="AD9" s="85" t="s">
        <v>64</v>
      </c>
      <c r="AE9" s="86" t="s">
        <v>85</v>
      </c>
      <c r="AF9" s="86" t="s">
        <v>80</v>
      </c>
      <c r="AG9" s="86" t="s">
        <v>75</v>
      </c>
      <c r="AH9" s="69" t="s">
        <v>86</v>
      </c>
      <c r="AI9" s="69" t="s">
        <v>87</v>
      </c>
      <c r="AJ9" s="55"/>
      <c r="AK9" s="55"/>
      <c r="AL9" s="55"/>
      <c r="AM9" s="2" t="str">
        <f ca="1">IFERROR(__xludf.DUMMYFUNCTION("GoogleFinance(B9,""price"",DATE(2024,2,9))"),"Date")</f>
        <v>Date</v>
      </c>
      <c r="AN9" s="27" t="str">
        <f ca="1">IFERROR(__xludf.DUMMYFUNCTION("""COMPUTED_VALUE"""),"Close")</f>
        <v>Close</v>
      </c>
      <c r="AO9" s="2" t="str">
        <f ca="1">IFERROR(__xludf.DUMMYFUNCTION("GoogleFinance(B9,""price"",DATE(2024,1,31))"),"Date")</f>
        <v>Date</v>
      </c>
      <c r="AP9" s="27" t="str">
        <f ca="1">IFERROR(__xludf.DUMMYFUNCTION("""COMPUTED_VALUE"""),"Close")</f>
        <v>Close</v>
      </c>
      <c r="AQ9" s="2" t="str">
        <f ca="1">IFERROR(__xludf.DUMMYFUNCTION("GoogleFinance(B9,""price"",today()-91)"),"#N/A")</f>
        <v>#N/A</v>
      </c>
      <c r="AR9" s="27"/>
      <c r="AS9" s="2" t="str">
        <f ca="1">IFERROR(__xludf.DUMMYFUNCTION("GoogleFinance(B9,""price"",today()-182)"),"#N/A")</f>
        <v>#N/A</v>
      </c>
      <c r="AT9" s="27"/>
      <c r="AU9" s="2" t="str">
        <f ca="1">IFERROR(__xludf.DUMMYFUNCTION("GoogleFinance(B9,""price"",DATE(2023,12,29))"),"Date")</f>
        <v>Date</v>
      </c>
      <c r="AV9" s="27" t="str">
        <f ca="1">IFERROR(__xludf.DUMMYFUNCTION("""COMPUTED_VALUE"""),"Close")</f>
        <v>Close</v>
      </c>
      <c r="AW9" s="87"/>
      <c r="AX9" s="87"/>
      <c r="AY9" s="88"/>
      <c r="AZ9" s="88"/>
      <c r="BA9" s="88"/>
      <c r="BB9" s="88"/>
      <c r="BC9" s="88"/>
      <c r="BD9" s="88"/>
      <c r="BE9" s="88"/>
      <c r="BF9" s="88"/>
      <c r="BG9" s="88"/>
      <c r="BH9" s="88"/>
      <c r="BI9" s="87"/>
      <c r="BJ9" s="87"/>
      <c r="BK9" s="87"/>
      <c r="BL9" s="87"/>
      <c r="BM9" s="87"/>
      <c r="BN9" s="87"/>
      <c r="BO9" s="87"/>
      <c r="BP9" s="87"/>
      <c r="BQ9" s="87"/>
      <c r="BR9" s="87"/>
      <c r="BS9" s="88"/>
      <c r="BT9" s="88"/>
      <c r="BU9" s="88"/>
      <c r="BV9" s="88"/>
      <c r="BW9" s="88"/>
      <c r="BX9" s="88"/>
      <c r="BY9" s="88"/>
      <c r="BZ9" s="88"/>
      <c r="CA9" s="88"/>
    </row>
    <row r="10" spans="1:79" ht="13.2" hidden="1">
      <c r="A10" s="45" t="e">
        <f>#REF!+1</f>
        <v>#REF!</v>
      </c>
      <c r="B10" s="1"/>
      <c r="C10" s="46"/>
      <c r="D10" s="47"/>
      <c r="E10" s="48"/>
      <c r="F10" s="48"/>
      <c r="G10" s="49"/>
      <c r="H10" s="2"/>
      <c r="I10" s="63"/>
      <c r="J10" s="50"/>
      <c r="K10" s="51"/>
      <c r="L10" s="48"/>
      <c r="M10" s="48"/>
      <c r="N10" s="64"/>
      <c r="O10" s="70"/>
      <c r="P10" s="71"/>
      <c r="Q10" s="66"/>
      <c r="R10" s="8"/>
      <c r="S10" s="55"/>
      <c r="T10" s="55"/>
      <c r="U10" s="55"/>
      <c r="V10" s="10" t="e">
        <v>#N/A</v>
      </c>
      <c r="W10" s="55" t="e">
        <v>#REF!</v>
      </c>
      <c r="X10" s="55" t="e">
        <v>#REF!</v>
      </c>
      <c r="Y10" s="55" t="e">
        <v>#REF!</v>
      </c>
      <c r="Z10" s="55" t="e">
        <v>#REF!</v>
      </c>
      <c r="AA10" s="55" t="e">
        <v>#REF!</v>
      </c>
      <c r="AB10" s="13"/>
      <c r="AC10" s="3"/>
      <c r="AD10" s="3"/>
      <c r="AE10" s="3"/>
      <c r="AF10" s="3"/>
      <c r="AG10" s="3"/>
      <c r="AH10" s="3"/>
      <c r="AI10" s="67"/>
      <c r="AJ10" s="2"/>
      <c r="AK10" s="2"/>
      <c r="AL10" s="2"/>
      <c r="AM10" s="49">
        <f ca="1">IFERROR(__xludf.DUMMYFUNCTION("""COMPUTED_VALUE"""),45331.6666666666)</f>
        <v>45331.666666666599</v>
      </c>
      <c r="AN10" s="27">
        <f ca="1">IFERROR(__xludf.DUMMYFUNCTION("""COMPUTED_VALUE"""),175.01)</f>
        <v>175.01</v>
      </c>
      <c r="AO10" s="49">
        <f ca="1">IFERROR(__xludf.DUMMYFUNCTION("""COMPUTED_VALUE"""),45322.6666666666)</f>
        <v>45322.666666666599</v>
      </c>
      <c r="AP10" s="27">
        <f ca="1">IFERROR(__xludf.DUMMYFUNCTION("""COMPUTED_VALUE"""),174.36)</f>
        <v>174.36</v>
      </c>
      <c r="AQ10" s="49"/>
      <c r="AR10" s="27"/>
      <c r="AS10" s="49"/>
      <c r="AT10" s="27"/>
      <c r="AU10" s="49">
        <f ca="1">IFERROR(__xludf.DUMMYFUNCTION("""COMPUTED_VALUE"""),45289.6666666666)</f>
        <v>45289.666666666599</v>
      </c>
      <c r="AV10" s="27">
        <f ca="1">IFERROR(__xludf.DUMMYFUNCTION("""COMPUTED_VALUE"""),170.1)</f>
        <v>170.1</v>
      </c>
      <c r="AW10" s="5"/>
      <c r="AX10" s="5"/>
      <c r="BF10" s="5"/>
      <c r="BG10" s="5"/>
      <c r="BH10" s="5"/>
      <c r="BI10" s="5"/>
      <c r="BJ10" s="5"/>
      <c r="BK10" s="5"/>
      <c r="BL10" s="5"/>
      <c r="BM10" s="5"/>
      <c r="BN10" s="5"/>
      <c r="BO10" s="5"/>
      <c r="BP10" s="5"/>
      <c r="BQ10" s="5"/>
      <c r="BR10" s="5"/>
    </row>
    <row r="11" spans="1:79" ht="38.4">
      <c r="A11" s="45">
        <f t="shared" ref="A11:A17" si="2">A9+1</f>
        <v>5</v>
      </c>
      <c r="B11" s="7" t="s">
        <v>88</v>
      </c>
      <c r="C11" s="72" t="str">
        <f ca="1">IFERROR(__xludf.DUMMYFUNCTION("GoogleFinance(B11,""name"")"),"T-Mobile Us Inc")</f>
        <v>T-Mobile Us Inc</v>
      </c>
      <c r="D11" s="73">
        <f ca="1">IFERROR(__xludf.DUMMYFUNCTION("GoogleFinance(B11,""marketcap"")/1000000"),190385.339816)</f>
        <v>190385.33981599999</v>
      </c>
      <c r="E11" s="74" t="s">
        <v>12</v>
      </c>
      <c r="F11" s="74" t="s">
        <v>89</v>
      </c>
      <c r="G11" s="75">
        <v>45191</v>
      </c>
      <c r="H11" s="55">
        <v>0.04</v>
      </c>
      <c r="I11" s="76">
        <f ca="1">N11/$M$40</f>
        <v>2.0527312131115808E-2</v>
      </c>
      <c r="J11" s="77">
        <f ca="1">IFERROR(__xludf.DUMMYFUNCTION("GOOGLEFINANCE(B11)"),160.41)</f>
        <v>160.41</v>
      </c>
      <c r="K11" s="78">
        <v>139.5</v>
      </c>
      <c r="L11" s="79">
        <f>4100/K11-15</f>
        <v>14.390681003584231</v>
      </c>
      <c r="M11" s="80">
        <f>L11*K11</f>
        <v>2007.5000000000002</v>
      </c>
      <c r="N11" s="81">
        <f ca="1">J11*L11</f>
        <v>2308.4091397849465</v>
      </c>
      <c r="O11" s="81">
        <f ca="1">N11-M11</f>
        <v>300.90913978494632</v>
      </c>
      <c r="P11" s="55">
        <f ca="1">J11/K11-1</f>
        <v>0.14989247311827958</v>
      </c>
      <c r="Q11" s="82">
        <f ca="1">TODAY()-G11</f>
        <v>151</v>
      </c>
      <c r="R11" s="83">
        <v>138</v>
      </c>
      <c r="S11" s="55">
        <f ca="1">R11/J11-1</f>
        <v>-0.13970450720029925</v>
      </c>
      <c r="T11" s="74">
        <v>190</v>
      </c>
      <c r="U11" s="55">
        <f ca="1">T11/J11-1</f>
        <v>0.18446480892712436</v>
      </c>
      <c r="V11" s="8">
        <v>-7.1999999999999998E-3</v>
      </c>
      <c r="W11" s="55">
        <v>-1.0974782662309668E-2</v>
      </c>
      <c r="X11" s="55">
        <v>-5.0859021273955696E-3</v>
      </c>
      <c r="Y11" s="55">
        <v>8.0202020202020163E-2</v>
      </c>
      <c r="Z11" s="55">
        <v>0.18340095905569886</v>
      </c>
      <c r="AA11" s="55">
        <v>4.9897087257511075E-4</v>
      </c>
      <c r="AB11" s="84" t="s">
        <v>74</v>
      </c>
      <c r="AC11" s="85" t="s">
        <v>64</v>
      </c>
      <c r="AD11" s="85" t="s">
        <v>65</v>
      </c>
      <c r="AE11" s="86" t="s">
        <v>85</v>
      </c>
      <c r="AF11" s="86" t="s">
        <v>80</v>
      </c>
      <c r="AG11" s="86" t="s">
        <v>75</v>
      </c>
      <c r="AH11" s="69" t="s">
        <v>90</v>
      </c>
      <c r="AI11" s="69" t="s">
        <v>91</v>
      </c>
      <c r="AJ11" s="55"/>
      <c r="AK11" s="55"/>
      <c r="AL11" s="55"/>
      <c r="AM11" s="2" t="str">
        <f ca="1">IFERROR(__xludf.DUMMYFUNCTION("GoogleFinance(B11,""price"",DATE(2024,2,9))"),"Date")</f>
        <v>Date</v>
      </c>
      <c r="AN11" s="27" t="str">
        <f ca="1">IFERROR(__xludf.DUMMYFUNCTION("""COMPUTED_VALUE"""),"Close")</f>
        <v>Close</v>
      </c>
      <c r="AO11" s="2" t="str">
        <f ca="1">IFERROR(__xludf.DUMMYFUNCTION("GoogleFinance(B11,""price"",DATE(2024,1,31))"),"Date")</f>
        <v>Date</v>
      </c>
      <c r="AP11" s="89" t="str">
        <f ca="1">IFERROR(__xludf.DUMMYFUNCTION("""COMPUTED_VALUE"""),"Close")</f>
        <v>Close</v>
      </c>
      <c r="AQ11" s="55" t="str">
        <f ca="1">IFERROR(__xludf.DUMMYFUNCTION("GoogleFinance(B11,""price"",today()-91)"),"#N/A")</f>
        <v>#N/A</v>
      </c>
      <c r="AR11" s="89"/>
      <c r="AS11" s="55" t="str">
        <f ca="1">IFERROR(__xludf.DUMMYFUNCTION("GoogleFinance(B11,""price"",today()-182)"),"#N/A")</f>
        <v>#N/A</v>
      </c>
      <c r="AT11" s="89"/>
      <c r="AU11" s="55" t="str">
        <f ca="1">IFERROR(__xludf.DUMMYFUNCTION("GoogleFinance(B11,""price"",DATE(2023,12,29))"),"Date")</f>
        <v>Date</v>
      </c>
      <c r="AV11" s="89" t="str">
        <f ca="1">IFERROR(__xludf.DUMMYFUNCTION("""COMPUTED_VALUE"""),"Close")</f>
        <v>Close</v>
      </c>
      <c r="AW11" s="87"/>
      <c r="AX11" s="87"/>
      <c r="AY11" s="88"/>
      <c r="AZ11" s="88"/>
      <c r="BA11" s="88"/>
      <c r="BB11" s="88"/>
      <c r="BC11" s="88"/>
      <c r="BD11" s="88"/>
      <c r="BE11" s="88"/>
      <c r="BF11" s="88"/>
      <c r="BG11" s="88"/>
      <c r="BH11" s="88"/>
      <c r="BI11" s="87"/>
      <c r="BJ11" s="87"/>
      <c r="BK11" s="87"/>
      <c r="BL11" s="87"/>
      <c r="BM11" s="87"/>
      <c r="BN11" s="87"/>
      <c r="BO11" s="87"/>
      <c r="BP11" s="87"/>
      <c r="BQ11" s="87"/>
      <c r="BR11" s="87"/>
      <c r="BS11" s="88"/>
      <c r="BT11" s="88"/>
      <c r="BU11" s="88"/>
      <c r="BV11" s="88"/>
      <c r="BW11" s="88"/>
      <c r="BX11" s="88"/>
      <c r="BY11" s="88"/>
      <c r="BZ11" s="88"/>
      <c r="CA11" s="88"/>
    </row>
    <row r="12" spans="1:79" ht="13.2" hidden="1">
      <c r="A12" s="45" t="e">
        <f t="shared" si="2"/>
        <v>#REF!</v>
      </c>
      <c r="B12" s="26"/>
      <c r="C12" s="90"/>
      <c r="D12" s="91"/>
      <c r="E12" s="92"/>
      <c r="F12" s="92"/>
      <c r="G12" s="93"/>
      <c r="H12" s="94"/>
      <c r="I12" s="95"/>
      <c r="J12" s="96"/>
      <c r="K12" s="97"/>
      <c r="L12" s="92"/>
      <c r="M12" s="92"/>
      <c r="N12" s="98"/>
      <c r="O12" s="99"/>
      <c r="P12" s="100"/>
      <c r="Q12" s="101"/>
      <c r="R12" s="102"/>
      <c r="S12" s="103"/>
      <c r="T12" s="103"/>
      <c r="U12" s="103"/>
      <c r="V12" s="104" t="e">
        <v>#N/A</v>
      </c>
      <c r="W12" s="103" t="e">
        <v>#REF!</v>
      </c>
      <c r="X12" s="103" t="e">
        <v>#REF!</v>
      </c>
      <c r="Y12" s="103" t="e">
        <v>#REF!</v>
      </c>
      <c r="Z12" s="103" t="e">
        <v>#REF!</v>
      </c>
      <c r="AA12" s="103" t="e">
        <v>#REF!</v>
      </c>
      <c r="AB12" s="105"/>
      <c r="AC12" s="106"/>
      <c r="AD12" s="106"/>
      <c r="AE12" s="106"/>
      <c r="AF12" s="106"/>
      <c r="AG12" s="106"/>
      <c r="AH12" s="106"/>
      <c r="AI12" s="107"/>
      <c r="AJ12" s="94"/>
      <c r="AK12" s="94"/>
      <c r="AL12" s="94"/>
      <c r="AM12" s="93">
        <f ca="1">IFERROR(__xludf.DUMMYFUNCTION("""COMPUTED_VALUE"""),45331.6666666666)</f>
        <v>45331.666666666599</v>
      </c>
      <c r="AN12" s="108">
        <f ca="1">IFERROR(__xludf.DUMMYFUNCTION("""COMPUTED_VALUE"""),162.19)</f>
        <v>162.19</v>
      </c>
      <c r="AO12" s="93">
        <f ca="1">IFERROR(__xludf.DUMMYFUNCTION("""COMPUTED_VALUE"""),45322.6666666666)</f>
        <v>45322.666666666599</v>
      </c>
      <c r="AP12" s="108">
        <f ca="1">IFERROR(__xludf.DUMMYFUNCTION("""COMPUTED_VALUE"""),161.23)</f>
        <v>161.22999999999999</v>
      </c>
      <c r="AQ12" s="93"/>
      <c r="AR12" s="108"/>
      <c r="AS12" s="93"/>
      <c r="AT12" s="108"/>
      <c r="AU12" s="93">
        <f ca="1">IFERROR(__xludf.DUMMYFUNCTION("""COMPUTED_VALUE"""),45289.6666666666)</f>
        <v>45289.666666666599</v>
      </c>
      <c r="AV12" s="108">
        <f ca="1">IFERROR(__xludf.DUMMYFUNCTION("""COMPUTED_VALUE"""),160.33)</f>
        <v>160.33000000000001</v>
      </c>
      <c r="AW12" s="109"/>
      <c r="AX12" s="109"/>
      <c r="AY12" s="110"/>
      <c r="AZ12" s="110"/>
      <c r="BA12" s="110"/>
      <c r="BB12" s="110"/>
      <c r="BC12" s="110"/>
      <c r="BD12" s="110"/>
      <c r="BE12" s="110"/>
      <c r="BF12" s="109"/>
      <c r="BG12" s="109"/>
      <c r="BH12" s="109"/>
      <c r="BI12" s="109"/>
      <c r="BJ12" s="109"/>
      <c r="BK12" s="109"/>
      <c r="BL12" s="109"/>
      <c r="BM12" s="109"/>
      <c r="BN12" s="109"/>
      <c r="BO12" s="109"/>
      <c r="BP12" s="109"/>
      <c r="BQ12" s="109"/>
      <c r="BR12" s="109"/>
      <c r="BS12" s="110"/>
      <c r="BT12" s="110"/>
      <c r="BU12" s="110"/>
      <c r="BV12" s="110"/>
      <c r="BW12" s="110"/>
      <c r="BX12" s="110"/>
      <c r="BY12" s="110"/>
      <c r="BZ12" s="110"/>
      <c r="CA12" s="110"/>
    </row>
    <row r="13" spans="1:79" ht="38.4">
      <c r="A13" s="111">
        <f t="shared" si="2"/>
        <v>6</v>
      </c>
      <c r="B13" s="112" t="s">
        <v>92</v>
      </c>
      <c r="C13" s="113" t="str">
        <f ca="1">IFERROR(__xludf.DUMMYFUNCTION("GoogleFinance(B13,""name"")"),"Walt Disney Co")</f>
        <v>Walt Disney Co</v>
      </c>
      <c r="D13" s="114">
        <f ca="1">IFERROR(__xludf.DUMMYFUNCTION("GoogleFinance(B13,""marketcap"")/1000000"),204708.435201)</f>
        <v>204708.43520099999</v>
      </c>
      <c r="E13" s="115" t="s">
        <v>12</v>
      </c>
      <c r="F13" s="115" t="s">
        <v>93</v>
      </c>
      <c r="G13" s="116">
        <v>45204</v>
      </c>
      <c r="H13" s="117">
        <v>0.02</v>
      </c>
      <c r="I13" s="118">
        <f ca="1">N13/$M$40</f>
        <v>2.5802206313043141E-2</v>
      </c>
      <c r="J13" s="119">
        <f ca="1">IFERROR(__xludf.DUMMYFUNCTION("GOOGLEFINANCE(B13)"),111.6)</f>
        <v>111.6</v>
      </c>
      <c r="K13" s="120">
        <v>86.66</v>
      </c>
      <c r="L13" s="121">
        <f>56-30</f>
        <v>26</v>
      </c>
      <c r="M13" s="122">
        <f>L13*K13</f>
        <v>2253.16</v>
      </c>
      <c r="N13" s="123">
        <f ca="1">J13*L13</f>
        <v>2901.6</v>
      </c>
      <c r="O13" s="123">
        <f ca="1">N13-M13</f>
        <v>648.44000000000005</v>
      </c>
      <c r="P13" s="117">
        <f ca="1">J13/K13-1</f>
        <v>0.28779136856681276</v>
      </c>
      <c r="Q13" s="124">
        <f ca="1">TODAY()-G13</f>
        <v>138</v>
      </c>
      <c r="R13" s="125">
        <v>85</v>
      </c>
      <c r="S13" s="117">
        <f ca="1">R13/J13-1</f>
        <v>-0.23835125448028671</v>
      </c>
      <c r="T13" s="115">
        <v>125</v>
      </c>
      <c r="U13" s="117">
        <f ca="1">T13/J13-1</f>
        <v>0.12007168458781359</v>
      </c>
      <c r="V13" s="126">
        <v>-7.6E-3</v>
      </c>
      <c r="W13" s="117">
        <v>2.9615278162192116E-2</v>
      </c>
      <c r="X13" s="117">
        <v>0.16189484643414875</v>
      </c>
      <c r="Y13" s="117">
        <v>0.17436598968746697</v>
      </c>
      <c r="Z13" s="117">
        <v>0.29948765719608761</v>
      </c>
      <c r="AA13" s="117">
        <v>0.23601727766087044</v>
      </c>
      <c r="AB13" s="127" t="s">
        <v>74</v>
      </c>
      <c r="AC13" s="128" t="s">
        <v>65</v>
      </c>
      <c r="AD13" s="128" t="s">
        <v>64</v>
      </c>
      <c r="AE13" s="129" t="s">
        <v>85</v>
      </c>
      <c r="AF13" s="129" t="s">
        <v>80</v>
      </c>
      <c r="AG13" s="129" t="s">
        <v>75</v>
      </c>
      <c r="AH13" s="69" t="s">
        <v>94</v>
      </c>
      <c r="AI13" s="495" t="s">
        <v>95</v>
      </c>
      <c r="AJ13" s="117"/>
      <c r="AK13" s="117"/>
      <c r="AL13" s="117"/>
      <c r="AM13" s="117" t="str">
        <f ca="1">IFERROR(__xludf.DUMMYFUNCTION("GoogleFinance(B13,""price"",DATE(2024,2,9))"),"Date")</f>
        <v>Date</v>
      </c>
      <c r="AN13" s="130" t="str">
        <f ca="1">IFERROR(__xludf.DUMMYFUNCTION("""COMPUTED_VALUE"""),"Close")</f>
        <v>Close</v>
      </c>
      <c r="AO13" s="117" t="str">
        <f ca="1">IFERROR(__xludf.DUMMYFUNCTION("GoogleFinance(B13,""price"",DATE(2024,1,31))"),"Date")</f>
        <v>Date</v>
      </c>
      <c r="AP13" s="130" t="str">
        <f ca="1">IFERROR(__xludf.DUMMYFUNCTION("""COMPUTED_VALUE"""),"Close")</f>
        <v>Close</v>
      </c>
      <c r="AQ13" s="117" t="str">
        <f ca="1">IFERROR(__xludf.DUMMYFUNCTION("GoogleFinance(B13,""price"",today()-91)"),"#N/A")</f>
        <v>#N/A</v>
      </c>
      <c r="AR13" s="130"/>
      <c r="AS13" s="117" t="str">
        <f ca="1">IFERROR(__xludf.DUMMYFUNCTION("GoogleFinance(B13,""price"",today()-182)"),"#N/A")</f>
        <v>#N/A</v>
      </c>
      <c r="AT13" s="130"/>
      <c r="AU13" s="117" t="str">
        <f ca="1">IFERROR(__xludf.DUMMYFUNCTION("GoogleFinance(B13,""price"",DATE(2023,12,29))"),"Date")</f>
        <v>Date</v>
      </c>
      <c r="AV13" s="130" t="str">
        <f ca="1">IFERROR(__xludf.DUMMYFUNCTION("""COMPUTED_VALUE"""),"Close")</f>
        <v>Close</v>
      </c>
      <c r="AW13" s="131"/>
      <c r="AX13" s="131"/>
      <c r="AY13" s="132"/>
      <c r="AZ13" s="132"/>
      <c r="BA13" s="132"/>
      <c r="BB13" s="132"/>
      <c r="BC13" s="132"/>
      <c r="BD13" s="132"/>
      <c r="BE13" s="132"/>
      <c r="BF13" s="132"/>
      <c r="BG13" s="132"/>
      <c r="BH13" s="132"/>
      <c r="BI13" s="131"/>
      <c r="BJ13" s="131"/>
      <c r="BK13" s="131"/>
      <c r="BL13" s="131"/>
      <c r="BM13" s="131"/>
      <c r="BN13" s="131"/>
      <c r="BO13" s="131"/>
      <c r="BP13" s="131"/>
      <c r="BQ13" s="131"/>
      <c r="BR13" s="131"/>
      <c r="BS13" s="132"/>
      <c r="BT13" s="132"/>
      <c r="BU13" s="132"/>
      <c r="BV13" s="132"/>
      <c r="BW13" s="132"/>
      <c r="BX13" s="132"/>
      <c r="BY13" s="132"/>
      <c r="BZ13" s="132"/>
      <c r="CA13" s="132"/>
    </row>
    <row r="14" spans="1:79" ht="13.2" hidden="1">
      <c r="A14" s="45" t="e">
        <f t="shared" si="2"/>
        <v>#REF!</v>
      </c>
      <c r="B14" s="1"/>
      <c r="C14" s="46"/>
      <c r="D14" s="47"/>
      <c r="E14" s="48"/>
      <c r="F14" s="48"/>
      <c r="G14" s="49"/>
      <c r="H14" s="2"/>
      <c r="I14" s="63"/>
      <c r="J14" s="50"/>
      <c r="K14" s="51"/>
      <c r="L14" s="48"/>
      <c r="M14" s="48"/>
      <c r="N14" s="64"/>
      <c r="O14" s="70"/>
      <c r="P14" s="71"/>
      <c r="Q14" s="66"/>
      <c r="R14" s="8"/>
      <c r="S14" s="55"/>
      <c r="T14" s="55"/>
      <c r="U14" s="55"/>
      <c r="V14" s="10" t="e">
        <v>#N/A</v>
      </c>
      <c r="W14" s="55" t="e">
        <v>#REF!</v>
      </c>
      <c r="X14" s="55" t="e">
        <v>#REF!</v>
      </c>
      <c r="Y14" s="55" t="e">
        <v>#REF!</v>
      </c>
      <c r="Z14" s="55" t="e">
        <v>#REF!</v>
      </c>
      <c r="AA14" s="55" t="e">
        <v>#REF!</v>
      </c>
      <c r="AB14" s="13"/>
      <c r="AC14" s="3"/>
      <c r="AD14" s="3"/>
      <c r="AE14" s="3"/>
      <c r="AF14" s="3"/>
      <c r="AG14" s="3"/>
      <c r="AH14" s="3"/>
      <c r="AI14" s="67"/>
      <c r="AJ14" s="2"/>
      <c r="AK14" s="2"/>
      <c r="AL14" s="2"/>
      <c r="AM14" s="49">
        <f ca="1">IFERROR(__xludf.DUMMYFUNCTION("""COMPUTED_VALUE"""),45331.6666666666)</f>
        <v>45331.666666666599</v>
      </c>
      <c r="AN14" s="27">
        <f ca="1">IFERROR(__xludf.DUMMYFUNCTION("""COMPUTED_VALUE"""),108.39)</f>
        <v>108.39</v>
      </c>
      <c r="AO14" s="49">
        <f ca="1">IFERROR(__xludf.DUMMYFUNCTION("""COMPUTED_VALUE"""),45322.6666666666)</f>
        <v>45322.666666666599</v>
      </c>
      <c r="AP14" s="27">
        <f ca="1">IFERROR(__xludf.DUMMYFUNCTION("""COMPUTED_VALUE"""),96.05)</f>
        <v>96.05</v>
      </c>
      <c r="AQ14" s="49"/>
      <c r="AR14" s="27"/>
      <c r="AS14" s="49"/>
      <c r="AT14" s="27"/>
      <c r="AU14" s="49">
        <f ca="1">IFERROR(__xludf.DUMMYFUNCTION("""COMPUTED_VALUE"""),45289.6666666666)</f>
        <v>45289.666666666599</v>
      </c>
      <c r="AV14" s="27">
        <f ca="1">IFERROR(__xludf.DUMMYFUNCTION("""COMPUTED_VALUE"""),90.29)</f>
        <v>90.29</v>
      </c>
      <c r="AW14" s="5"/>
      <c r="AX14" s="5"/>
      <c r="BF14" s="5"/>
      <c r="BG14" s="5"/>
      <c r="BH14" s="5"/>
      <c r="BI14" s="5"/>
      <c r="BJ14" s="5"/>
      <c r="BK14" s="5"/>
      <c r="BL14" s="5"/>
      <c r="BM14" s="5"/>
      <c r="BN14" s="5"/>
      <c r="BO14" s="5"/>
      <c r="BP14" s="5"/>
      <c r="BQ14" s="5"/>
      <c r="BR14" s="5"/>
    </row>
    <row r="15" spans="1:79" ht="38.4">
      <c r="A15" s="45">
        <f t="shared" si="2"/>
        <v>7</v>
      </c>
      <c r="B15" s="1" t="s">
        <v>96</v>
      </c>
      <c r="C15" s="46" t="str">
        <f ca="1">IFERROR(__xludf.DUMMYFUNCTION("GoogleFinance(B15,""name"")"),"Paramount Global Class B")</f>
        <v>Paramount Global Class B</v>
      </c>
      <c r="D15" s="47">
        <f ca="1">IFERROR(__xludf.DUMMYFUNCTION("GoogleFinance(B15,""marketcap"")/1000000"),8181.942)</f>
        <v>8181.942</v>
      </c>
      <c r="E15" s="48" t="s">
        <v>12</v>
      </c>
      <c r="F15" s="48" t="s">
        <v>93</v>
      </c>
      <c r="G15" s="49">
        <v>45204</v>
      </c>
      <c r="H15" s="2">
        <v>0.04</v>
      </c>
      <c r="I15" s="9">
        <f ca="1">N15/$M$40</f>
        <v>3.2205898309263951E-2</v>
      </c>
      <c r="J15" s="50">
        <f ca="1">IFERROR(__xludf.DUMMYFUNCTION("GOOGLEFINANCE(B15)"),12)</f>
        <v>12</v>
      </c>
      <c r="K15" s="51">
        <v>14.91</v>
      </c>
      <c r="L15" s="52">
        <f>4500/K15</f>
        <v>301.81086519114689</v>
      </c>
      <c r="M15" s="53">
        <v>5000</v>
      </c>
      <c r="N15" s="54">
        <f ca="1">J15*L15</f>
        <v>3621.7303822937629</v>
      </c>
      <c r="O15" s="54">
        <f ca="1">N15-M15</f>
        <v>-1378.2696177062371</v>
      </c>
      <c r="P15" s="55">
        <f ca="1">J15/K15-1</f>
        <v>-0.19517102615694171</v>
      </c>
      <c r="Q15" s="56">
        <f ca="1">TODAY()-G15</f>
        <v>138</v>
      </c>
      <c r="R15" s="57">
        <v>10.7</v>
      </c>
      <c r="S15" s="55">
        <f ca="1">R15/J15-1</f>
        <v>-0.10833333333333339</v>
      </c>
      <c r="T15" s="48">
        <v>23</v>
      </c>
      <c r="U15" s="55">
        <f ca="1">T15/J15-1</f>
        <v>0.91666666666666674</v>
      </c>
      <c r="V15" s="8">
        <v>-4.6900000000000004E-2</v>
      </c>
      <c r="W15" s="55">
        <v>-6.9767441860465129E-2</v>
      </c>
      <c r="X15" s="55">
        <v>-0.17751884852638788</v>
      </c>
      <c r="Y15" s="55">
        <v>-0.13854989231873649</v>
      </c>
      <c r="Z15" s="55">
        <v>-0.18032786885245899</v>
      </c>
      <c r="AA15" s="55">
        <v>-0.18864097363083154</v>
      </c>
      <c r="AB15" s="58" t="s">
        <v>97</v>
      </c>
      <c r="AC15" s="59" t="s">
        <v>65</v>
      </c>
      <c r="AD15" s="85" t="s">
        <v>65</v>
      </c>
      <c r="AE15" s="60" t="s">
        <v>85</v>
      </c>
      <c r="AF15" s="60" t="s">
        <v>80</v>
      </c>
      <c r="AG15" s="60" t="s">
        <v>75</v>
      </c>
      <c r="AH15" s="133" t="s">
        <v>98</v>
      </c>
      <c r="AI15" s="133" t="s">
        <v>99</v>
      </c>
      <c r="AJ15" s="2"/>
      <c r="AK15" s="2"/>
      <c r="AL15" s="2"/>
      <c r="AM15" s="2" t="str">
        <f ca="1">IFERROR(__xludf.DUMMYFUNCTION("GoogleFinance(B15,""price"",DATE(2024,2,9))"),"Date")</f>
        <v>Date</v>
      </c>
      <c r="AN15" s="27" t="str">
        <f ca="1">IFERROR(__xludf.DUMMYFUNCTION("""COMPUTED_VALUE"""),"Close")</f>
        <v>Close</v>
      </c>
      <c r="AO15" s="2" t="str">
        <f ca="1">IFERROR(__xludf.DUMMYFUNCTION("GoogleFinance(B15,""price"",DATE(2024,1,31))"),"Date")</f>
        <v>Date</v>
      </c>
      <c r="AP15" s="27" t="str">
        <f ca="1">IFERROR(__xludf.DUMMYFUNCTION("""COMPUTED_VALUE"""),"Close")</f>
        <v>Close</v>
      </c>
      <c r="AQ15" s="2" t="str">
        <f ca="1">IFERROR(__xludf.DUMMYFUNCTION("GoogleFinance(B15,""price"",today()-91)"),"#N/A")</f>
        <v>#N/A</v>
      </c>
      <c r="AR15" s="27"/>
      <c r="AS15" s="2" t="str">
        <f ca="1">IFERROR(__xludf.DUMMYFUNCTION("GoogleFinance(B15,""price"",today()-182)"),"#N/A")</f>
        <v>#N/A</v>
      </c>
      <c r="AT15" s="27"/>
      <c r="AU15" s="2" t="str">
        <f ca="1">IFERROR(__xludf.DUMMYFUNCTION("GoogleFinance(B15,""price"",DATE(2023,12,29))"),"Date")</f>
        <v>Date</v>
      </c>
      <c r="AV15" s="27" t="str">
        <f ca="1">IFERROR(__xludf.DUMMYFUNCTION("""COMPUTED_VALUE"""),"Close")</f>
        <v>Close</v>
      </c>
      <c r="AW15" s="5"/>
      <c r="AX15" s="5"/>
      <c r="BI15" s="5"/>
      <c r="BJ15" s="5"/>
      <c r="BK15" s="5"/>
      <c r="BL15" s="5"/>
      <c r="BM15" s="5"/>
      <c r="BN15" s="5"/>
      <c r="BO15" s="5"/>
      <c r="BP15" s="5"/>
      <c r="BQ15" s="5"/>
      <c r="BR15" s="5"/>
    </row>
    <row r="16" spans="1:79" ht="13.2" hidden="1">
      <c r="A16" s="134" t="e">
        <f t="shared" si="2"/>
        <v>#REF!</v>
      </c>
      <c r="B16" s="26"/>
      <c r="C16" s="90"/>
      <c r="D16" s="91"/>
      <c r="E16" s="92"/>
      <c r="F16" s="92"/>
      <c r="G16" s="93"/>
      <c r="H16" s="94"/>
      <c r="I16" s="95"/>
      <c r="J16" s="96"/>
      <c r="K16" s="97"/>
      <c r="L16" s="92"/>
      <c r="M16" s="92"/>
      <c r="N16" s="98"/>
      <c r="O16" s="99"/>
      <c r="P16" s="100"/>
      <c r="Q16" s="101"/>
      <c r="R16" s="102"/>
      <c r="S16" s="103"/>
      <c r="T16" s="103"/>
      <c r="U16" s="103"/>
      <c r="V16" s="104" t="e">
        <v>#N/A</v>
      </c>
      <c r="W16" s="103" t="e">
        <v>#REF!</v>
      </c>
      <c r="X16" s="103" t="e">
        <v>#REF!</v>
      </c>
      <c r="Y16" s="103" t="e">
        <v>#REF!</v>
      </c>
      <c r="Z16" s="103" t="e">
        <v>#REF!</v>
      </c>
      <c r="AA16" s="103" t="e">
        <v>#REF!</v>
      </c>
      <c r="AB16" s="105"/>
      <c r="AC16" s="106"/>
      <c r="AD16" s="106"/>
      <c r="AE16" s="106"/>
      <c r="AF16" s="106"/>
      <c r="AG16" s="106"/>
      <c r="AH16" s="106"/>
      <c r="AI16" s="107"/>
      <c r="AJ16" s="94"/>
      <c r="AK16" s="94"/>
      <c r="AL16" s="94"/>
      <c r="AM16" s="93">
        <f ca="1">IFERROR(__xludf.DUMMYFUNCTION("""COMPUTED_VALUE"""),45331.6666666666)</f>
        <v>45331.666666666599</v>
      </c>
      <c r="AN16" s="108">
        <f ca="1">IFERROR(__xludf.DUMMYFUNCTION("""COMPUTED_VALUE"""),12.9)</f>
        <v>12.9</v>
      </c>
      <c r="AO16" s="93">
        <f ca="1">IFERROR(__xludf.DUMMYFUNCTION("""COMPUTED_VALUE"""),45322.6666666666)</f>
        <v>45322.666666666599</v>
      </c>
      <c r="AP16" s="108">
        <f ca="1">IFERROR(__xludf.DUMMYFUNCTION("""COMPUTED_VALUE"""),14.59)</f>
        <v>14.59</v>
      </c>
      <c r="AQ16" s="93"/>
      <c r="AR16" s="108"/>
      <c r="AS16" s="93"/>
      <c r="AT16" s="108"/>
      <c r="AU16" s="93">
        <f ca="1">IFERROR(__xludf.DUMMYFUNCTION("""COMPUTED_VALUE"""),45289.6666666666)</f>
        <v>45289.666666666599</v>
      </c>
      <c r="AV16" s="108">
        <f ca="1">IFERROR(__xludf.DUMMYFUNCTION("""COMPUTED_VALUE"""),14.79)</f>
        <v>14.79</v>
      </c>
      <c r="AW16" s="109"/>
      <c r="AX16" s="109"/>
      <c r="AY16" s="110"/>
      <c r="AZ16" s="110"/>
      <c r="BA16" s="110"/>
      <c r="BB16" s="110"/>
      <c r="BC16" s="110"/>
      <c r="BD16" s="110"/>
      <c r="BE16" s="110"/>
      <c r="BF16" s="109"/>
      <c r="BG16" s="109"/>
      <c r="BH16" s="109"/>
      <c r="BI16" s="109"/>
      <c r="BJ16" s="109"/>
      <c r="BK16" s="109"/>
      <c r="BL16" s="109"/>
      <c r="BM16" s="109"/>
      <c r="BN16" s="109"/>
      <c r="BO16" s="109"/>
      <c r="BP16" s="109"/>
      <c r="BQ16" s="109"/>
      <c r="BR16" s="109"/>
      <c r="BS16" s="110"/>
      <c r="BT16" s="110"/>
      <c r="BU16" s="110"/>
      <c r="BV16" s="110"/>
      <c r="BW16" s="110"/>
      <c r="BX16" s="110"/>
      <c r="BY16" s="110"/>
      <c r="BZ16" s="110"/>
      <c r="CA16" s="110"/>
    </row>
    <row r="17" spans="1:79" ht="48">
      <c r="A17" s="45">
        <f t="shared" si="2"/>
        <v>8</v>
      </c>
      <c r="B17" s="1" t="s">
        <v>100</v>
      </c>
      <c r="C17" s="46" t="str">
        <f ca="1">IFERROR(__xludf.DUMMYFUNCTION("GoogleFinance(B17,""name"")"),"Alibaba Group Holding Ltd - ADR")</f>
        <v>Alibaba Group Holding Ltd - ADR</v>
      </c>
      <c r="D17" s="47">
        <f ca="1">IFERROR(__xludf.DUMMYFUNCTION("GoogleFinance(B17,""marketcap"")/1000000"),1437950.085)</f>
        <v>1437950.085</v>
      </c>
      <c r="E17" s="48" t="s">
        <v>101</v>
      </c>
      <c r="F17" s="48" t="s">
        <v>20</v>
      </c>
      <c r="G17" s="49">
        <v>45267</v>
      </c>
      <c r="H17" s="2">
        <v>0.04</v>
      </c>
      <c r="I17" s="9">
        <f ca="1">N17/$M$40</f>
        <v>4.4710051329808612E-2</v>
      </c>
      <c r="J17" s="50">
        <f ca="1">IFERROR(__xludf.DUMMYFUNCTION("GOOGLEFINANCE(B17)"),73.91)</f>
        <v>73.91</v>
      </c>
      <c r="K17" s="51">
        <v>73.5</v>
      </c>
      <c r="L17" s="52">
        <f>5000/K17</f>
        <v>68.027210884353735</v>
      </c>
      <c r="M17" s="53">
        <v>4000</v>
      </c>
      <c r="N17" s="54">
        <f ca="1">J17*L17</f>
        <v>5027.8911564625841</v>
      </c>
      <c r="O17" s="54">
        <f ca="1">N17-M17</f>
        <v>1027.8911564625841</v>
      </c>
      <c r="P17" s="55">
        <f ca="1">J17/K17-1</f>
        <v>5.5782312925169997E-3</v>
      </c>
      <c r="Q17" s="56">
        <f ca="1">TODAY()-G17</f>
        <v>75</v>
      </c>
      <c r="R17" s="57">
        <v>65</v>
      </c>
      <c r="S17" s="55">
        <f ca="1">R17/J17-1</f>
        <v>-0.12055202273034771</v>
      </c>
      <c r="T17" s="48">
        <v>96</v>
      </c>
      <c r="U17" s="55">
        <f ca="1">T17/J17-1</f>
        <v>0.29887701258287103</v>
      </c>
      <c r="V17" s="8">
        <v>1.1999999999999999E-3</v>
      </c>
      <c r="W17" s="55">
        <v>2.6242710358233889E-2</v>
      </c>
      <c r="X17" s="55">
        <v>2.41097408895663E-2</v>
      </c>
      <c r="Y17" s="55">
        <v>-5.7991333163395331E-2</v>
      </c>
      <c r="Z17" s="55">
        <v>-0.16551879869030139</v>
      </c>
      <c r="AA17" s="55">
        <v>-4.6445619920010395E-2</v>
      </c>
      <c r="AB17" s="58" t="s">
        <v>97</v>
      </c>
      <c r="AC17" s="59" t="s">
        <v>65</v>
      </c>
      <c r="AD17" s="85" t="s">
        <v>64</v>
      </c>
      <c r="AE17" s="60" t="s">
        <v>85</v>
      </c>
      <c r="AF17" s="60" t="s">
        <v>80</v>
      </c>
      <c r="AG17" s="60" t="s">
        <v>75</v>
      </c>
      <c r="AH17" s="133" t="s">
        <v>102</v>
      </c>
      <c r="AI17" s="133" t="s">
        <v>103</v>
      </c>
      <c r="AJ17" s="2"/>
      <c r="AK17" s="2"/>
      <c r="AL17" s="2"/>
      <c r="AM17" s="2" t="str">
        <f ca="1">IFERROR(__xludf.DUMMYFUNCTION("GoogleFinance(B17,""price"",DATE(2024,2,9))"),"Date")</f>
        <v>Date</v>
      </c>
      <c r="AN17" s="27" t="str">
        <f ca="1">IFERROR(__xludf.DUMMYFUNCTION("""COMPUTED_VALUE"""),"Close")</f>
        <v>Close</v>
      </c>
      <c r="AO17" s="2" t="str">
        <f ca="1">IFERROR(__xludf.DUMMYFUNCTION("GoogleFinance(B17,""price"",DATE(2024,1,31))"),"Date")</f>
        <v>Date</v>
      </c>
      <c r="AP17" s="27" t="str">
        <f ca="1">IFERROR(__xludf.DUMMYFUNCTION("""COMPUTED_VALUE"""),"Close")</f>
        <v>Close</v>
      </c>
      <c r="AQ17" s="2" t="str">
        <f ca="1">IFERROR(__xludf.DUMMYFUNCTION("GoogleFinance(B17,""price"",today()-91)"),"#N/A")</f>
        <v>#N/A</v>
      </c>
      <c r="AR17" s="27"/>
      <c r="AS17" s="2" t="str">
        <f ca="1">IFERROR(__xludf.DUMMYFUNCTION("GoogleFinance(B17,""price"",today()-182)"),"#N/A")</f>
        <v>#N/A</v>
      </c>
      <c r="AT17" s="27"/>
      <c r="AU17" s="2" t="str">
        <f ca="1">IFERROR(__xludf.DUMMYFUNCTION("GoogleFinance(B17,""price"",DATE(2023,12,29))"),"Date")</f>
        <v>Date</v>
      </c>
      <c r="AV17" s="27" t="str">
        <f ca="1">IFERROR(__xludf.DUMMYFUNCTION("""COMPUTED_VALUE"""),"Close")</f>
        <v>Close</v>
      </c>
      <c r="AW17" s="5"/>
      <c r="AX17" s="5"/>
      <c r="BI17" s="5"/>
      <c r="BJ17" s="5"/>
      <c r="BK17" s="5"/>
      <c r="BL17" s="5"/>
      <c r="BM17" s="5"/>
      <c r="BN17" s="5"/>
      <c r="BO17" s="5"/>
      <c r="BP17" s="5"/>
      <c r="BQ17" s="5"/>
      <c r="BR17" s="5"/>
    </row>
    <row r="18" spans="1:79" ht="13.2" hidden="1">
      <c r="A18" s="45" t="e">
        <f>A14+1</f>
        <v>#REF!</v>
      </c>
      <c r="B18" s="135"/>
      <c r="C18" s="136"/>
      <c r="D18" s="136"/>
      <c r="E18" s="135"/>
      <c r="F18" s="135"/>
      <c r="G18" s="137"/>
      <c r="H18" s="138"/>
      <c r="I18" s="139"/>
      <c r="J18" s="135"/>
      <c r="K18" s="140"/>
      <c r="L18" s="135"/>
      <c r="M18" s="135"/>
      <c r="N18" s="135"/>
      <c r="O18" s="141"/>
      <c r="P18" s="138"/>
      <c r="Q18" s="142"/>
      <c r="R18" s="138"/>
      <c r="S18" s="138"/>
      <c r="T18" s="138"/>
      <c r="U18" s="142"/>
      <c r="V18" s="143" t="e">
        <v>#N/A</v>
      </c>
      <c r="W18" s="143" t="e">
        <v>#REF!</v>
      </c>
      <c r="X18" s="143" t="e">
        <v>#REF!</v>
      </c>
      <c r="Y18" s="143" t="e">
        <v>#REF!</v>
      </c>
      <c r="Z18" s="143" t="e">
        <v>#REF!</v>
      </c>
      <c r="AA18" s="144" t="e">
        <v>#REF!</v>
      </c>
      <c r="AB18" s="138"/>
      <c r="AC18" s="138"/>
      <c r="AD18" s="138"/>
      <c r="AE18" s="138"/>
      <c r="AF18" s="138"/>
      <c r="AG18" s="138"/>
      <c r="AH18" s="138"/>
      <c r="AI18" s="138"/>
      <c r="AJ18" s="138"/>
      <c r="AK18" s="138"/>
      <c r="AL18" s="138"/>
      <c r="AM18" s="145">
        <f ca="1">IFERROR(__xludf.DUMMYFUNCTION("""COMPUTED_VALUE"""),45331.6666666666)</f>
        <v>45331.666666666599</v>
      </c>
      <c r="AN18" s="146">
        <f ca="1">IFERROR(__xludf.DUMMYFUNCTION("""COMPUTED_VALUE"""),72.02)</f>
        <v>72.02</v>
      </c>
      <c r="AO18" s="145">
        <f ca="1">IFERROR(__xludf.DUMMYFUNCTION("""COMPUTED_VALUE"""),45322.6666666666)</f>
        <v>45322.666666666599</v>
      </c>
      <c r="AP18" s="146">
        <f ca="1">IFERROR(__xludf.DUMMYFUNCTION("""COMPUTED_VALUE"""),72.17)</f>
        <v>72.17</v>
      </c>
      <c r="AQ18" s="145"/>
      <c r="AR18" s="146"/>
      <c r="AS18" s="145"/>
      <c r="AT18" s="146"/>
      <c r="AU18" s="145">
        <f ca="1">IFERROR(__xludf.DUMMYFUNCTION("""COMPUTED_VALUE"""),45289.6666666666)</f>
        <v>45289.666666666599</v>
      </c>
      <c r="AV18" s="146">
        <f ca="1">IFERROR(__xludf.DUMMYFUNCTION("""COMPUTED_VALUE"""),77.51)</f>
        <v>77.510000000000005</v>
      </c>
      <c r="AW18" s="135"/>
      <c r="AX18" s="135"/>
      <c r="AY18" s="147"/>
      <c r="AZ18" s="147"/>
      <c r="BA18" s="147"/>
      <c r="BB18" s="147"/>
      <c r="BC18" s="147"/>
      <c r="BD18" s="147"/>
      <c r="BE18" s="147"/>
      <c r="BF18" s="135"/>
      <c r="BG18" s="135"/>
      <c r="BH18" s="135"/>
      <c r="BI18" s="135"/>
      <c r="BJ18" s="135"/>
      <c r="BK18" s="135"/>
      <c r="BL18" s="135"/>
      <c r="BM18" s="135"/>
      <c r="BN18" s="135"/>
      <c r="BO18" s="135"/>
      <c r="BP18" s="135"/>
      <c r="BQ18" s="135"/>
      <c r="BR18" s="135"/>
      <c r="BS18" s="147"/>
      <c r="BT18" s="147"/>
      <c r="BU18" s="147"/>
      <c r="BV18" s="147"/>
      <c r="BW18" s="147"/>
      <c r="BX18" s="147"/>
      <c r="BY18" s="147"/>
      <c r="BZ18" s="147"/>
      <c r="CA18" s="147"/>
    </row>
    <row r="19" spans="1:79" ht="28.8">
      <c r="A19" s="45">
        <f>A17+1</f>
        <v>9</v>
      </c>
      <c r="B19" s="7" t="s">
        <v>104</v>
      </c>
      <c r="C19" s="72" t="str">
        <f ca="1">IFERROR(__xludf.DUMMYFUNCTION("GoogleFinance(B19,""name"")"),"AbbVie Inc")</f>
        <v>AbbVie Inc</v>
      </c>
      <c r="D19" s="73">
        <f ca="1">IFERROR(__xludf.DUMMYFUNCTION("GoogleFinance(B19,""marketcap"")/1000000"),313365.171828)</f>
        <v>313365.17182799999</v>
      </c>
      <c r="E19" s="74" t="s">
        <v>15</v>
      </c>
      <c r="F19" s="74" t="s">
        <v>105</v>
      </c>
      <c r="G19" s="75">
        <v>45184</v>
      </c>
      <c r="H19" s="55">
        <v>0.04</v>
      </c>
      <c r="I19" s="76">
        <f ca="1">N19/$M$40</f>
        <v>2.4262697127383333E-2</v>
      </c>
      <c r="J19" s="77">
        <f ca="1">IFERROR(__xludf.DUMMYFUNCTION("GOOGLEFINANCE(B19)"),177.49)</f>
        <v>177.49</v>
      </c>
      <c r="K19" s="78">
        <v>153</v>
      </c>
      <c r="L19" s="79">
        <f>4800/K19-16</f>
        <v>15.372549019607842</v>
      </c>
      <c r="M19" s="80">
        <f>L19*K19</f>
        <v>2352</v>
      </c>
      <c r="N19" s="81">
        <f ca="1">J19*L19</f>
        <v>2728.4737254901961</v>
      </c>
      <c r="O19" s="81">
        <f ca="1">N19-M19</f>
        <v>376.4737254901961</v>
      </c>
      <c r="P19" s="55">
        <f ca="1">J19/K19-1</f>
        <v>0.16006535947712419</v>
      </c>
      <c r="Q19" s="82">
        <f ca="1">TODAY()-G19</f>
        <v>158</v>
      </c>
      <c r="R19" s="83">
        <v>137</v>
      </c>
      <c r="S19" s="55">
        <f ca="1">R19/J19-1</f>
        <v>-0.22812552819877185</v>
      </c>
      <c r="T19" s="74">
        <v>182</v>
      </c>
      <c r="U19" s="55">
        <f ca="1">T19/J19-1</f>
        <v>2.5409882246887117E-2</v>
      </c>
      <c r="V19" s="8">
        <v>5.1000000000000004E-3</v>
      </c>
      <c r="W19" s="55">
        <v>1.9588694852941124E-2</v>
      </c>
      <c r="X19" s="55">
        <v>7.9622871046228783E-2</v>
      </c>
      <c r="Y19" s="55">
        <v>0.2832766972742391</v>
      </c>
      <c r="Z19" s="55">
        <v>0.18200586041555677</v>
      </c>
      <c r="AA19" s="55">
        <v>0.14531844873201272</v>
      </c>
      <c r="AB19" s="84" t="s">
        <v>74</v>
      </c>
      <c r="AC19" s="85" t="s">
        <v>64</v>
      </c>
      <c r="AD19" s="85" t="s">
        <v>64</v>
      </c>
      <c r="AE19" s="86" t="s">
        <v>85</v>
      </c>
      <c r="AF19" s="86" t="s">
        <v>80</v>
      </c>
      <c r="AG19" s="86" t="s">
        <v>75</v>
      </c>
      <c r="AH19" s="69" t="s">
        <v>106</v>
      </c>
      <c r="AI19" s="69" t="s">
        <v>107</v>
      </c>
      <c r="AJ19" s="55"/>
      <c r="AK19" s="55"/>
      <c r="AL19" s="55"/>
      <c r="AM19" s="2" t="str">
        <f ca="1">IFERROR(__xludf.DUMMYFUNCTION("GoogleFinance(B19,""price"",DATE(2024,2,9))"),"Date")</f>
        <v>Date</v>
      </c>
      <c r="AN19" s="27" t="str">
        <f ca="1">IFERROR(__xludf.DUMMYFUNCTION("""COMPUTED_VALUE"""),"Close")</f>
        <v>Close</v>
      </c>
      <c r="AO19" s="2" t="str">
        <f ca="1">IFERROR(__xludf.DUMMYFUNCTION("GoogleFinance(B19,""price"",DATE(2024,1,31))"),"Date")</f>
        <v>Date</v>
      </c>
      <c r="AP19" s="89" t="str">
        <f ca="1">IFERROR(__xludf.DUMMYFUNCTION("""COMPUTED_VALUE"""),"Close")</f>
        <v>Close</v>
      </c>
      <c r="AQ19" s="55" t="str">
        <f ca="1">IFERROR(__xludf.DUMMYFUNCTION("GoogleFinance(B19,""price"",today()-91)"),"#N/A")</f>
        <v>#N/A</v>
      </c>
      <c r="AR19" s="89"/>
      <c r="AS19" s="55" t="str">
        <f ca="1">IFERROR(__xludf.DUMMYFUNCTION("GoogleFinance(B19,""price"",today()-182)"),"#N/A")</f>
        <v>#N/A</v>
      </c>
      <c r="AT19" s="89"/>
      <c r="AU19" s="55" t="str">
        <f ca="1">IFERROR(__xludf.DUMMYFUNCTION("GoogleFinance(B19,""price"",DATE(2023,12,29))"),"Date")</f>
        <v>Date</v>
      </c>
      <c r="AV19" s="89" t="str">
        <f ca="1">IFERROR(__xludf.DUMMYFUNCTION("""COMPUTED_VALUE"""),"Close")</f>
        <v>Close</v>
      </c>
      <c r="AW19" s="87"/>
      <c r="AX19" s="87"/>
      <c r="AY19" s="88"/>
      <c r="AZ19" s="88"/>
      <c r="BA19" s="88"/>
      <c r="BB19" s="88"/>
      <c r="BC19" s="88"/>
      <c r="BD19" s="88"/>
      <c r="BE19" s="88"/>
      <c r="BF19" s="88"/>
      <c r="BG19" s="88"/>
      <c r="BH19" s="88"/>
      <c r="BI19" s="87"/>
      <c r="BJ19" s="87"/>
      <c r="BK19" s="87"/>
      <c r="BL19" s="87"/>
      <c r="BM19" s="87"/>
      <c r="BN19" s="87"/>
      <c r="BO19" s="87"/>
      <c r="BP19" s="87"/>
      <c r="BQ19" s="87"/>
      <c r="BR19" s="87"/>
      <c r="BS19" s="88"/>
      <c r="BT19" s="88"/>
      <c r="BU19" s="88"/>
      <c r="BV19" s="88"/>
      <c r="BW19" s="88"/>
      <c r="BX19" s="88"/>
      <c r="BY19" s="88"/>
      <c r="BZ19" s="88"/>
      <c r="CA19" s="88"/>
    </row>
    <row r="20" spans="1:79" ht="13.2" hidden="1">
      <c r="A20" s="134" t="e">
        <f>#REF!+1</f>
        <v>#REF!</v>
      </c>
      <c r="B20" s="1"/>
      <c r="C20" s="46"/>
      <c r="D20" s="47"/>
      <c r="E20" s="48"/>
      <c r="F20" s="48"/>
      <c r="G20" s="49"/>
      <c r="H20" s="2"/>
      <c r="I20" s="63"/>
      <c r="J20" s="50"/>
      <c r="K20" s="51"/>
      <c r="L20" s="48"/>
      <c r="M20" s="48"/>
      <c r="N20" s="64"/>
      <c r="O20" s="70"/>
      <c r="P20" s="71"/>
      <c r="Q20" s="66"/>
      <c r="R20" s="8"/>
      <c r="S20" s="55"/>
      <c r="T20" s="55"/>
      <c r="U20" s="55"/>
      <c r="V20" s="10" t="e">
        <v>#N/A</v>
      </c>
      <c r="W20" s="55" t="e">
        <v>#REF!</v>
      </c>
      <c r="X20" s="55" t="e">
        <v>#REF!</v>
      </c>
      <c r="Y20" s="55" t="e">
        <v>#REF!</v>
      </c>
      <c r="Z20" s="55" t="e">
        <v>#REF!</v>
      </c>
      <c r="AA20" s="55" t="e">
        <v>#REF!</v>
      </c>
      <c r="AB20" s="13"/>
      <c r="AC20" s="3"/>
      <c r="AD20" s="3"/>
      <c r="AE20" s="3"/>
      <c r="AF20" s="3"/>
      <c r="AG20" s="3"/>
      <c r="AH20" s="3"/>
      <c r="AI20" s="67"/>
      <c r="AJ20" s="2"/>
      <c r="AK20" s="2"/>
      <c r="AL20" s="2"/>
      <c r="AM20" s="49">
        <f ca="1">IFERROR(__xludf.DUMMYFUNCTION("""COMPUTED_VALUE"""),45331.6666666666)</f>
        <v>45331.666666666599</v>
      </c>
      <c r="AN20" s="27">
        <f ca="1">IFERROR(__xludf.DUMMYFUNCTION("""COMPUTED_VALUE"""),174.08)</f>
        <v>174.08</v>
      </c>
      <c r="AO20" s="49">
        <f ca="1">IFERROR(__xludf.DUMMYFUNCTION("""COMPUTED_VALUE"""),45322.6666666666)</f>
        <v>45322.666666666599</v>
      </c>
      <c r="AP20" s="27">
        <f ca="1">IFERROR(__xludf.DUMMYFUNCTION("""COMPUTED_VALUE"""),164.4)</f>
        <v>164.4</v>
      </c>
      <c r="AQ20" s="49"/>
      <c r="AR20" s="27"/>
      <c r="AS20" s="49"/>
      <c r="AT20" s="27"/>
      <c r="AU20" s="49">
        <f ca="1">IFERROR(__xludf.DUMMYFUNCTION("""COMPUTED_VALUE"""),45289.6666666666)</f>
        <v>45289.666666666599</v>
      </c>
      <c r="AV20" s="27">
        <f ca="1">IFERROR(__xludf.DUMMYFUNCTION("""COMPUTED_VALUE"""),154.97)</f>
        <v>154.97</v>
      </c>
      <c r="AW20" s="5"/>
      <c r="AX20" s="5"/>
      <c r="BF20" s="5"/>
      <c r="BG20" s="5"/>
      <c r="BH20" s="5"/>
      <c r="BI20" s="5"/>
      <c r="BJ20" s="5"/>
      <c r="BK20" s="5"/>
      <c r="BL20" s="5"/>
      <c r="BM20" s="5"/>
      <c r="BN20" s="5"/>
      <c r="BO20" s="5"/>
      <c r="BP20" s="5"/>
      <c r="BQ20" s="5"/>
      <c r="BR20" s="5"/>
    </row>
    <row r="21" spans="1:79" ht="38.4">
      <c r="A21" s="45">
        <f>A19+1</f>
        <v>10</v>
      </c>
      <c r="B21" s="7" t="s">
        <v>108</v>
      </c>
      <c r="C21" s="72" t="str">
        <f ca="1">IFERROR(__xludf.DUMMYFUNCTION("GoogleFinance(B21,""name"")"),"Pioneer Natural Resources Co")</f>
        <v>Pioneer Natural Resources Co</v>
      </c>
      <c r="D21" s="73">
        <f ca="1">IFERROR(__xludf.DUMMYFUNCTION("GoogleFinance(B21,""marketcap"")/1000000"),54100.102978)</f>
        <v>54100.102978000003</v>
      </c>
      <c r="E21" s="74" t="s">
        <v>14</v>
      </c>
      <c r="F21" s="74" t="s">
        <v>109</v>
      </c>
      <c r="G21" s="49">
        <v>45093</v>
      </c>
      <c r="H21" s="55">
        <v>0.03</v>
      </c>
      <c r="I21" s="76">
        <f ca="1">N21/$M$40</f>
        <v>3.5295058266495108E-2</v>
      </c>
      <c r="J21" s="77">
        <f ca="1">IFERROR(__xludf.DUMMYFUNCTION("GOOGLEFINANCE(B21)"),231.57)</f>
        <v>231.57</v>
      </c>
      <c r="K21" s="78">
        <v>204.2</v>
      </c>
      <c r="L21" s="79">
        <f>3500/204.2-8+8</f>
        <v>17.140058765915771</v>
      </c>
      <c r="M21" s="80">
        <f>L21*K21</f>
        <v>3500.0000000000005</v>
      </c>
      <c r="N21" s="81">
        <f ca="1">J21*L21</f>
        <v>3969.1234084231151</v>
      </c>
      <c r="O21" s="81">
        <f ca="1">N21-M21</f>
        <v>469.1234084231146</v>
      </c>
      <c r="P21" s="55">
        <f ca="1">J21/K21-1</f>
        <v>0.13403525954946138</v>
      </c>
      <c r="Q21" s="82">
        <f ca="1">TODAY()-G21</f>
        <v>249</v>
      </c>
      <c r="R21" s="83">
        <v>175</v>
      </c>
      <c r="S21" s="55">
        <f ca="1">R21/J21-1</f>
        <v>-0.24428898389255949</v>
      </c>
      <c r="T21" s="74">
        <v>280</v>
      </c>
      <c r="U21" s="55">
        <f ca="1">T21/J21-1</f>
        <v>0.20913762577190487</v>
      </c>
      <c r="V21" s="8">
        <v>1E-4</v>
      </c>
      <c r="W21" s="55">
        <v>1.9144441510430488E-2</v>
      </c>
      <c r="X21" s="55">
        <v>7.5708132097636049E-3</v>
      </c>
      <c r="Y21" s="55">
        <v>-2.4434427265450642E-2</v>
      </c>
      <c r="Z21" s="55">
        <v>-2.41055248851616E-2</v>
      </c>
      <c r="AA21" s="55">
        <v>2.9749199573105622E-2</v>
      </c>
      <c r="AB21" s="58" t="s">
        <v>97</v>
      </c>
      <c r="AC21" s="59" t="s">
        <v>65</v>
      </c>
      <c r="AD21" s="85" t="s">
        <v>64</v>
      </c>
      <c r="AE21" s="86" t="s">
        <v>110</v>
      </c>
      <c r="AF21" s="86" t="s">
        <v>80</v>
      </c>
      <c r="AG21" s="86" t="s">
        <v>68</v>
      </c>
      <c r="AH21" s="133" t="s">
        <v>111</v>
      </c>
      <c r="AI21" s="133" t="s">
        <v>112</v>
      </c>
      <c r="AJ21" s="55"/>
      <c r="AK21" s="55"/>
      <c r="AL21" s="55"/>
      <c r="AM21" s="2" t="str">
        <f ca="1">IFERROR(__xludf.DUMMYFUNCTION("GoogleFinance(B21,""price"",DATE(2024,2,9))"),"Date")</f>
        <v>Date</v>
      </c>
      <c r="AN21" s="27" t="str">
        <f ca="1">IFERROR(__xludf.DUMMYFUNCTION("""COMPUTED_VALUE"""),"Close")</f>
        <v>Close</v>
      </c>
      <c r="AO21" s="2" t="str">
        <f ca="1">IFERROR(__xludf.DUMMYFUNCTION("GoogleFinance(B21,""price"",DATE(2024,1,31))"),"Date")</f>
        <v>Date</v>
      </c>
      <c r="AP21" s="27" t="str">
        <f ca="1">IFERROR(__xludf.DUMMYFUNCTION("""COMPUTED_VALUE"""),"Close")</f>
        <v>Close</v>
      </c>
      <c r="AQ21" s="2" t="str">
        <f ca="1">IFERROR(__xludf.DUMMYFUNCTION("GoogleFinance(B21,""price"",today()-91)"),"#N/A")</f>
        <v>#N/A</v>
      </c>
      <c r="AR21" s="27"/>
      <c r="AS21" s="2" t="str">
        <f ca="1">IFERROR(__xludf.DUMMYFUNCTION("GoogleFinance(B21,""price"",today()-182)"),"#N/A")</f>
        <v>#N/A</v>
      </c>
      <c r="AT21" s="27"/>
      <c r="AU21" s="2" t="str">
        <f ca="1">IFERROR(__xludf.DUMMYFUNCTION("GoogleFinance(B21,""price"",DATE(2023,12,29))"),"Date")</f>
        <v>Date</v>
      </c>
      <c r="AV21" s="27" t="str">
        <f ca="1">IFERROR(__xludf.DUMMYFUNCTION("""COMPUTED_VALUE"""),"Close")</f>
        <v>Close</v>
      </c>
      <c r="AW21" s="87"/>
      <c r="AX21" s="87"/>
      <c r="AY21" s="87"/>
      <c r="AZ21" s="87"/>
      <c r="BA21" s="87"/>
      <c r="BB21" s="87"/>
      <c r="BC21" s="87"/>
      <c r="BD21" s="87"/>
      <c r="BE21" s="87"/>
      <c r="BF21" s="87"/>
      <c r="BG21" s="87"/>
      <c r="BH21" s="87"/>
      <c r="BI21" s="87"/>
      <c r="BJ21" s="87"/>
      <c r="BK21" s="87"/>
      <c r="BL21" s="87"/>
      <c r="BM21" s="87"/>
      <c r="BN21" s="87"/>
      <c r="BO21" s="87"/>
      <c r="BP21" s="87"/>
      <c r="BQ21" s="87"/>
      <c r="BR21" s="87"/>
      <c r="BS21" s="88"/>
      <c r="BT21" s="88"/>
      <c r="BU21" s="88"/>
      <c r="BV21" s="88"/>
      <c r="BW21" s="88"/>
      <c r="BX21" s="88"/>
      <c r="BY21" s="88"/>
      <c r="BZ21" s="88"/>
      <c r="CA21" s="88"/>
    </row>
    <row r="22" spans="1:79" ht="13.2" hidden="1">
      <c r="A22" s="45" t="e">
        <f>#REF!+1</f>
        <v>#REF!</v>
      </c>
      <c r="B22" s="7"/>
      <c r="C22" s="72"/>
      <c r="D22" s="73"/>
      <c r="E22" s="74"/>
      <c r="F22" s="74"/>
      <c r="G22" s="49"/>
      <c r="H22" s="55"/>
      <c r="I22" s="148"/>
      <c r="J22" s="77"/>
      <c r="K22" s="78"/>
      <c r="L22" s="74"/>
      <c r="M22" s="74"/>
      <c r="N22" s="149"/>
      <c r="O22" s="150"/>
      <c r="P22" s="65"/>
      <c r="Q22" s="66"/>
      <c r="R22" s="8"/>
      <c r="S22" s="55"/>
      <c r="T22" s="55"/>
      <c r="U22" s="55"/>
      <c r="V22" s="8" t="e">
        <v>#N/A</v>
      </c>
      <c r="W22" s="55" t="e">
        <v>#REF!</v>
      </c>
      <c r="X22" s="55" t="e">
        <v>#REF!</v>
      </c>
      <c r="Y22" s="55" t="e">
        <v>#REF!</v>
      </c>
      <c r="Z22" s="55" t="e">
        <v>#REF!</v>
      </c>
      <c r="AA22" s="55" t="e">
        <v>#REF!</v>
      </c>
      <c r="AB22" s="151"/>
      <c r="AC22" s="152"/>
      <c r="AD22" s="152"/>
      <c r="AE22" s="152"/>
      <c r="AF22" s="152"/>
      <c r="AG22" s="152"/>
      <c r="AH22" s="152"/>
      <c r="AI22" s="153"/>
      <c r="AJ22" s="55"/>
      <c r="AK22" s="55"/>
      <c r="AL22" s="55"/>
      <c r="AM22" s="75">
        <f ca="1">IFERROR(__xludf.DUMMYFUNCTION("""COMPUTED_VALUE"""),45331.6666666666)</f>
        <v>45331.666666666599</v>
      </c>
      <c r="AN22" s="89">
        <f ca="1">IFERROR(__xludf.DUMMYFUNCTION("""COMPUTED_VALUE"""),227.22)</f>
        <v>227.22</v>
      </c>
      <c r="AO22" s="75">
        <f ca="1">IFERROR(__xludf.DUMMYFUNCTION("""COMPUTED_VALUE"""),45322.6666666666)</f>
        <v>45322.666666666599</v>
      </c>
      <c r="AP22" s="89">
        <f ca="1">IFERROR(__xludf.DUMMYFUNCTION("""COMPUTED_VALUE"""),229.83)</f>
        <v>229.83</v>
      </c>
      <c r="AQ22" s="75"/>
      <c r="AR22" s="89"/>
      <c r="AS22" s="75"/>
      <c r="AT22" s="89"/>
      <c r="AU22" s="75">
        <f ca="1">IFERROR(__xludf.DUMMYFUNCTION("""COMPUTED_VALUE"""),45289.6666666666)</f>
        <v>45289.666666666599</v>
      </c>
      <c r="AV22" s="89">
        <f ca="1">IFERROR(__xludf.DUMMYFUNCTION("""COMPUTED_VALUE"""),224.88)</f>
        <v>224.88</v>
      </c>
      <c r="AW22" s="87"/>
      <c r="AX22" s="87"/>
      <c r="AY22" s="87"/>
      <c r="AZ22" s="87"/>
      <c r="BA22" s="87"/>
      <c r="BB22" s="87"/>
      <c r="BC22" s="87"/>
      <c r="BD22" s="87"/>
      <c r="BE22" s="87"/>
      <c r="BF22" s="87"/>
      <c r="BG22" s="87"/>
      <c r="BH22" s="87"/>
      <c r="BI22" s="87"/>
      <c r="BJ22" s="87"/>
      <c r="BK22" s="87"/>
      <c r="BL22" s="87"/>
      <c r="BM22" s="87"/>
      <c r="BN22" s="87"/>
      <c r="BO22" s="87"/>
      <c r="BP22" s="87"/>
      <c r="BQ22" s="87"/>
      <c r="BR22" s="87"/>
      <c r="BS22" s="88"/>
      <c r="BT22" s="88"/>
      <c r="BU22" s="88"/>
      <c r="BV22" s="88"/>
      <c r="BW22" s="88"/>
      <c r="BX22" s="88"/>
      <c r="BY22" s="88"/>
      <c r="BZ22" s="88"/>
      <c r="CA22" s="88"/>
    </row>
    <row r="23" spans="1:79" ht="28.8">
      <c r="A23" s="45">
        <f>A21+1</f>
        <v>11</v>
      </c>
      <c r="B23" s="7" t="s">
        <v>113</v>
      </c>
      <c r="C23" s="72" t="str">
        <f ca="1">IFERROR(__xludf.DUMMYFUNCTION("GoogleFinance(B23,""name"")"),"Occidental Petroleum Corp")</f>
        <v>Occidental Petroleum Corp</v>
      </c>
      <c r="D23" s="73">
        <f ca="1">IFERROR(__xludf.DUMMYFUNCTION("GoogleFinance(B23,""marketcap"")/1000000"),53111.208573)</f>
        <v>53111.208573000004</v>
      </c>
      <c r="E23" s="74" t="s">
        <v>14</v>
      </c>
      <c r="F23" s="74" t="s">
        <v>109</v>
      </c>
      <c r="G23" s="49">
        <v>45203</v>
      </c>
      <c r="H23" s="55">
        <v>0.02</v>
      </c>
      <c r="I23" s="76">
        <f ca="1">N23/$M$40</f>
        <v>1.7776001099941229E-2</v>
      </c>
      <c r="J23" s="77">
        <f ca="1">IFERROR(__xludf.DUMMYFUNCTION("GOOGLEFINANCE(B23)"),60.52)</f>
        <v>60.52</v>
      </c>
      <c r="K23" s="78">
        <f>(59.9+61.2)/2</f>
        <v>60.55</v>
      </c>
      <c r="L23" s="79">
        <f>2000/K23-16+16</f>
        <v>33.030553261767139</v>
      </c>
      <c r="M23" s="80">
        <f>L23*K23</f>
        <v>2000.0000000000002</v>
      </c>
      <c r="N23" s="81">
        <f ca="1">J23*L23</f>
        <v>1999.0090834021473</v>
      </c>
      <c r="O23" s="81">
        <f ca="1">N23-M23</f>
        <v>-0.99091659785290176</v>
      </c>
      <c r="P23" s="55">
        <f ca="1">J23/K23-1</f>
        <v>-4.9545829892638782E-4</v>
      </c>
      <c r="Q23" s="82">
        <f ca="1">TODAY()-G23</f>
        <v>139</v>
      </c>
      <c r="R23" s="83">
        <v>54</v>
      </c>
      <c r="S23" s="55">
        <f ca="1">R23/J23-1</f>
        <v>-0.1077329808327826</v>
      </c>
      <c r="T23" s="74">
        <v>86</v>
      </c>
      <c r="U23" s="55">
        <f ca="1">T23/J23-1</f>
        <v>0.42101784534038322</v>
      </c>
      <c r="V23" s="8">
        <v>6.8000000000000005E-3</v>
      </c>
      <c r="W23" s="55">
        <v>5.3071167565686528E-2</v>
      </c>
      <c r="X23" s="55">
        <v>5.1241966301893482E-2</v>
      </c>
      <c r="Y23" s="55">
        <v>-1.0140660778541033E-2</v>
      </c>
      <c r="Z23" s="55">
        <v>-5.0368743135101091E-2</v>
      </c>
      <c r="AA23" s="55">
        <v>1.3565566906715842E-2</v>
      </c>
      <c r="AB23" s="58" t="s">
        <v>97</v>
      </c>
      <c r="AC23" s="59" t="s">
        <v>65</v>
      </c>
      <c r="AD23" s="85" t="s">
        <v>64</v>
      </c>
      <c r="AE23" s="86" t="s">
        <v>110</v>
      </c>
      <c r="AF23" s="86" t="s">
        <v>80</v>
      </c>
      <c r="AG23" s="86" t="s">
        <v>68</v>
      </c>
      <c r="AH23" s="133" t="s">
        <v>114</v>
      </c>
      <c r="AI23" s="133" t="s">
        <v>115</v>
      </c>
      <c r="AJ23" s="55"/>
      <c r="AK23" s="55"/>
      <c r="AL23" s="55"/>
      <c r="AM23" s="2" t="str">
        <f ca="1">IFERROR(__xludf.DUMMYFUNCTION("GoogleFinance(B23,""price"",DATE(2024,2,9))"),"Date")</f>
        <v>Date</v>
      </c>
      <c r="AN23" s="27" t="str">
        <f ca="1">IFERROR(__xludf.DUMMYFUNCTION("""COMPUTED_VALUE"""),"Close")</f>
        <v>Close</v>
      </c>
      <c r="AO23" s="2" t="str">
        <f ca="1">IFERROR(__xludf.DUMMYFUNCTION("GoogleFinance(B23,""price"",DATE(2024,1,31))"),"Date")</f>
        <v>Date</v>
      </c>
      <c r="AP23" s="27" t="str">
        <f ca="1">IFERROR(__xludf.DUMMYFUNCTION("""COMPUTED_VALUE"""),"Close")</f>
        <v>Close</v>
      </c>
      <c r="AQ23" s="2" t="str">
        <f ca="1">IFERROR(__xludf.DUMMYFUNCTION("GoogleFinance(B23,""price"",today()-91)"),"#N/A")</f>
        <v>#N/A</v>
      </c>
      <c r="AR23" s="27"/>
      <c r="AS23" s="2" t="str">
        <f ca="1">IFERROR(__xludf.DUMMYFUNCTION("GoogleFinance(B23,""price"",today()-182)"),"#N/A")</f>
        <v>#N/A</v>
      </c>
      <c r="AT23" s="27"/>
      <c r="AU23" s="2" t="str">
        <f ca="1">IFERROR(__xludf.DUMMYFUNCTION("GoogleFinance(B23,""price"",DATE(2023,12,29))"),"Date")</f>
        <v>Date</v>
      </c>
      <c r="AV23" s="27" t="str">
        <f ca="1">IFERROR(__xludf.DUMMYFUNCTION("""COMPUTED_VALUE"""),"Close")</f>
        <v>Close</v>
      </c>
      <c r="AW23" s="87"/>
      <c r="AX23" s="87"/>
      <c r="AY23" s="87"/>
      <c r="AZ23" s="87"/>
      <c r="BA23" s="87"/>
      <c r="BB23" s="87"/>
      <c r="BC23" s="87"/>
      <c r="BD23" s="87"/>
      <c r="BE23" s="87"/>
      <c r="BF23" s="87"/>
      <c r="BG23" s="87"/>
      <c r="BH23" s="87"/>
      <c r="BI23" s="87"/>
      <c r="BJ23" s="87"/>
      <c r="BK23" s="87"/>
      <c r="BL23" s="87"/>
      <c r="BM23" s="87"/>
      <c r="BN23" s="87"/>
      <c r="BO23" s="87"/>
      <c r="BP23" s="87"/>
      <c r="BQ23" s="87"/>
      <c r="BR23" s="87"/>
      <c r="BS23" s="88"/>
      <c r="BT23" s="88"/>
      <c r="BU23" s="88"/>
      <c r="BV23" s="88"/>
      <c r="BW23" s="88"/>
      <c r="BX23" s="88"/>
      <c r="BY23" s="88"/>
      <c r="BZ23" s="88"/>
      <c r="CA23" s="88"/>
    </row>
    <row r="24" spans="1:79" ht="13.2" hidden="1">
      <c r="A24" s="45" t="e">
        <f>#REF!+1</f>
        <v>#REF!</v>
      </c>
      <c r="B24" s="7"/>
      <c r="C24" s="72"/>
      <c r="D24" s="73"/>
      <c r="E24" s="74"/>
      <c r="F24" s="74"/>
      <c r="G24" s="49"/>
      <c r="H24" s="55"/>
      <c r="I24" s="148"/>
      <c r="J24" s="77"/>
      <c r="K24" s="78"/>
      <c r="L24" s="74"/>
      <c r="M24" s="74"/>
      <c r="N24" s="149"/>
      <c r="O24" s="150"/>
      <c r="P24" s="65"/>
      <c r="Q24" s="66"/>
      <c r="R24" s="8"/>
      <c r="S24" s="55"/>
      <c r="T24" s="55"/>
      <c r="U24" s="55"/>
      <c r="V24" s="8" t="e">
        <v>#N/A</v>
      </c>
      <c r="W24" s="55" t="e">
        <v>#REF!</v>
      </c>
      <c r="X24" s="55" t="e">
        <v>#REF!</v>
      </c>
      <c r="Y24" s="55" t="e">
        <v>#REF!</v>
      </c>
      <c r="Z24" s="55" t="e">
        <v>#REF!</v>
      </c>
      <c r="AA24" s="55" t="e">
        <v>#REF!</v>
      </c>
      <c r="AB24" s="151"/>
      <c r="AC24" s="152"/>
      <c r="AD24" s="152"/>
      <c r="AE24" s="152"/>
      <c r="AF24" s="152"/>
      <c r="AG24" s="152"/>
      <c r="AH24" s="152"/>
      <c r="AI24" s="153"/>
      <c r="AJ24" s="55"/>
      <c r="AK24" s="55"/>
      <c r="AL24" s="55"/>
      <c r="AM24" s="75">
        <f ca="1">IFERROR(__xludf.DUMMYFUNCTION("""COMPUTED_VALUE"""),45331.6666666666)</f>
        <v>45331.666666666599</v>
      </c>
      <c r="AN24" s="89">
        <f ca="1">IFERROR(__xludf.DUMMYFUNCTION("""COMPUTED_VALUE"""),57.47)</f>
        <v>57.47</v>
      </c>
      <c r="AO24" s="75">
        <f ca="1">IFERROR(__xludf.DUMMYFUNCTION("""COMPUTED_VALUE"""),45322.6666666666)</f>
        <v>45322.666666666599</v>
      </c>
      <c r="AP24" s="89">
        <f ca="1">IFERROR(__xludf.DUMMYFUNCTION("""COMPUTED_VALUE"""),57.57)</f>
        <v>57.57</v>
      </c>
      <c r="AQ24" s="75"/>
      <c r="AR24" s="89"/>
      <c r="AS24" s="75"/>
      <c r="AT24" s="89"/>
      <c r="AU24" s="75">
        <f ca="1">IFERROR(__xludf.DUMMYFUNCTION("""COMPUTED_VALUE"""),45289.6666666666)</f>
        <v>45289.666666666599</v>
      </c>
      <c r="AV24" s="89">
        <f ca="1">IFERROR(__xludf.DUMMYFUNCTION("""COMPUTED_VALUE"""),59.71)</f>
        <v>59.71</v>
      </c>
      <c r="AW24" s="87"/>
      <c r="AX24" s="87"/>
      <c r="AY24" s="87"/>
      <c r="AZ24" s="87"/>
      <c r="BA24" s="87"/>
      <c r="BB24" s="87"/>
      <c r="BC24" s="87"/>
      <c r="BD24" s="87"/>
      <c r="BE24" s="87"/>
      <c r="BF24" s="87"/>
      <c r="BG24" s="87"/>
      <c r="BH24" s="87"/>
      <c r="BI24" s="87"/>
      <c r="BJ24" s="87"/>
      <c r="BK24" s="87"/>
      <c r="BL24" s="87"/>
      <c r="BM24" s="87"/>
      <c r="BN24" s="87"/>
      <c r="BO24" s="87"/>
      <c r="BP24" s="87"/>
      <c r="BQ24" s="87"/>
      <c r="BR24" s="87"/>
      <c r="BS24" s="88"/>
      <c r="BT24" s="88"/>
      <c r="BU24" s="88"/>
      <c r="BV24" s="88"/>
      <c r="BW24" s="88"/>
      <c r="BX24" s="88"/>
      <c r="BY24" s="88"/>
      <c r="BZ24" s="88"/>
      <c r="CA24" s="88"/>
    </row>
    <row r="25" spans="1:79" ht="38.4">
      <c r="A25" s="45">
        <f>A23+1</f>
        <v>12</v>
      </c>
      <c r="B25" s="7" t="s">
        <v>116</v>
      </c>
      <c r="C25" s="72" t="str">
        <f ca="1">IFERROR(__xludf.DUMMYFUNCTION("GoogleFinance(B25,""name"")"),"BP plc")</f>
        <v>BP plc</v>
      </c>
      <c r="D25" s="73">
        <f ca="1">IFERROR(__xludf.DUMMYFUNCTION("GoogleFinance(B25,""marketcap"")/1000000"),81071.0348)</f>
        <v>81071.034799999994</v>
      </c>
      <c r="E25" s="74" t="s">
        <v>14</v>
      </c>
      <c r="F25" s="74" t="s">
        <v>117</v>
      </c>
      <c r="G25" s="49">
        <v>45203</v>
      </c>
      <c r="H25" s="55">
        <v>0.02</v>
      </c>
      <c r="I25" s="76">
        <f ca="1">N25/$M$40</f>
        <v>3.5256768189700832E-2</v>
      </c>
      <c r="J25" s="77">
        <f ca="1">IFERROR(__xludf.DUMMYFUNCTION("GOOGLEFINANCE(B25)"),35.45)</f>
        <v>35.450000000000003</v>
      </c>
      <c r="K25" s="78">
        <f>(36.4+35.23)/2</f>
        <v>35.814999999999998</v>
      </c>
      <c r="L25" s="79">
        <f>2000/K25-27+27 +56</f>
        <v>111.84252408208852</v>
      </c>
      <c r="M25" s="80">
        <f>L25*K25</f>
        <v>4005.64</v>
      </c>
      <c r="N25" s="81">
        <f ca="1">J25*L25</f>
        <v>3964.8174787100384</v>
      </c>
      <c r="O25" s="81">
        <f ca="1">N25-M25</f>
        <v>-40.822521289961514</v>
      </c>
      <c r="P25" s="55">
        <f ca="1">J25/K25-1</f>
        <v>-1.0191260644980993E-2</v>
      </c>
      <c r="Q25" s="82">
        <f ca="1">TODAY()-G25</f>
        <v>139</v>
      </c>
      <c r="R25" s="83">
        <v>33</v>
      </c>
      <c r="S25" s="55">
        <f ca="1">R25/J25-1</f>
        <v>-6.9111424541608013E-2</v>
      </c>
      <c r="T25" s="74">
        <v>45</v>
      </c>
      <c r="U25" s="55">
        <f ca="1">T25/J25-1</f>
        <v>0.26939351198871631</v>
      </c>
      <c r="V25" s="8">
        <v>-4.5000000000000005E-3</v>
      </c>
      <c r="W25" s="55">
        <v>-2.5027502750274988E-2</v>
      </c>
      <c r="X25" s="55">
        <v>9.9715099715100841E-3</v>
      </c>
      <c r="Y25" s="55">
        <v>-1.1984392419175038E-2</v>
      </c>
      <c r="Z25" s="55">
        <v>-3.0891197375614965E-2</v>
      </c>
      <c r="AA25" s="55">
        <v>1.4124293785311437E-3</v>
      </c>
      <c r="AB25" s="58" t="s">
        <v>97</v>
      </c>
      <c r="AC25" s="59" t="s">
        <v>65</v>
      </c>
      <c r="AD25" s="85" t="s">
        <v>64</v>
      </c>
      <c r="AE25" s="86" t="s">
        <v>110</v>
      </c>
      <c r="AF25" s="86" t="s">
        <v>80</v>
      </c>
      <c r="AG25" s="86" t="s">
        <v>68</v>
      </c>
      <c r="AH25" s="133" t="s">
        <v>118</v>
      </c>
      <c r="AI25" s="133" t="s">
        <v>119</v>
      </c>
      <c r="AJ25" s="55"/>
      <c r="AK25" s="55"/>
      <c r="AL25" s="55"/>
      <c r="AM25" s="2" t="str">
        <f ca="1">IFERROR(__xludf.DUMMYFUNCTION("GoogleFinance(B25,""price"",DATE(2024,2,9))"),"Date")</f>
        <v>Date</v>
      </c>
      <c r="AN25" s="27" t="str">
        <f ca="1">IFERROR(__xludf.DUMMYFUNCTION("""COMPUTED_VALUE"""),"Close")</f>
        <v>Close</v>
      </c>
      <c r="AO25" s="2" t="str">
        <f ca="1">IFERROR(__xludf.DUMMYFUNCTION("GoogleFinance(B25,""price"",DATE(2024,1,31))"),"Date")</f>
        <v>Date</v>
      </c>
      <c r="AP25" s="27" t="str">
        <f ca="1">IFERROR(__xludf.DUMMYFUNCTION("""COMPUTED_VALUE"""),"Close")</f>
        <v>Close</v>
      </c>
      <c r="AQ25" s="2" t="str">
        <f ca="1">IFERROR(__xludf.DUMMYFUNCTION("GoogleFinance(B25,""price"",today()-91)"),"#N/A")</f>
        <v>#N/A</v>
      </c>
      <c r="AR25" s="27"/>
      <c r="AS25" s="2" t="str">
        <f ca="1">IFERROR(__xludf.DUMMYFUNCTION("GoogleFinance(B25,""price"",today()-182)"),"#N/A")</f>
        <v>#N/A</v>
      </c>
      <c r="AT25" s="27"/>
      <c r="AU25" s="2" t="str">
        <f ca="1">IFERROR(__xludf.DUMMYFUNCTION("GoogleFinance(B25,""price"",DATE(2023,12,29))"),"Date")</f>
        <v>Date</v>
      </c>
      <c r="AV25" s="27" t="str">
        <f ca="1">IFERROR(__xludf.DUMMYFUNCTION("""COMPUTED_VALUE"""),"Close")</f>
        <v>Close</v>
      </c>
      <c r="AW25" s="87"/>
      <c r="AX25" s="87"/>
      <c r="AY25" s="87"/>
      <c r="AZ25" s="87"/>
      <c r="BA25" s="87"/>
      <c r="BB25" s="87"/>
      <c r="BC25" s="87"/>
      <c r="BD25" s="87"/>
      <c r="BE25" s="87"/>
      <c r="BF25" s="87"/>
      <c r="BG25" s="87"/>
      <c r="BH25" s="87"/>
      <c r="BI25" s="87"/>
      <c r="BJ25" s="87"/>
      <c r="BK25" s="87"/>
      <c r="BL25" s="87"/>
      <c r="BM25" s="87"/>
      <c r="BN25" s="87"/>
      <c r="BO25" s="87"/>
      <c r="BP25" s="87"/>
      <c r="BQ25" s="87"/>
      <c r="BR25" s="87"/>
      <c r="BS25" s="88"/>
      <c r="BT25" s="88"/>
      <c r="BU25" s="88"/>
      <c r="BV25" s="88"/>
      <c r="BW25" s="88"/>
      <c r="BX25" s="88"/>
      <c r="BY25" s="88"/>
      <c r="BZ25" s="88"/>
      <c r="CA25" s="88"/>
    </row>
    <row r="26" spans="1:79" ht="13.2" hidden="1">
      <c r="A26" s="45" t="e">
        <f>#REF!+1</f>
        <v>#REF!</v>
      </c>
      <c r="B26" s="7"/>
      <c r="C26" s="72"/>
      <c r="D26" s="73"/>
      <c r="E26" s="74"/>
      <c r="F26" s="74"/>
      <c r="G26" s="49"/>
      <c r="H26" s="55"/>
      <c r="I26" s="148"/>
      <c r="J26" s="77"/>
      <c r="K26" s="78"/>
      <c r="L26" s="74"/>
      <c r="M26" s="74"/>
      <c r="N26" s="149"/>
      <c r="O26" s="150"/>
      <c r="P26" s="65"/>
      <c r="Q26" s="66"/>
      <c r="R26" s="8"/>
      <c r="S26" s="55"/>
      <c r="T26" s="55"/>
      <c r="U26" s="55"/>
      <c r="V26" s="8" t="e">
        <v>#N/A</v>
      </c>
      <c r="W26" s="55" t="e">
        <v>#REF!</v>
      </c>
      <c r="X26" s="55" t="e">
        <v>#REF!</v>
      </c>
      <c r="Y26" s="55" t="e">
        <v>#REF!</v>
      </c>
      <c r="Z26" s="55" t="e">
        <v>#REF!</v>
      </c>
      <c r="AA26" s="55" t="e">
        <v>#REF!</v>
      </c>
      <c r="AB26" s="151"/>
      <c r="AC26" s="152"/>
      <c r="AD26" s="152"/>
      <c r="AE26" s="152"/>
      <c r="AF26" s="152"/>
      <c r="AG26" s="152"/>
      <c r="AH26" s="152"/>
      <c r="AI26" s="153"/>
      <c r="AJ26" s="55"/>
      <c r="AK26" s="55"/>
      <c r="AL26" s="55"/>
      <c r="AM26" s="75">
        <f ca="1">IFERROR(__xludf.DUMMYFUNCTION("""COMPUTED_VALUE"""),45331.6666666666)</f>
        <v>45331.666666666599</v>
      </c>
      <c r="AN26" s="89">
        <f ca="1">IFERROR(__xludf.DUMMYFUNCTION("""COMPUTED_VALUE"""),36.36)</f>
        <v>36.36</v>
      </c>
      <c r="AO26" s="75">
        <f ca="1">IFERROR(__xludf.DUMMYFUNCTION("""COMPUTED_VALUE"""),45322.6666666666)</f>
        <v>45322.666666666599</v>
      </c>
      <c r="AP26" s="89">
        <f ca="1">IFERROR(__xludf.DUMMYFUNCTION("""COMPUTED_VALUE"""),35.1)</f>
        <v>35.1</v>
      </c>
      <c r="AQ26" s="75"/>
      <c r="AR26" s="89"/>
      <c r="AS26" s="75"/>
      <c r="AT26" s="89"/>
      <c r="AU26" s="75">
        <f ca="1">IFERROR(__xludf.DUMMYFUNCTION("""COMPUTED_VALUE"""),45289.6666666666)</f>
        <v>45289.666666666599</v>
      </c>
      <c r="AV26" s="89">
        <f ca="1">IFERROR(__xludf.DUMMYFUNCTION("""COMPUTED_VALUE"""),35.4)</f>
        <v>35.4</v>
      </c>
      <c r="AW26" s="87"/>
      <c r="AX26" s="87"/>
      <c r="AY26" s="87"/>
      <c r="AZ26" s="87"/>
      <c r="BA26" s="87"/>
      <c r="BB26" s="87"/>
      <c r="BC26" s="87"/>
      <c r="BD26" s="87"/>
      <c r="BE26" s="87"/>
      <c r="BF26" s="87"/>
      <c r="BG26" s="87"/>
      <c r="BH26" s="87"/>
      <c r="BI26" s="87"/>
      <c r="BJ26" s="87"/>
      <c r="BK26" s="87"/>
      <c r="BL26" s="87"/>
      <c r="BM26" s="87"/>
      <c r="BN26" s="87"/>
      <c r="BO26" s="87"/>
      <c r="BP26" s="87"/>
      <c r="BQ26" s="87"/>
      <c r="BR26" s="87"/>
      <c r="BS26" s="88"/>
      <c r="BT26" s="88"/>
      <c r="BU26" s="88"/>
      <c r="BV26" s="88"/>
      <c r="BW26" s="88"/>
      <c r="BX26" s="88"/>
      <c r="BY26" s="88"/>
      <c r="BZ26" s="88"/>
      <c r="CA26" s="88"/>
    </row>
    <row r="27" spans="1:79" ht="38.4">
      <c r="A27" s="45">
        <f t="shared" ref="A27:A28" si="3">A25+1</f>
        <v>13</v>
      </c>
      <c r="B27" s="7" t="s">
        <v>120</v>
      </c>
      <c r="C27" s="72" t="str">
        <f ca="1">IFERROR(__xludf.DUMMYFUNCTION("GoogleFinance(B27,""name"")"),"Schlumberger NV")</f>
        <v>Schlumberger NV</v>
      </c>
      <c r="D27" s="73">
        <f ca="1">IFERROR(__xludf.DUMMYFUNCTION("GoogleFinance(B27,""marketcap"")/1000000"),69328.526144)</f>
        <v>69328.526144000003</v>
      </c>
      <c r="E27" s="74" t="s">
        <v>14</v>
      </c>
      <c r="F27" s="74" t="s">
        <v>121</v>
      </c>
      <c r="G27" s="49">
        <v>45203</v>
      </c>
      <c r="H27" s="55">
        <v>0.01</v>
      </c>
      <c r="I27" s="76">
        <f ca="1">N27/$M$40</f>
        <v>7.6578754826421604E-3</v>
      </c>
      <c r="J27" s="77">
        <f ca="1">IFERROR(__xludf.DUMMYFUNCTION("GOOGLEFINANCE(B27)"),48.57)</f>
        <v>48.57</v>
      </c>
      <c r="K27" s="78">
        <v>56.4</v>
      </c>
      <c r="L27" s="79">
        <f>1000/K27-9+9</f>
        <v>17.730496453900709</v>
      </c>
      <c r="M27" s="80">
        <f>L27*K27</f>
        <v>1000</v>
      </c>
      <c r="N27" s="81">
        <f ca="1">J27*L27</f>
        <v>861.17021276595744</v>
      </c>
      <c r="O27" s="81">
        <f ca="1">N27-M27</f>
        <v>-138.82978723404256</v>
      </c>
      <c r="P27" s="55">
        <f ca="1">J27/K27-1</f>
        <v>-0.13882978723404249</v>
      </c>
      <c r="Q27" s="82">
        <f ca="1">TODAY()-G27</f>
        <v>139</v>
      </c>
      <c r="R27" s="83">
        <v>44</v>
      </c>
      <c r="S27" s="55">
        <f ca="1">R27/J27-1</f>
        <v>-9.4091002676549351E-2</v>
      </c>
      <c r="T27" s="74">
        <v>67</v>
      </c>
      <c r="U27" s="55">
        <f ca="1">T27/J27-1</f>
        <v>0.37945233683343638</v>
      </c>
      <c r="V27" s="8">
        <v>-2.0000000000000001E-4</v>
      </c>
      <c r="W27" s="55">
        <v>3.1648258283772268E-2</v>
      </c>
      <c r="X27" s="55">
        <v>-2.6694045174538994E-3</v>
      </c>
      <c r="Y27" s="55">
        <v>-7.9067121729237799E-2</v>
      </c>
      <c r="Z27" s="55">
        <v>-0.15442200557103059</v>
      </c>
      <c r="AA27" s="55">
        <v>-6.6679477325134462E-2</v>
      </c>
      <c r="AB27" s="58" t="s">
        <v>97</v>
      </c>
      <c r="AC27" s="59" t="s">
        <v>65</v>
      </c>
      <c r="AD27" s="85" t="s">
        <v>64</v>
      </c>
      <c r="AE27" s="86" t="s">
        <v>110</v>
      </c>
      <c r="AF27" s="86" t="s">
        <v>80</v>
      </c>
      <c r="AG27" s="86" t="s">
        <v>68</v>
      </c>
      <c r="AH27" s="133" t="s">
        <v>122</v>
      </c>
      <c r="AI27" s="133" t="s">
        <v>123</v>
      </c>
      <c r="AJ27" s="55"/>
      <c r="AK27" s="55"/>
      <c r="AL27" s="55"/>
      <c r="AM27" s="2" t="str">
        <f ca="1">IFERROR(__xludf.DUMMYFUNCTION("GoogleFinance(B27,""price"",DATE(2024,2,9))"),"Date")</f>
        <v>Date</v>
      </c>
      <c r="AN27" s="27" t="str">
        <f ca="1">IFERROR(__xludf.DUMMYFUNCTION("""COMPUTED_VALUE"""),"Close")</f>
        <v>Close</v>
      </c>
      <c r="AO27" s="2" t="str">
        <f ca="1">IFERROR(__xludf.DUMMYFUNCTION("GoogleFinance(B27,""price"",DATE(2024,1,31))"),"Date")</f>
        <v>Date</v>
      </c>
      <c r="AP27" s="27" t="str">
        <f ca="1">IFERROR(__xludf.DUMMYFUNCTION("""COMPUTED_VALUE"""),"Close")</f>
        <v>Close</v>
      </c>
      <c r="AQ27" s="2" t="str">
        <f ca="1">IFERROR(__xludf.DUMMYFUNCTION("GoogleFinance(B27,""price"",today()-91)"),"#N/A")</f>
        <v>#N/A</v>
      </c>
      <c r="AR27" s="27"/>
      <c r="AS27" s="2" t="str">
        <f ca="1">IFERROR(__xludf.DUMMYFUNCTION("GoogleFinance(B27,""price"",today()-182)"),"#N/A")</f>
        <v>#N/A</v>
      </c>
      <c r="AT27" s="27"/>
      <c r="AU27" s="2" t="str">
        <f ca="1">IFERROR(__xludf.DUMMYFUNCTION("GoogleFinance(B27,""price"",DATE(2023,12,29))"),"Date")</f>
        <v>Date</v>
      </c>
      <c r="AV27" s="27" t="str">
        <f ca="1">IFERROR(__xludf.DUMMYFUNCTION("""COMPUTED_VALUE"""),"Close")</f>
        <v>Close</v>
      </c>
      <c r="AW27" s="87"/>
      <c r="AX27" s="87"/>
      <c r="AY27" s="87"/>
      <c r="AZ27" s="87"/>
      <c r="BA27" s="87"/>
      <c r="BB27" s="87"/>
      <c r="BC27" s="87"/>
      <c r="BD27" s="87"/>
      <c r="BE27" s="87"/>
      <c r="BF27" s="87"/>
      <c r="BG27" s="87"/>
      <c r="BH27" s="87"/>
      <c r="BI27" s="87"/>
      <c r="BJ27" s="87"/>
      <c r="BK27" s="87"/>
      <c r="BL27" s="87"/>
      <c r="BM27" s="87"/>
      <c r="BN27" s="87"/>
      <c r="BO27" s="87"/>
      <c r="BP27" s="87"/>
      <c r="BQ27" s="87"/>
      <c r="BR27" s="87"/>
      <c r="BS27" s="88"/>
      <c r="BT27" s="88"/>
      <c r="BU27" s="88"/>
      <c r="BV27" s="88"/>
      <c r="BW27" s="88"/>
      <c r="BX27" s="88"/>
      <c r="BY27" s="88"/>
      <c r="BZ27" s="88"/>
      <c r="CA27" s="88"/>
    </row>
    <row r="28" spans="1:79" ht="13.2" hidden="1">
      <c r="A28" s="45" t="e">
        <f t="shared" si="3"/>
        <v>#REF!</v>
      </c>
      <c r="B28" s="26"/>
      <c r="C28" s="90"/>
      <c r="D28" s="91"/>
      <c r="E28" s="92"/>
      <c r="F28" s="92"/>
      <c r="G28" s="49"/>
      <c r="H28" s="94"/>
      <c r="I28" s="95"/>
      <c r="J28" s="96"/>
      <c r="K28" s="97"/>
      <c r="L28" s="92"/>
      <c r="M28" s="92"/>
      <c r="N28" s="98"/>
      <c r="O28" s="99"/>
      <c r="P28" s="100"/>
      <c r="Q28" s="101"/>
      <c r="R28" s="102"/>
      <c r="S28" s="103"/>
      <c r="T28" s="103"/>
      <c r="U28" s="55"/>
      <c r="V28" s="104" t="e">
        <v>#N/A</v>
      </c>
      <c r="W28" s="103" t="e">
        <v>#REF!</v>
      </c>
      <c r="X28" s="103" t="e">
        <v>#REF!</v>
      </c>
      <c r="Y28" s="103" t="e">
        <v>#REF!</v>
      </c>
      <c r="Z28" s="103" t="e">
        <v>#REF!</v>
      </c>
      <c r="AA28" s="103" t="e">
        <v>#REF!</v>
      </c>
      <c r="AB28" s="105"/>
      <c r="AC28" s="106"/>
      <c r="AD28" s="106"/>
      <c r="AE28" s="106"/>
      <c r="AF28" s="106"/>
      <c r="AG28" s="106"/>
      <c r="AH28" s="106"/>
      <c r="AI28" s="107"/>
      <c r="AJ28" s="94"/>
      <c r="AK28" s="94"/>
      <c r="AL28" s="94"/>
      <c r="AM28" s="93">
        <f ca="1">IFERROR(__xludf.DUMMYFUNCTION("""COMPUTED_VALUE"""),45331.6666666666)</f>
        <v>45331.666666666599</v>
      </c>
      <c r="AN28" s="108">
        <f ca="1">IFERROR(__xludf.DUMMYFUNCTION("""COMPUTED_VALUE"""),47.08)</f>
        <v>47.08</v>
      </c>
      <c r="AO28" s="93">
        <f ca="1">IFERROR(__xludf.DUMMYFUNCTION("""COMPUTED_VALUE"""),45322.6666666666)</f>
        <v>45322.666666666599</v>
      </c>
      <c r="AP28" s="108">
        <f ca="1">IFERROR(__xludf.DUMMYFUNCTION("""COMPUTED_VALUE"""),48.7)</f>
        <v>48.7</v>
      </c>
      <c r="AQ28" s="93"/>
      <c r="AR28" s="108"/>
      <c r="AS28" s="93"/>
      <c r="AT28" s="108"/>
      <c r="AU28" s="93">
        <f ca="1">IFERROR(__xludf.DUMMYFUNCTION("""COMPUTED_VALUE"""),45289.6666666666)</f>
        <v>45289.666666666599</v>
      </c>
      <c r="AV28" s="108">
        <f ca="1">IFERROR(__xludf.DUMMYFUNCTION("""COMPUTED_VALUE"""),52.04)</f>
        <v>52.04</v>
      </c>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10"/>
      <c r="BT28" s="110"/>
      <c r="BU28" s="110"/>
      <c r="BV28" s="110"/>
      <c r="BW28" s="110"/>
      <c r="BX28" s="110"/>
      <c r="BY28" s="110"/>
      <c r="BZ28" s="110"/>
      <c r="CA28" s="110"/>
    </row>
    <row r="29" spans="1:79" ht="13.2">
      <c r="A29" s="45">
        <f t="shared" ref="A29:A32" si="4">A27+1</f>
        <v>14</v>
      </c>
      <c r="B29" s="7" t="s">
        <v>124</v>
      </c>
      <c r="C29" s="72" t="str">
        <f ca="1">IFERROR(__xludf.DUMMYFUNCTION("GoogleFinance(B29,""name"")"),"First Trust NASDAQ Oil &amp; Gas ETF")</f>
        <v>First Trust NASDAQ Oil &amp; Gas ETF</v>
      </c>
      <c r="D29" s="73" t="str">
        <f ca="1">IFERROR(__xludf.DUMMYFUNCTION("GoogleFinance(B29,""marketcap"")/1000000"),"#N/A")</f>
        <v>#N/A</v>
      </c>
      <c r="E29" s="74" t="s">
        <v>14</v>
      </c>
      <c r="F29" s="74" t="s">
        <v>117</v>
      </c>
      <c r="G29" s="49">
        <v>45254</v>
      </c>
      <c r="H29" s="55">
        <v>7.0000000000000007E-2</v>
      </c>
      <c r="I29" s="76">
        <f ca="1">N29/$M$40</f>
        <v>7.1910340714848156E-2</v>
      </c>
      <c r="J29" s="77">
        <f ca="1">IFERROR(__xludf.DUMMYFUNCTION("GOOGLEFINANCE(B29)"),28.91)</f>
        <v>28.91</v>
      </c>
      <c r="K29" s="78">
        <v>28.6</v>
      </c>
      <c r="L29" s="79">
        <f>8000/K29</f>
        <v>279.72027972027973</v>
      </c>
      <c r="M29" s="80">
        <f>L29*K29</f>
        <v>8000.0000000000009</v>
      </c>
      <c r="N29" s="81">
        <f ca="1">J29*L29</f>
        <v>8086.7132867132868</v>
      </c>
      <c r="O29" s="81">
        <f ca="1">N29-M29</f>
        <v>86.713286713285925</v>
      </c>
      <c r="P29" s="55">
        <f ca="1">J29/K29-1</f>
        <v>1.08391608391607E-2</v>
      </c>
      <c r="Q29" s="82">
        <f ca="1">TODAY()-G29</f>
        <v>88</v>
      </c>
      <c r="R29" s="83">
        <v>26</v>
      </c>
      <c r="S29" s="55">
        <f ca="1">R29/J29-1</f>
        <v>-0.10065721203735734</v>
      </c>
      <c r="T29" s="74">
        <v>35</v>
      </c>
      <c r="U29" s="55">
        <f ca="1">T29/J29-1</f>
        <v>0.21065375302663436</v>
      </c>
      <c r="V29" s="8">
        <v>3.7000000000000002E-3</v>
      </c>
      <c r="W29" s="55">
        <v>3.2131381649410873E-2</v>
      </c>
      <c r="X29" s="55">
        <v>2.9191883232467131E-2</v>
      </c>
      <c r="Y29" s="55">
        <v>7.3170731707317138E-3</v>
      </c>
      <c r="Z29" s="55">
        <v>-2.0995597697257007E-2</v>
      </c>
      <c r="AA29" s="55">
        <v>2.1554770318021221E-2</v>
      </c>
      <c r="AB29" s="58" t="s">
        <v>97</v>
      </c>
      <c r="AC29" s="59" t="s">
        <v>65</v>
      </c>
      <c r="AD29" s="85" t="s">
        <v>64</v>
      </c>
      <c r="AE29" s="86" t="s">
        <v>110</v>
      </c>
      <c r="AF29" s="86" t="s">
        <v>80</v>
      </c>
      <c r="AG29" s="86" t="s">
        <v>68</v>
      </c>
      <c r="AH29" s="133" t="s">
        <v>125</v>
      </c>
      <c r="AI29" s="133" t="s">
        <v>126</v>
      </c>
      <c r="AJ29" s="55"/>
      <c r="AK29" s="55"/>
      <c r="AL29" s="55"/>
      <c r="AM29" s="2" t="str">
        <f ca="1">IFERROR(__xludf.DUMMYFUNCTION("GoogleFinance(B29,""price"",DATE(2024,2,9))"),"Date")</f>
        <v>Date</v>
      </c>
      <c r="AN29" s="27" t="str">
        <f ca="1">IFERROR(__xludf.DUMMYFUNCTION("""COMPUTED_VALUE"""),"Close")</f>
        <v>Close</v>
      </c>
      <c r="AO29" s="2" t="str">
        <f ca="1">IFERROR(__xludf.DUMMYFUNCTION("GoogleFinance(B29,""price"",DATE(2024,1,31))"),"Date")</f>
        <v>Date</v>
      </c>
      <c r="AP29" s="27" t="str">
        <f ca="1">IFERROR(__xludf.DUMMYFUNCTION("""COMPUTED_VALUE"""),"Close")</f>
        <v>Close</v>
      </c>
      <c r="AQ29" s="2" t="str">
        <f ca="1">IFERROR(__xludf.DUMMYFUNCTION("GoogleFinance(B29,""price"",today()-91)"),"#N/A")</f>
        <v>#N/A</v>
      </c>
      <c r="AR29" s="27"/>
      <c r="AS29" s="2" t="str">
        <f ca="1">IFERROR(__xludf.DUMMYFUNCTION("GoogleFinance(B29,""price"",today()-182)"),"#N/A")</f>
        <v>#N/A</v>
      </c>
      <c r="AT29" s="27"/>
      <c r="AU29" s="2" t="str">
        <f ca="1">IFERROR(__xludf.DUMMYFUNCTION("GoogleFinance(B29,""price"",DATE(2023,12,29))"),"Date")</f>
        <v>Date</v>
      </c>
      <c r="AV29" s="27" t="str">
        <f ca="1">IFERROR(__xludf.DUMMYFUNCTION("""COMPUTED_VALUE"""),"Close")</f>
        <v>Close</v>
      </c>
      <c r="AW29" s="87"/>
      <c r="AX29" s="87"/>
      <c r="AY29" s="87"/>
      <c r="AZ29" s="87"/>
      <c r="BA29" s="87"/>
      <c r="BB29" s="87"/>
      <c r="BC29" s="87"/>
      <c r="BD29" s="87"/>
      <c r="BE29" s="87"/>
      <c r="BF29" s="87"/>
      <c r="BG29" s="87"/>
      <c r="BH29" s="87"/>
      <c r="BI29" s="87"/>
      <c r="BJ29" s="87"/>
      <c r="BK29" s="87"/>
      <c r="BL29" s="87"/>
      <c r="BM29" s="87"/>
      <c r="BN29" s="87"/>
      <c r="BO29" s="87"/>
      <c r="BP29" s="87"/>
      <c r="BQ29" s="87"/>
      <c r="BR29" s="87"/>
      <c r="BS29" s="88"/>
      <c r="BT29" s="88"/>
      <c r="BU29" s="88"/>
      <c r="BV29" s="88"/>
      <c r="BW29" s="88"/>
      <c r="BX29" s="88"/>
      <c r="BY29" s="88"/>
      <c r="BZ29" s="88"/>
      <c r="CA29" s="88"/>
    </row>
    <row r="30" spans="1:79" ht="13.2" hidden="1">
      <c r="A30" s="45" t="e">
        <f t="shared" si="4"/>
        <v>#REF!</v>
      </c>
      <c r="B30" s="135"/>
      <c r="C30" s="136"/>
      <c r="D30" s="136"/>
      <c r="E30" s="135"/>
      <c r="F30" s="135"/>
      <c r="G30" s="137"/>
      <c r="H30" s="138"/>
      <c r="I30" s="139"/>
      <c r="J30" s="135"/>
      <c r="K30" s="140"/>
      <c r="L30" s="135"/>
      <c r="M30" s="135"/>
      <c r="N30" s="135"/>
      <c r="O30" s="141"/>
      <c r="P30" s="138"/>
      <c r="Q30" s="142"/>
      <c r="R30" s="138"/>
      <c r="S30" s="138"/>
      <c r="T30" s="138"/>
      <c r="U30" s="142"/>
      <c r="V30" s="143" t="e">
        <v>#N/A</v>
      </c>
      <c r="W30" s="143" t="e">
        <v>#REF!</v>
      </c>
      <c r="X30" s="143" t="e">
        <v>#REF!</v>
      </c>
      <c r="Y30" s="143" t="e">
        <v>#REF!</v>
      </c>
      <c r="Z30" s="143" t="e">
        <v>#REF!</v>
      </c>
      <c r="AA30" s="144" t="e">
        <v>#REF!</v>
      </c>
      <c r="AB30" s="138"/>
      <c r="AC30" s="138"/>
      <c r="AD30" s="138"/>
      <c r="AE30" s="138"/>
      <c r="AF30" s="138"/>
      <c r="AG30" s="138"/>
      <c r="AH30" s="138"/>
      <c r="AI30" s="138"/>
      <c r="AJ30" s="138"/>
      <c r="AK30" s="138"/>
      <c r="AL30" s="138"/>
      <c r="AM30" s="145">
        <f ca="1">IFERROR(__xludf.DUMMYFUNCTION("""COMPUTED_VALUE"""),45331.6666666666)</f>
        <v>45331.666666666599</v>
      </c>
      <c r="AN30" s="146">
        <f ca="1">IFERROR(__xludf.DUMMYFUNCTION("""COMPUTED_VALUE"""),28.01)</f>
        <v>28.01</v>
      </c>
      <c r="AO30" s="145">
        <f ca="1">IFERROR(__xludf.DUMMYFUNCTION("""COMPUTED_VALUE"""),45322.6666666666)</f>
        <v>45322.666666666599</v>
      </c>
      <c r="AP30" s="146">
        <f ca="1">IFERROR(__xludf.DUMMYFUNCTION("""COMPUTED_VALUE"""),28.09)</f>
        <v>28.09</v>
      </c>
      <c r="AQ30" s="145"/>
      <c r="AR30" s="146"/>
      <c r="AS30" s="145"/>
      <c r="AT30" s="146"/>
      <c r="AU30" s="145">
        <f ca="1">IFERROR(__xludf.DUMMYFUNCTION("""COMPUTED_VALUE"""),45289.6666666666)</f>
        <v>45289.666666666599</v>
      </c>
      <c r="AV30" s="146">
        <f ca="1">IFERROR(__xludf.DUMMYFUNCTION("""COMPUTED_VALUE"""),28.3)</f>
        <v>28.3</v>
      </c>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47"/>
      <c r="BT30" s="147"/>
      <c r="BU30" s="147"/>
      <c r="BV30" s="147"/>
      <c r="BW30" s="147"/>
      <c r="BX30" s="147"/>
      <c r="BY30" s="147"/>
      <c r="BZ30" s="147"/>
      <c r="CA30" s="147"/>
    </row>
    <row r="31" spans="1:79" ht="13.2" hidden="1">
      <c r="A31" s="45">
        <f t="shared" si="4"/>
        <v>15</v>
      </c>
      <c r="B31" s="7" t="s">
        <v>5</v>
      </c>
      <c r="C31" s="72" t="str">
        <f ca="1">IFERROR(__xludf.DUMMYFUNCTION("GoogleFinance(B31,""name"")"),"SPDR S&amp;P 500 ETF Trust")</f>
        <v>SPDR S&amp;P 500 ETF Trust</v>
      </c>
      <c r="D31" s="73">
        <f ca="1">IFERROR(__xludf.DUMMYFUNCTION("GoogleFinance(B31,""marketcap"")/1000000"),450858.184373)</f>
        <v>450858.184373</v>
      </c>
      <c r="E31" s="74" t="s">
        <v>60</v>
      </c>
      <c r="F31" s="74"/>
      <c r="G31" s="75">
        <v>45308</v>
      </c>
      <c r="H31" s="55">
        <v>0.17699999999999999</v>
      </c>
      <c r="I31" s="76">
        <f ca="1">N31/$M$40</f>
        <v>0</v>
      </c>
      <c r="J31" s="77">
        <f ca="1">IFERROR(__xludf.DUMMYFUNCTION("GOOGLEFINANCE(B31)"),499.51)</f>
        <v>499.51</v>
      </c>
      <c r="K31" s="78">
        <v>473.25</v>
      </c>
      <c r="L31" s="79"/>
      <c r="M31" s="80">
        <f>L31*K31</f>
        <v>0</v>
      </c>
      <c r="N31" s="81">
        <f ca="1">J31*L31</f>
        <v>0</v>
      </c>
      <c r="O31" s="81">
        <f ca="1">N31-M31</f>
        <v>0</v>
      </c>
      <c r="P31" s="55">
        <f ca="1">J31/K31-1</f>
        <v>5.5488642366613883E-2</v>
      </c>
      <c r="Q31" s="82">
        <f ca="1">TODAY()-G31</f>
        <v>34</v>
      </c>
      <c r="R31" s="83">
        <v>465</v>
      </c>
      <c r="S31" s="55">
        <f ca="1">R31/J31-1</f>
        <v>-6.9087705951832779E-2</v>
      </c>
      <c r="T31" s="74">
        <v>483</v>
      </c>
      <c r="U31" s="76">
        <f ca="1">T31/J31-1</f>
        <v>-3.3052391343516674E-2</v>
      </c>
      <c r="V31" s="8">
        <v>-5.0000000000000001E-3</v>
      </c>
      <c r="W31" s="55">
        <v>1.0437948821685028E-2</v>
      </c>
      <c r="X31" s="55">
        <v>3.4439198144466499E-2</v>
      </c>
      <c r="Y31" s="55">
        <v>9.9612556685598541E-2</v>
      </c>
      <c r="Z31" s="55">
        <v>0.13695543314972469</v>
      </c>
      <c r="AA31" s="55">
        <v>5.0914140245313488E-2</v>
      </c>
      <c r="AB31" s="84" t="s">
        <v>64</v>
      </c>
      <c r="AC31" s="85" t="s">
        <v>84</v>
      </c>
      <c r="AD31" s="85" t="s">
        <v>84</v>
      </c>
      <c r="AE31" s="86" t="s">
        <v>127</v>
      </c>
      <c r="AF31" s="86" t="s">
        <v>80</v>
      </c>
      <c r="AG31" s="86" t="s">
        <v>75</v>
      </c>
      <c r="AH31" s="154"/>
      <c r="AI31" s="155"/>
      <c r="AJ31" s="55"/>
      <c r="AK31" s="55"/>
      <c r="AL31" s="55"/>
      <c r="AM31" s="2" t="str">
        <f ca="1">IFERROR(__xludf.DUMMYFUNCTION("GoogleFinance(B31,""price"",DATE(2024,2,2))"),"Date")</f>
        <v>Date</v>
      </c>
      <c r="AN31" s="27" t="str">
        <f ca="1">IFERROR(__xludf.DUMMYFUNCTION("""COMPUTED_VALUE"""),"Close")</f>
        <v>Close</v>
      </c>
      <c r="AO31" s="2" t="str">
        <f ca="1">IFERROR(__xludf.DUMMYFUNCTION("GoogleFinance(B31,""price"",DATE(2024,1,31))"),"#N/A")</f>
        <v>#N/A</v>
      </c>
      <c r="AP31" s="89"/>
      <c r="AQ31" s="55" t="str">
        <f ca="1">IFERROR(__xludf.DUMMYFUNCTION("GoogleFinance(B31,""price"",today()-91)"),"#N/A")</f>
        <v>#N/A</v>
      </c>
      <c r="AR31" s="89"/>
      <c r="AS31" s="55" t="str">
        <f ca="1">IFERROR(__xludf.DUMMYFUNCTION("GoogleFinance(B31,""price"",today()-182)"),"#N/A")</f>
        <v>#N/A</v>
      </c>
      <c r="AT31" s="89"/>
      <c r="AU31" s="55" t="str">
        <f ca="1">IFERROR(__xludf.DUMMYFUNCTION("GoogleFinance(B31,""price"",DATE(2023,12,29))"),"#N/A")</f>
        <v>#N/A</v>
      </c>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8"/>
      <c r="BT31" s="88"/>
      <c r="BU31" s="88"/>
      <c r="BV31" s="88"/>
      <c r="BW31" s="88"/>
      <c r="BX31" s="88"/>
      <c r="BY31" s="88"/>
      <c r="BZ31" s="88"/>
      <c r="CA31" s="88"/>
    </row>
    <row r="32" spans="1:79" ht="13.2" hidden="1">
      <c r="A32" s="45" t="e">
        <f t="shared" si="4"/>
        <v>#REF!</v>
      </c>
      <c r="B32" s="7"/>
      <c r="C32" s="72"/>
      <c r="D32" s="73"/>
      <c r="E32" s="74"/>
      <c r="F32" s="74"/>
      <c r="G32" s="156"/>
      <c r="H32" s="55"/>
      <c r="I32" s="148"/>
      <c r="J32" s="157"/>
      <c r="K32" s="78"/>
      <c r="L32" s="74"/>
      <c r="M32" s="74"/>
      <c r="N32" s="149"/>
      <c r="O32" s="150"/>
      <c r="P32" s="65"/>
      <c r="Q32" s="66"/>
      <c r="R32" s="8"/>
      <c r="S32" s="55"/>
      <c r="T32" s="55"/>
      <c r="U32" s="76"/>
      <c r="V32" s="8"/>
      <c r="W32" s="55"/>
      <c r="X32" s="55"/>
      <c r="Y32" s="55"/>
      <c r="Z32" s="55"/>
      <c r="AA32" s="55"/>
      <c r="AB32" s="151"/>
      <c r="AC32" s="152"/>
      <c r="AD32" s="152"/>
      <c r="AE32" s="152"/>
      <c r="AF32" s="152"/>
      <c r="AG32" s="152"/>
      <c r="AH32" s="152"/>
      <c r="AI32" s="152"/>
      <c r="AJ32" s="55"/>
      <c r="AK32" s="55"/>
      <c r="AL32" s="55"/>
      <c r="AM32" s="156">
        <f ca="1">IFERROR(__xludf.DUMMYFUNCTION("""COMPUTED_VALUE"""),45324.6666666666)</f>
        <v>45324.666666666599</v>
      </c>
      <c r="AN32" s="158">
        <f ca="1">IFERROR(__xludf.DUMMYFUNCTION("""COMPUTED_VALUE"""),494.35)</f>
        <v>494.35</v>
      </c>
      <c r="AO32" s="156"/>
      <c r="AP32" s="158"/>
      <c r="AQ32" s="156"/>
      <c r="AR32" s="158"/>
      <c r="AS32" s="156"/>
      <c r="AT32" s="158"/>
      <c r="AU32" s="156"/>
      <c r="AV32" s="158"/>
      <c r="AW32" s="87"/>
      <c r="AX32" s="87"/>
      <c r="AY32" s="87"/>
      <c r="AZ32" s="87"/>
      <c r="BA32" s="87"/>
      <c r="BB32" s="87"/>
      <c r="BC32" s="87"/>
      <c r="BD32" s="87"/>
      <c r="BE32" s="87"/>
      <c r="BF32" s="87"/>
      <c r="BG32" s="87"/>
      <c r="BH32" s="87"/>
      <c r="BI32" s="87"/>
      <c r="BJ32" s="87"/>
      <c r="BK32" s="87"/>
      <c r="BL32" s="87"/>
      <c r="BM32" s="87"/>
      <c r="BN32" s="87"/>
      <c r="BO32" s="87"/>
      <c r="BP32" s="87"/>
      <c r="BQ32" s="87"/>
      <c r="BR32" s="87"/>
      <c r="BS32" s="88"/>
      <c r="BT32" s="88"/>
      <c r="BU32" s="88"/>
      <c r="BV32" s="88"/>
      <c r="BW32" s="88"/>
      <c r="BX32" s="88"/>
      <c r="BY32" s="88"/>
      <c r="BZ32" s="88"/>
      <c r="CA32" s="88"/>
    </row>
    <row r="33" spans="1:79" ht="13.2">
      <c r="A33" s="111">
        <f>A29+1</f>
        <v>15</v>
      </c>
      <c r="B33" s="159" t="s">
        <v>6</v>
      </c>
      <c r="C33" s="160" t="str">
        <f ca="1">IFERROR(__xludf.DUMMYFUNCTION("GoogleFinance(B33,""name"")"),"Invesco QQQ Trust Series 1")</f>
        <v>Invesco QQQ Trust Series 1</v>
      </c>
      <c r="D33" s="161">
        <f ca="1">IFERROR(__xludf.DUMMYFUNCTION("GoogleFinance(B33,""marketcap"")/1000000"),168159.073303)</f>
        <v>168159.07330300001</v>
      </c>
      <c r="E33" s="162" t="s">
        <v>7</v>
      </c>
      <c r="F33" s="163"/>
      <c r="G33" s="116">
        <v>45295</v>
      </c>
      <c r="H33" s="164">
        <v>0.3</v>
      </c>
      <c r="I33" s="165">
        <f ca="1">N33/$M$40</f>
        <v>7.6576068184498108E-2</v>
      </c>
      <c r="J33" s="166">
        <f ca="1">IFERROR(__xludf.DUMMYFUNCTION("GOOGLEFINANCE(B33)"),430.57)</f>
        <v>430.57</v>
      </c>
      <c r="K33" s="167">
        <v>399.3</v>
      </c>
      <c r="L33" s="121">
        <v>20</v>
      </c>
      <c r="M33" s="168">
        <f>L33*K33</f>
        <v>7986</v>
      </c>
      <c r="N33" s="168">
        <f ca="1">J33*L33</f>
        <v>8611.4</v>
      </c>
      <c r="O33" s="168">
        <f ca="1">N33-M33</f>
        <v>625.39999999999964</v>
      </c>
      <c r="P33" s="164">
        <f ca="1">J33/K33-1</f>
        <v>7.8312046080641018E-2</v>
      </c>
      <c r="Q33" s="169">
        <f ca="1">TODAY()-G33</f>
        <v>47</v>
      </c>
      <c r="R33" s="162">
        <v>385</v>
      </c>
      <c r="S33" s="170">
        <f ca="1">R33/J33-1</f>
        <v>-0.10583644935782799</v>
      </c>
      <c r="T33" s="162">
        <v>420</v>
      </c>
      <c r="U33" s="171">
        <f ca="1">T33/J33-1</f>
        <v>-2.454885384490324E-2</v>
      </c>
      <c r="V33" s="126">
        <v>-9.1000000000000004E-3</v>
      </c>
      <c r="W33" s="117">
        <v>-1.4826678869694576E-2</v>
      </c>
      <c r="X33" s="117">
        <v>3.2616255366093361E-2</v>
      </c>
      <c r="Y33" s="117">
        <v>0.10193479039770681</v>
      </c>
      <c r="Z33" s="117">
        <v>0.18320967298708446</v>
      </c>
      <c r="AA33" s="117">
        <v>5.1401640945497151E-2</v>
      </c>
      <c r="AB33" s="172" t="s">
        <v>74</v>
      </c>
      <c r="AC33" s="173" t="s">
        <v>84</v>
      </c>
      <c r="AD33" s="173" t="s">
        <v>84</v>
      </c>
      <c r="AE33" s="174" t="s">
        <v>127</v>
      </c>
      <c r="AF33" s="175" t="s">
        <v>80</v>
      </c>
      <c r="AG33" s="176" t="s">
        <v>75</v>
      </c>
      <c r="AH33" s="495" t="s">
        <v>293</v>
      </c>
      <c r="AI33" s="177" t="s">
        <v>128</v>
      </c>
      <c r="AJ33" s="178"/>
      <c r="AK33" s="178"/>
      <c r="AL33" s="178"/>
      <c r="AM33" s="117" t="str">
        <f ca="1">IFERROR(__xludf.DUMMYFUNCTION("GoogleFinance(B33,""price"",DATE(2024,2,9))"),"Date")</f>
        <v>Date</v>
      </c>
      <c r="AN33" s="130" t="str">
        <f ca="1">IFERROR(__xludf.DUMMYFUNCTION("""COMPUTED_VALUE"""),"Close")</f>
        <v>Close</v>
      </c>
      <c r="AO33" s="117" t="str">
        <f ca="1">IFERROR(__xludf.DUMMYFUNCTION("GoogleFinance(B33,""price"",DATE(2024,1,31))"),"Date")</f>
        <v>Date</v>
      </c>
      <c r="AP33" s="130" t="str">
        <f ca="1">IFERROR(__xludf.DUMMYFUNCTION("""COMPUTED_VALUE"""),"Close")</f>
        <v>Close</v>
      </c>
      <c r="AQ33" s="164" t="str">
        <f ca="1">IFERROR(__xludf.DUMMYFUNCTION("GoogleFinance(B33,""price"",today()-91)"),"#N/A")</f>
        <v>#N/A</v>
      </c>
      <c r="AR33" s="130"/>
      <c r="AS33" s="164" t="str">
        <f ca="1">IFERROR(__xludf.DUMMYFUNCTION("GoogleFinance(B33,""price"",today()-182)"),"#N/A")</f>
        <v>#N/A</v>
      </c>
      <c r="AT33" s="130"/>
      <c r="AU33" s="164" t="str">
        <f ca="1">IFERROR(__xludf.DUMMYFUNCTION("GoogleFinance(B33,""price"",DATE(2023,12,29))"),"Date")</f>
        <v>Date</v>
      </c>
      <c r="AV33" s="130" t="str">
        <f ca="1">IFERROR(__xludf.DUMMYFUNCTION("""COMPUTED_VALUE"""),"Close")</f>
        <v>Close</v>
      </c>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79"/>
      <c r="BT33" s="179"/>
      <c r="BU33" s="179"/>
      <c r="BV33" s="179"/>
      <c r="BW33" s="179"/>
      <c r="BX33" s="179"/>
      <c r="BY33" s="179"/>
      <c r="BZ33" s="179"/>
      <c r="CA33" s="179"/>
    </row>
    <row r="34" spans="1:79" ht="13.2" hidden="1">
      <c r="A34" s="180" t="e">
        <f>#REF!+1</f>
        <v>#REF!</v>
      </c>
      <c r="B34" s="181"/>
      <c r="C34" s="182"/>
      <c r="D34" s="182"/>
      <c r="E34" s="181"/>
      <c r="F34" s="181"/>
      <c r="G34" s="183"/>
      <c r="H34" s="184"/>
      <c r="I34" s="185"/>
      <c r="J34" s="181"/>
      <c r="K34" s="186"/>
      <c r="L34" s="187"/>
      <c r="M34" s="188"/>
      <c r="N34" s="188"/>
      <c r="O34" s="189"/>
      <c r="P34" s="184"/>
      <c r="Q34" s="185"/>
      <c r="R34" s="184"/>
      <c r="S34" s="184"/>
      <c r="T34" s="184"/>
      <c r="U34" s="185"/>
      <c r="V34" s="184"/>
      <c r="W34" s="184"/>
      <c r="X34" s="184"/>
      <c r="Y34" s="184"/>
      <c r="Z34" s="184"/>
      <c r="AA34" s="185"/>
      <c r="AB34" s="184"/>
      <c r="AC34" s="184"/>
      <c r="AD34" s="184"/>
      <c r="AE34" s="184"/>
      <c r="AF34" s="184"/>
      <c r="AG34" s="184"/>
      <c r="AH34" s="184"/>
      <c r="AI34" s="184"/>
      <c r="AJ34" s="184"/>
      <c r="AK34" s="184"/>
      <c r="AL34" s="184"/>
      <c r="AM34" s="190">
        <f ca="1">IFERROR(__xludf.DUMMYFUNCTION("""COMPUTED_VALUE"""),45331.6666666666)</f>
        <v>45331.666666666599</v>
      </c>
      <c r="AN34" s="191">
        <f ca="1">IFERROR(__xludf.DUMMYFUNCTION("""COMPUTED_VALUE"""),437.05)</f>
        <v>437.05</v>
      </c>
      <c r="AO34" s="190">
        <f ca="1">IFERROR(__xludf.DUMMYFUNCTION("""COMPUTED_VALUE"""),45322.6666666666)</f>
        <v>45322.666666666599</v>
      </c>
      <c r="AP34" s="191">
        <f ca="1">IFERROR(__xludf.DUMMYFUNCTION("""COMPUTED_VALUE"""),416.97)</f>
        <v>416.97</v>
      </c>
      <c r="AQ34" s="190"/>
      <c r="AR34" s="191"/>
      <c r="AS34" s="190"/>
      <c r="AT34" s="191"/>
      <c r="AU34" s="190">
        <f ca="1">IFERROR(__xludf.DUMMYFUNCTION("""COMPUTED_VALUE"""),45289.6666666666)</f>
        <v>45289.666666666599</v>
      </c>
      <c r="AV34" s="191">
        <f ca="1">IFERROR(__xludf.DUMMYFUNCTION("""COMPUTED_VALUE"""),409.52)</f>
        <v>409.52</v>
      </c>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92"/>
      <c r="BT34" s="192"/>
      <c r="BU34" s="192"/>
      <c r="BV34" s="192"/>
      <c r="BW34" s="192"/>
      <c r="BX34" s="192"/>
      <c r="BY34" s="192"/>
      <c r="BZ34" s="192"/>
      <c r="CA34" s="192"/>
    </row>
    <row r="35" spans="1:79" ht="19.2" hidden="1">
      <c r="A35" s="111">
        <f>A31+1</f>
        <v>16</v>
      </c>
      <c r="B35" s="112" t="s">
        <v>129</v>
      </c>
      <c r="C35" s="113" t="str">
        <f ca="1">IFERROR(__xludf.DUMMYFUNCTION("GoogleFinance(B35,""name"")"),"Invesco S&amp;P 500 Eql Wght ETF")</f>
        <v>Invesco S&amp;P 500 Eql Wght ETF</v>
      </c>
      <c r="D35" s="114">
        <f ca="1">IFERROR(__xludf.DUMMYFUNCTION("GoogleFinance(B35,""marketcap"")/1000000"),302.765801)</f>
        <v>302.76580100000001</v>
      </c>
      <c r="E35" s="115" t="s">
        <v>60</v>
      </c>
      <c r="F35" s="115"/>
      <c r="G35" s="116">
        <v>45225</v>
      </c>
      <c r="H35" s="117">
        <v>0.25</v>
      </c>
      <c r="I35" s="118">
        <f ca="1">N35/$M$40</f>
        <v>0</v>
      </c>
      <c r="J35" s="119">
        <f ca="1">IFERROR(__xludf.DUMMYFUNCTION("GOOGLEFINANCE(B35)"),160.03)</f>
        <v>160.03</v>
      </c>
      <c r="K35" s="120">
        <v>135.37</v>
      </c>
      <c r="L35" s="121"/>
      <c r="M35" s="122">
        <f>L35*K35</f>
        <v>0</v>
      </c>
      <c r="N35" s="123">
        <f ca="1">J35*L35</f>
        <v>0</v>
      </c>
      <c r="O35" s="123">
        <f ca="1">N35-M35</f>
        <v>0</v>
      </c>
      <c r="P35" s="117">
        <f ca="1">J35/K35-1</f>
        <v>0.18216739307084295</v>
      </c>
      <c r="Q35" s="124">
        <f ca="1">TODAY()-G35</f>
        <v>117</v>
      </c>
      <c r="R35" s="125"/>
      <c r="S35" s="117">
        <f ca="1">R35/J35-1</f>
        <v>-1</v>
      </c>
      <c r="T35" s="115">
        <v>147</v>
      </c>
      <c r="U35" s="118">
        <f ca="1">T35/J35-1</f>
        <v>-8.1422233331250427E-2</v>
      </c>
      <c r="V35" s="126">
        <f ca="1">IFERROR(__xludf.DUMMYFUNCTION("GoogleFinance(B35,""changepct"")/100"),-0.0045)</f>
        <v>-4.4999999999999997E-3</v>
      </c>
      <c r="W35" s="117">
        <f ca="1">J35/AN36-1</f>
        <v>6.2827920568506501E-2</v>
      </c>
      <c r="X35" s="117">
        <f ca="1">J35/AP36-1</f>
        <v>0.17816388132224104</v>
      </c>
      <c r="Y35" s="117" t="e">
        <f ca="1">J35/AR36-1</f>
        <v>#DIV/0!</v>
      </c>
      <c r="Z35" s="117" t="e">
        <f ca="1">J35/AT36-1</f>
        <v>#DIV/0!</v>
      </c>
      <c r="AA35" s="117">
        <f ca="1">J35/AV36-1</f>
        <v>0.13295575221238942</v>
      </c>
      <c r="AB35" s="127" t="s">
        <v>74</v>
      </c>
      <c r="AC35" s="128" t="s">
        <v>84</v>
      </c>
      <c r="AD35" s="128" t="s">
        <v>84</v>
      </c>
      <c r="AE35" s="129" t="s">
        <v>127</v>
      </c>
      <c r="AF35" s="129" t="s">
        <v>80</v>
      </c>
      <c r="AG35" s="129" t="s">
        <v>75</v>
      </c>
      <c r="AH35" s="193"/>
      <c r="AI35" s="177" t="s">
        <v>130</v>
      </c>
      <c r="AJ35" s="117"/>
      <c r="AK35" s="117"/>
      <c r="AL35" s="117"/>
      <c r="AM35" s="2" t="str">
        <f ca="1">IFERROR(__xludf.DUMMYFUNCTION("GoogleFinance(B35,""price"",DATE(2023,12,8))"),"Date")</f>
        <v>Date</v>
      </c>
      <c r="AN35" s="130" t="str">
        <f ca="1">IFERROR(__xludf.DUMMYFUNCTION("""COMPUTED_VALUE"""),"Close")</f>
        <v>Close</v>
      </c>
      <c r="AO35" s="164" t="str">
        <f ca="1">IFERROR(__xludf.DUMMYFUNCTION("GoogleFinance(B35,""price"",DATE(2023,10,31))"),"Date")</f>
        <v>Date</v>
      </c>
      <c r="AP35" s="130" t="str">
        <f ca="1">IFERROR(__xludf.DUMMYFUNCTION("""COMPUTED_VALUE"""),"Close")</f>
        <v>Close</v>
      </c>
      <c r="AQ35" s="117" t="str">
        <f ca="1">IFERROR(__xludf.DUMMYFUNCTION("GoogleFinance(B35,""price"",today()-91)"),"#N/A")</f>
        <v>#N/A</v>
      </c>
      <c r="AR35" s="130"/>
      <c r="AS35" s="117" t="str">
        <f ca="1">IFERROR(__xludf.DUMMYFUNCTION("GoogleFinance(B35,""price"",today()-182)"),"#N/A")</f>
        <v>#N/A</v>
      </c>
      <c r="AT35" s="130"/>
      <c r="AU35" s="117" t="str">
        <f ca="1">IFERROR(__xludf.DUMMYFUNCTION("GoogleFinance(B35,""price"",DATE(2022,12,30))"),"Date")</f>
        <v>Date</v>
      </c>
      <c r="AV35" s="130" t="str">
        <f ca="1">IFERROR(__xludf.DUMMYFUNCTION("""COMPUTED_VALUE"""),"Close")</f>
        <v>Close</v>
      </c>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2"/>
      <c r="BT35" s="132"/>
      <c r="BU35" s="132"/>
      <c r="BV35" s="132"/>
      <c r="BW35" s="132"/>
      <c r="BX35" s="132"/>
      <c r="BY35" s="132"/>
      <c r="BZ35" s="132"/>
      <c r="CA35" s="132"/>
    </row>
    <row r="36" spans="1:79" ht="13.2" hidden="1">
      <c r="A36" s="45" t="e">
        <f>#REF!+1</f>
        <v>#REF!</v>
      </c>
      <c r="B36" s="1"/>
      <c r="C36" s="46"/>
      <c r="D36" s="47"/>
      <c r="E36" s="48"/>
      <c r="F36" s="48"/>
      <c r="G36" s="49"/>
      <c r="H36" s="2"/>
      <c r="I36" s="63"/>
      <c r="J36" s="96"/>
      <c r="K36" s="51"/>
      <c r="L36" s="48"/>
      <c r="M36" s="48"/>
      <c r="N36" s="64"/>
      <c r="O36" s="70"/>
      <c r="P36" s="71"/>
      <c r="Q36" s="66"/>
      <c r="R36" s="8"/>
      <c r="S36" s="55"/>
      <c r="T36" s="55"/>
      <c r="U36" s="76"/>
      <c r="V36" s="8"/>
      <c r="W36" s="55"/>
      <c r="X36" s="55"/>
      <c r="Y36" s="55"/>
      <c r="Z36" s="55"/>
      <c r="AA36" s="55"/>
      <c r="AB36" s="13"/>
      <c r="AC36" s="3"/>
      <c r="AD36" s="3"/>
      <c r="AE36" s="3"/>
      <c r="AF36" s="3"/>
      <c r="AG36" s="3"/>
      <c r="AH36" s="3"/>
      <c r="AI36" s="3"/>
      <c r="AJ36" s="2"/>
      <c r="AK36" s="2"/>
      <c r="AL36" s="2"/>
      <c r="AM36" s="49">
        <f ca="1">IFERROR(__xludf.DUMMYFUNCTION("""COMPUTED_VALUE"""),45268.6666666666)</f>
        <v>45268.666666666599</v>
      </c>
      <c r="AN36" s="27">
        <f ca="1">IFERROR(__xludf.DUMMYFUNCTION("""COMPUTED_VALUE"""),150.57)</f>
        <v>150.57</v>
      </c>
      <c r="AO36" s="49">
        <f ca="1">IFERROR(__xludf.DUMMYFUNCTION("""COMPUTED_VALUE"""),45230.6666666666)</f>
        <v>45230.666666666599</v>
      </c>
      <c r="AP36" s="27">
        <f ca="1">IFERROR(__xludf.DUMMYFUNCTION("""COMPUTED_VALUE"""),135.83)</f>
        <v>135.83000000000001</v>
      </c>
      <c r="AQ36" s="49"/>
      <c r="AR36" s="27"/>
      <c r="AS36" s="49"/>
      <c r="AT36" s="27"/>
      <c r="AU36" s="49">
        <f ca="1">IFERROR(__xludf.DUMMYFUNCTION("""COMPUTED_VALUE"""),44925.6666666666)</f>
        <v>44925.666666666599</v>
      </c>
      <c r="AV36" s="27">
        <f ca="1">IFERROR(__xludf.DUMMYFUNCTION("""COMPUTED_VALUE"""),141.25)</f>
        <v>141.25</v>
      </c>
      <c r="AW36" s="5"/>
      <c r="AX36" s="5"/>
      <c r="AY36" s="5"/>
      <c r="AZ36" s="5"/>
      <c r="BA36" s="5"/>
      <c r="BB36" s="5"/>
      <c r="BC36" s="5"/>
      <c r="BD36" s="5"/>
      <c r="BE36" s="5"/>
      <c r="BF36" s="5"/>
      <c r="BG36" s="5"/>
      <c r="BH36" s="5"/>
      <c r="BI36" s="5"/>
      <c r="BJ36" s="5"/>
      <c r="BK36" s="5"/>
      <c r="BL36" s="5"/>
      <c r="BM36" s="5"/>
      <c r="BN36" s="5"/>
      <c r="BO36" s="5"/>
      <c r="BP36" s="5"/>
      <c r="BQ36" s="5"/>
      <c r="BR36" s="5"/>
    </row>
    <row r="37" spans="1:79" ht="13.2">
      <c r="A37" s="194"/>
      <c r="B37" s="194"/>
      <c r="C37" s="194"/>
      <c r="D37" s="194"/>
      <c r="E37" s="194"/>
      <c r="F37" s="194"/>
      <c r="G37" s="194"/>
      <c r="H37" s="194"/>
      <c r="I37" s="195"/>
      <c r="J37" s="196"/>
      <c r="K37" s="197"/>
      <c r="L37" s="197"/>
      <c r="M37" s="198"/>
      <c r="N37" s="199"/>
      <c r="O37" s="200"/>
      <c r="P37" s="200"/>
      <c r="Q37" s="201"/>
      <c r="R37" s="202"/>
      <c r="S37" s="203"/>
      <c r="T37" s="203"/>
      <c r="U37" s="204"/>
      <c r="V37" s="202"/>
      <c r="W37" s="205"/>
      <c r="X37" s="205"/>
      <c r="Y37" s="205"/>
      <c r="Z37" s="205"/>
      <c r="AA37" s="205"/>
      <c r="AB37" s="206"/>
      <c r="AC37" s="207"/>
      <c r="AD37" s="207"/>
      <c r="AE37" s="207"/>
      <c r="AF37" s="207"/>
      <c r="AG37" s="207"/>
      <c r="AH37" s="207"/>
      <c r="AI37" s="207"/>
      <c r="AJ37" s="2"/>
      <c r="AK37" s="2"/>
      <c r="AL37" s="2"/>
      <c r="AM37" s="3"/>
      <c r="AN37" s="208"/>
      <c r="AO37" s="26"/>
      <c r="AP37" s="208"/>
      <c r="AQ37" s="26"/>
      <c r="AR37" s="208"/>
      <c r="AS37" s="26"/>
      <c r="AT37" s="208"/>
      <c r="AU37" s="26"/>
      <c r="AV37" s="208"/>
      <c r="AW37" s="26"/>
      <c r="AX37" s="26"/>
      <c r="AY37" s="5"/>
      <c r="AZ37" s="5"/>
      <c r="BA37" s="5"/>
      <c r="BB37" s="5"/>
      <c r="BC37" s="5"/>
      <c r="BD37" s="5"/>
      <c r="BE37" s="5"/>
      <c r="BF37" s="26"/>
      <c r="BG37" s="26"/>
      <c r="BH37" s="26"/>
      <c r="BI37" s="26"/>
      <c r="BJ37" s="26"/>
      <c r="BK37" s="26"/>
      <c r="BL37" s="26"/>
      <c r="BM37" s="26"/>
      <c r="BN37" s="26"/>
      <c r="BO37" s="26"/>
      <c r="BP37" s="26"/>
      <c r="BQ37" s="26"/>
      <c r="BR37" s="26"/>
      <c r="BS37" s="208"/>
      <c r="BT37" s="208"/>
      <c r="BU37" s="208"/>
      <c r="BV37" s="208"/>
      <c r="BW37" s="208"/>
      <c r="BX37" s="208"/>
      <c r="BY37" s="208"/>
      <c r="BZ37" s="208"/>
      <c r="CA37" s="208"/>
    </row>
    <row r="38" spans="1:79" ht="15.75" customHeight="1">
      <c r="A38" s="209"/>
      <c r="B38" s="209"/>
      <c r="C38" s="209"/>
      <c r="D38" s="80"/>
      <c r="E38" s="209"/>
      <c r="F38" s="209"/>
      <c r="G38" s="209"/>
      <c r="H38" s="209"/>
      <c r="I38" s="210"/>
      <c r="J38" s="211" t="s">
        <v>26</v>
      </c>
      <c r="K38" s="212"/>
      <c r="L38" s="212"/>
      <c r="M38" s="213">
        <f ca="1">SUM(N3:N36)</f>
        <v>59901.49953351188</v>
      </c>
      <c r="N38" s="214">
        <f ca="1">M38/M40</f>
        <v>0.53266847581483701</v>
      </c>
      <c r="O38" s="215"/>
      <c r="P38" s="215"/>
      <c r="Q38" s="216"/>
      <c r="R38" s="216"/>
      <c r="S38" s="216"/>
      <c r="T38" s="216"/>
      <c r="U38" s="216"/>
      <c r="V38" s="216"/>
      <c r="W38" s="217"/>
      <c r="X38" s="217"/>
      <c r="Y38" s="217"/>
      <c r="Z38" s="217"/>
      <c r="AA38" s="217"/>
      <c r="AB38" s="20"/>
      <c r="AC38" s="20"/>
      <c r="AD38" s="20"/>
      <c r="AE38" s="20"/>
      <c r="AF38" s="20"/>
      <c r="AG38" s="20"/>
      <c r="AH38" s="20"/>
      <c r="AI38" s="20"/>
      <c r="AJ38" s="2"/>
      <c r="AK38" s="2"/>
      <c r="AL38" s="2"/>
      <c r="AM38" s="3"/>
      <c r="AN38" s="26"/>
      <c r="AO38" s="26"/>
      <c r="AP38" s="26"/>
      <c r="AQ38" s="26"/>
      <c r="AR38" s="26"/>
      <c r="AS38" s="26"/>
      <c r="AT38" s="26"/>
      <c r="AU38" s="26"/>
      <c r="AV38" s="26"/>
      <c r="AW38" s="26"/>
      <c r="AX38" s="26"/>
      <c r="AY38" s="5"/>
      <c r="AZ38" s="5"/>
      <c r="BA38" s="5"/>
      <c r="BB38" s="5"/>
      <c r="BC38" s="5"/>
      <c r="BD38" s="5"/>
      <c r="BE38" s="5"/>
      <c r="BF38" s="26"/>
      <c r="BG38" s="26"/>
      <c r="BH38" s="26"/>
      <c r="BI38" s="26"/>
      <c r="BJ38" s="26"/>
      <c r="BK38" s="26"/>
      <c r="BL38" s="26"/>
      <c r="BM38" s="26"/>
      <c r="BN38" s="26"/>
      <c r="BO38" s="26"/>
      <c r="BP38" s="26"/>
      <c r="BQ38" s="26"/>
      <c r="BR38" s="26"/>
      <c r="BS38" s="26"/>
      <c r="BT38" s="26"/>
      <c r="BU38" s="26"/>
      <c r="BV38" s="26"/>
      <c r="BW38" s="26"/>
      <c r="BX38" s="26"/>
      <c r="BY38" s="26"/>
      <c r="BZ38" s="26"/>
      <c r="CA38" s="26"/>
    </row>
    <row r="39" spans="1:79" ht="15.75" customHeight="1">
      <c r="A39" s="218"/>
      <c r="B39" s="218"/>
      <c r="C39" s="49"/>
      <c r="D39" s="80"/>
      <c r="E39" s="52"/>
      <c r="F39" s="218"/>
      <c r="G39" s="51"/>
      <c r="H39" s="218"/>
      <c r="I39" s="219"/>
      <c r="J39" s="220" t="s">
        <v>131</v>
      </c>
      <c r="K39" s="221"/>
      <c r="L39" s="221"/>
      <c r="M39" s="222">
        <f>57101+2465-4500-33941-21047+2603+21429-5000-18930+19774+17160+1300+3360+10780</f>
        <v>52554</v>
      </c>
      <c r="N39" s="223">
        <f ca="1">M39/M40</f>
        <v>0.46733152418516311</v>
      </c>
      <c r="O39" s="224"/>
      <c r="P39" s="225"/>
      <c r="Q39" s="109"/>
      <c r="R39" s="109"/>
      <c r="S39" s="109"/>
      <c r="T39" s="109"/>
      <c r="U39" s="109"/>
      <c r="V39" s="109"/>
      <c r="W39" s="106"/>
      <c r="X39" s="106"/>
      <c r="Y39" s="106"/>
      <c r="Z39" s="106"/>
      <c r="AA39" s="106"/>
      <c r="AB39" s="3"/>
      <c r="AC39" s="3"/>
      <c r="AD39" s="3"/>
      <c r="AE39" s="3"/>
      <c r="AF39" s="3"/>
      <c r="AG39" s="3"/>
      <c r="AH39" s="3"/>
      <c r="AI39" s="3"/>
      <c r="AJ39" s="3"/>
      <c r="AK39" s="3"/>
      <c r="AL39" s="3"/>
      <c r="AM39" s="3"/>
      <c r="AN39" s="106"/>
      <c r="AO39" s="106"/>
      <c r="AP39" s="106"/>
      <c r="AQ39" s="106"/>
      <c r="AR39" s="106"/>
      <c r="AS39" s="106"/>
      <c r="AT39" s="106"/>
      <c r="AU39" s="26"/>
      <c r="AV39" s="106"/>
      <c r="AW39" s="26"/>
      <c r="AX39" s="106"/>
      <c r="AY39" s="5"/>
      <c r="AZ39" s="5"/>
      <c r="BA39" s="5"/>
      <c r="BB39" s="5"/>
      <c r="BC39" s="5"/>
      <c r="BD39" s="5"/>
      <c r="BE39" s="5"/>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row>
    <row r="40" spans="1:79" ht="15.75" customHeight="1">
      <c r="A40" s="218"/>
      <c r="B40" s="218"/>
      <c r="C40" s="226"/>
      <c r="D40" s="218"/>
      <c r="E40" s="218"/>
      <c r="F40" s="218"/>
      <c r="G40" s="52"/>
      <c r="H40" s="218"/>
      <c r="I40" s="219"/>
      <c r="J40" s="211" t="s">
        <v>132</v>
      </c>
      <c r="K40" s="212"/>
      <c r="L40" s="212"/>
      <c r="M40" s="227">
        <f ca="1">M39+M38</f>
        <v>112455.49953351187</v>
      </c>
      <c r="N40" s="215"/>
      <c r="O40" s="109"/>
      <c r="P40" s="109"/>
      <c r="Q40" s="109"/>
      <c r="R40" s="109"/>
      <c r="S40" s="109"/>
      <c r="T40" s="109"/>
      <c r="U40" s="109"/>
      <c r="V40" s="109"/>
      <c r="W40" s="106"/>
      <c r="X40" s="106"/>
      <c r="Y40" s="106"/>
      <c r="Z40" s="106"/>
      <c r="AA40" s="106"/>
      <c r="AB40" s="3"/>
      <c r="AC40" s="3"/>
      <c r="AD40" s="3"/>
      <c r="AE40" s="3"/>
      <c r="AF40" s="3"/>
      <c r="AG40" s="3"/>
      <c r="AH40" s="3"/>
      <c r="AI40" s="3"/>
      <c r="AJ40" s="3"/>
      <c r="AK40" s="3"/>
      <c r="AL40" s="3"/>
      <c r="AM40" s="3"/>
      <c r="AN40" s="106"/>
      <c r="AO40" s="106"/>
      <c r="AP40" s="106"/>
      <c r="AQ40" s="106"/>
      <c r="AR40" s="106"/>
      <c r="AS40" s="106"/>
      <c r="AT40" s="106"/>
      <c r="AU40" s="26"/>
      <c r="AV40" s="106"/>
      <c r="AW40" s="26"/>
      <c r="AX40" s="106"/>
      <c r="AY40" s="5"/>
      <c r="AZ40" s="5"/>
      <c r="BA40" s="5"/>
      <c r="BB40" s="5"/>
      <c r="BC40" s="5"/>
      <c r="BD40" s="5"/>
      <c r="BE40" s="5"/>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row>
    <row r="41" spans="1:79" ht="15.75" customHeight="1">
      <c r="A41" s="218"/>
      <c r="B41" s="218"/>
      <c r="C41" s="226"/>
      <c r="D41" s="218"/>
      <c r="E41" s="218"/>
      <c r="F41" s="52"/>
      <c r="G41" s="218"/>
      <c r="H41" s="218"/>
      <c r="I41" s="219"/>
      <c r="J41" s="228" t="s">
        <v>133</v>
      </c>
      <c r="K41" s="229"/>
      <c r="L41" s="229"/>
      <c r="M41" s="230">
        <v>112081</v>
      </c>
      <c r="N41" s="215"/>
      <c r="O41" s="109"/>
      <c r="P41" s="109"/>
      <c r="Q41" s="109"/>
      <c r="R41" s="109"/>
      <c r="S41" s="109"/>
      <c r="T41" s="109"/>
      <c r="U41" s="109"/>
      <c r="V41" s="109"/>
      <c r="W41" s="106"/>
      <c r="X41" s="106"/>
      <c r="Y41" s="106"/>
      <c r="Z41" s="106"/>
      <c r="AA41" s="106"/>
      <c r="AB41" s="3"/>
      <c r="AC41" s="231"/>
      <c r="AD41" s="231"/>
      <c r="AE41" s="231"/>
      <c r="AF41" s="231"/>
      <c r="AG41" s="3"/>
      <c r="AH41" s="3"/>
      <c r="AI41" s="3"/>
      <c r="AJ41" s="3"/>
      <c r="AK41" s="3"/>
      <c r="AL41" s="3"/>
      <c r="AM41" s="3"/>
      <c r="AN41" s="106"/>
      <c r="AO41" s="106"/>
      <c r="AP41" s="106"/>
      <c r="AQ41" s="106"/>
      <c r="AR41" s="106"/>
      <c r="AS41" s="106"/>
      <c r="AT41" s="106"/>
      <c r="AU41" s="26"/>
      <c r="AV41" s="106"/>
      <c r="AW41" s="26"/>
      <c r="AX41" s="106"/>
      <c r="AY41" s="5"/>
      <c r="AZ41" s="5"/>
      <c r="BA41" s="5"/>
      <c r="BB41" s="5"/>
      <c r="BC41" s="5"/>
      <c r="BD41" s="5"/>
      <c r="BE41" s="5"/>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row>
    <row r="42" spans="1:79" ht="15.75" customHeight="1">
      <c r="A42" s="218"/>
      <c r="B42" s="218"/>
      <c r="C42" s="226"/>
      <c r="D42" s="218"/>
      <c r="E42" s="218"/>
      <c r="F42" s="218"/>
      <c r="G42" s="218"/>
      <c r="H42" s="218"/>
      <c r="I42" s="218"/>
      <c r="J42" s="232"/>
      <c r="K42" s="209"/>
      <c r="L42" s="216"/>
      <c r="M42" s="216"/>
      <c r="N42" s="109"/>
      <c r="O42" s="109"/>
      <c r="P42" s="109"/>
      <c r="Q42" s="109"/>
      <c r="R42" s="109"/>
      <c r="S42" s="109"/>
      <c r="T42" s="109"/>
      <c r="U42" s="109"/>
      <c r="V42" s="109"/>
      <c r="W42" s="106"/>
      <c r="X42" s="106"/>
      <c r="Y42" s="106"/>
      <c r="Z42" s="106"/>
      <c r="AA42" s="106"/>
      <c r="AB42" s="27"/>
      <c r="AC42" s="479" t="s">
        <v>134</v>
      </c>
      <c r="AD42" s="480"/>
      <c r="AE42" s="480"/>
      <c r="AF42" s="481"/>
      <c r="AG42" s="14"/>
      <c r="AH42" s="3"/>
      <c r="AI42" s="3"/>
      <c r="AJ42" s="3"/>
      <c r="AK42" s="3"/>
      <c r="AL42" s="3"/>
      <c r="AM42" s="3"/>
      <c r="AN42" s="106"/>
      <c r="AO42" s="106"/>
      <c r="AP42" s="106"/>
      <c r="AQ42" s="106"/>
      <c r="AR42" s="106"/>
      <c r="AS42" s="106"/>
      <c r="AT42" s="106"/>
      <c r="AU42" s="26"/>
      <c r="AV42" s="106"/>
      <c r="AW42" s="26"/>
      <c r="AX42" s="106"/>
      <c r="AY42" s="5"/>
      <c r="AZ42" s="5"/>
      <c r="BA42" s="5"/>
      <c r="BB42" s="5"/>
      <c r="BC42" s="5"/>
      <c r="BD42" s="5"/>
      <c r="BE42" s="5"/>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row>
    <row r="43" spans="1:79" ht="36">
      <c r="A43" s="233"/>
      <c r="B43" s="233"/>
      <c r="C43" s="226"/>
      <c r="D43" s="234" t="s">
        <v>4</v>
      </c>
      <c r="E43" s="234" t="s">
        <v>46</v>
      </c>
      <c r="F43" s="235">
        <v>44981</v>
      </c>
      <c r="G43" s="234" t="s">
        <v>48</v>
      </c>
      <c r="H43" s="234" t="s">
        <v>49</v>
      </c>
      <c r="I43" s="234" t="s">
        <v>135</v>
      </c>
      <c r="J43" s="234" t="s">
        <v>50</v>
      </c>
      <c r="K43" s="234">
        <v>2023</v>
      </c>
      <c r="L43" s="234">
        <v>2022</v>
      </c>
      <c r="M43" s="234">
        <v>2021</v>
      </c>
      <c r="N43" s="234">
        <v>2020</v>
      </c>
      <c r="O43" s="234" t="s">
        <v>136</v>
      </c>
      <c r="P43" s="234" t="s">
        <v>137</v>
      </c>
      <c r="Q43" s="236">
        <v>43830</v>
      </c>
      <c r="R43" s="3"/>
      <c r="S43" s="3"/>
      <c r="T43" s="3"/>
      <c r="U43" s="3"/>
      <c r="V43" s="3"/>
      <c r="W43" s="3"/>
      <c r="X43" s="3"/>
      <c r="Y43" s="3"/>
      <c r="Z43" s="3"/>
      <c r="AA43" s="3"/>
      <c r="AB43" s="12"/>
      <c r="AC43" s="237" t="s">
        <v>59</v>
      </c>
      <c r="AD43" s="238" t="s">
        <v>60</v>
      </c>
      <c r="AE43" s="238" t="s">
        <v>138</v>
      </c>
      <c r="AF43" s="239" t="s">
        <v>139</v>
      </c>
      <c r="AG43" s="13"/>
      <c r="AH43" s="3"/>
      <c r="AI43" s="3"/>
      <c r="AJ43" s="3"/>
      <c r="AK43" s="3"/>
      <c r="AL43" s="3"/>
      <c r="AM43" s="3"/>
      <c r="AN43" s="106"/>
      <c r="AO43" s="106"/>
      <c r="AP43" s="106"/>
      <c r="AQ43" s="106"/>
      <c r="AR43" s="106"/>
      <c r="AS43" s="106"/>
      <c r="AT43" s="106"/>
      <c r="AU43" s="26"/>
      <c r="AV43" s="106"/>
      <c r="AW43" s="26"/>
      <c r="AX43" s="106"/>
      <c r="AY43" s="5"/>
      <c r="AZ43" s="5"/>
      <c r="BA43" s="5"/>
      <c r="BB43" s="5"/>
      <c r="BC43" s="5"/>
      <c r="BD43" s="5"/>
      <c r="BE43" s="5"/>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row>
    <row r="44" spans="1:79" ht="15.75" customHeight="1">
      <c r="A44" s="233"/>
      <c r="B44" s="233"/>
      <c r="C44" s="233" t="s">
        <v>140</v>
      </c>
      <c r="D44" s="8">
        <f ca="1">I3*V3+I5*V5+I7*V7+I9*V9+I11*V11+I13*V13+I15*V15+I17*V17+I19*V19+I21*V21+I23*V23+I25*V25+I27*V27+I29*V29+I31*V31+I33*V33+I35*V35</f>
        <v>-1.3781496554884972E-3</v>
      </c>
      <c r="E44" s="8">
        <f ca="1">M40/M41-1+0.1%</f>
        <v>4.3413293378170561E-3</v>
      </c>
      <c r="F44" s="8">
        <f ca="1">2.1%+E44</f>
        <v>2.5341329337817058E-2</v>
      </c>
      <c r="G44" s="8">
        <f ca="1">(1+F44)*(1+AZ83)*(1+AZ84)-1</f>
        <v>7.930196747687801E-2</v>
      </c>
      <c r="H44" s="8">
        <f ca="1">(1+G44)*(1+AZ80)*(1+AZ82)*(1+AZ81)-1</f>
        <v>0.13206491881260862</v>
      </c>
      <c r="I44" s="8">
        <f ca="1">(1+H44)*(1+AZ78)*(1+AZ75)*(1+AZ79)*(1+AZ74)*(1+AZ76)*(1+AZ77)-1</f>
        <v>0.18616279576854233</v>
      </c>
      <c r="J44" s="8">
        <f ca="1">(F44+1)*(1+AZ84)-1</f>
        <v>5.9177593205965051E-2</v>
      </c>
      <c r="K44" s="8">
        <v>0.13100000000000001</v>
      </c>
      <c r="L44" s="8">
        <v>-0.126</v>
      </c>
      <c r="M44" s="8">
        <v>0.104</v>
      </c>
      <c r="N44" s="8">
        <v>0.77100000000000002</v>
      </c>
      <c r="O44" s="8">
        <f ca="1">(1+N44)*(1+M44)*(1+L44)*(1+K44)*(1+J44)-1</f>
        <v>1.0470594566132712</v>
      </c>
      <c r="P44" s="240">
        <f ca="1">(1+O44)^(365/(TODAY()-Q43))-1</f>
        <v>0.18879659027510454</v>
      </c>
      <c r="Q44" s="14"/>
      <c r="R44" s="3"/>
      <c r="S44" s="3"/>
      <c r="T44" s="3"/>
      <c r="U44" s="3"/>
      <c r="V44" s="3"/>
      <c r="W44" s="3"/>
      <c r="X44" s="3"/>
      <c r="Y44" s="3"/>
      <c r="Z44" s="3"/>
      <c r="AA44" s="3"/>
      <c r="AB44" s="31" t="s">
        <v>7</v>
      </c>
      <c r="AC44" s="241">
        <f ca="1">I31*AD44+I35*0.155+0.5*I33</f>
        <v>3.8288034092249054E-2</v>
      </c>
      <c r="AD44" s="242">
        <v>0.2366</v>
      </c>
      <c r="AE44" s="241">
        <f ca="1">AC44-AD44</f>
        <v>-0.19831196590775096</v>
      </c>
      <c r="AF44" s="243">
        <v>-2.5356043110084769E-2</v>
      </c>
      <c r="AG44" s="13"/>
      <c r="AH44" s="3"/>
      <c r="AI44" s="3"/>
      <c r="AJ44" s="3"/>
      <c r="AK44" s="3"/>
      <c r="AL44" s="3"/>
      <c r="AM44" s="109" t="s">
        <v>141</v>
      </c>
      <c r="AN44" s="106"/>
      <c r="AO44" s="109" t="s">
        <v>142</v>
      </c>
      <c r="AP44" s="106"/>
      <c r="AQ44" s="109" t="s">
        <v>143</v>
      </c>
      <c r="AR44" s="110"/>
      <c r="AS44" s="109" t="s">
        <v>144</v>
      </c>
      <c r="AT44" s="110"/>
      <c r="AU44" s="109" t="s">
        <v>145</v>
      </c>
      <c r="AV44" s="110"/>
      <c r="AW44" s="26" t="s">
        <v>50</v>
      </c>
      <c r="AX44" s="106"/>
      <c r="AY44" s="26">
        <v>2020</v>
      </c>
      <c r="AZ44" s="106"/>
      <c r="BA44" s="5"/>
      <c r="BB44" s="5"/>
      <c r="BC44" s="5"/>
      <c r="BD44" s="5"/>
      <c r="BE44" s="5"/>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row>
    <row r="45" spans="1:79" ht="15.75" customHeight="1">
      <c r="A45" s="233"/>
      <c r="B45" s="233"/>
      <c r="C45" s="233" t="s">
        <v>146</v>
      </c>
      <c r="D45" s="8">
        <v>-5.0000000000000001E-3</v>
      </c>
      <c r="E45" s="8">
        <v>-3.3719074221867373E-3</v>
      </c>
      <c r="F45" s="8">
        <v>3.4439198144466499E-2</v>
      </c>
      <c r="G45" s="16">
        <v>9.9612556685598541E-2</v>
      </c>
      <c r="H45" s="16">
        <v>0.13695543314972469</v>
      </c>
      <c r="I45" s="16">
        <v>0.25162244105339648</v>
      </c>
      <c r="J45" s="16">
        <v>5.0914140245313488E-2</v>
      </c>
      <c r="K45" s="16">
        <v>0.24299999999999999</v>
      </c>
      <c r="L45" s="16">
        <v>-0.19500000000000001</v>
      </c>
      <c r="M45" s="16">
        <v>0.27</v>
      </c>
      <c r="N45" s="16">
        <v>0.16200000000000001</v>
      </c>
      <c r="O45" s="16">
        <v>0.55571820107138414</v>
      </c>
      <c r="P45" s="240">
        <v>0.11266184814249813</v>
      </c>
      <c r="Q45" s="14"/>
      <c r="R45" s="3"/>
      <c r="S45" s="3"/>
      <c r="T45" s="3"/>
      <c r="U45" s="3"/>
      <c r="V45" s="3"/>
      <c r="W45" s="3"/>
      <c r="X45" s="3"/>
      <c r="Y45" s="3"/>
      <c r="Z45" s="3"/>
      <c r="AA45" s="3"/>
      <c r="AB45" s="31" t="s">
        <v>12</v>
      </c>
      <c r="AC45" s="10">
        <v>9.8000000000000004E-2</v>
      </c>
      <c r="AD45" s="2">
        <v>7.4399999999999994E-2</v>
      </c>
      <c r="AE45" s="10">
        <v>2.3E-2</v>
      </c>
      <c r="AF45" s="11">
        <v>-7.1482317531977868E-3</v>
      </c>
      <c r="AG45" s="13"/>
      <c r="AH45" s="5"/>
      <c r="AI45" s="5"/>
      <c r="AJ45" s="3"/>
      <c r="AK45" s="244" t="s">
        <v>5</v>
      </c>
      <c r="AL45" s="245" t="s">
        <v>4</v>
      </c>
      <c r="AM45" s="2" t="s">
        <v>147</v>
      </c>
      <c r="AN45" s="89" t="s">
        <v>148</v>
      </c>
      <c r="AO45" s="55" t="s">
        <v>147</v>
      </c>
      <c r="AP45" s="89" t="s">
        <v>148</v>
      </c>
      <c r="AQ45" s="246" t="s">
        <v>147</v>
      </c>
      <c r="AR45" s="89" t="s">
        <v>148</v>
      </c>
      <c r="AS45" s="246" t="s">
        <v>147</v>
      </c>
      <c r="AT45" s="89" t="s">
        <v>148</v>
      </c>
      <c r="AU45" s="246" t="s">
        <v>147</v>
      </c>
      <c r="AV45" s="89" t="s">
        <v>148</v>
      </c>
      <c r="AW45" s="246" t="s">
        <v>147</v>
      </c>
      <c r="AX45" s="89" t="s">
        <v>148</v>
      </c>
      <c r="AY45" s="246" t="s">
        <v>147</v>
      </c>
      <c r="AZ45" s="89" t="s">
        <v>148</v>
      </c>
      <c r="BA45" s="5"/>
      <c r="BB45" s="5"/>
      <c r="BC45" s="5"/>
      <c r="BD45" s="5"/>
      <c r="BE45" s="5"/>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row>
    <row r="46" spans="1:79" ht="15.75" customHeight="1">
      <c r="A46" s="233"/>
      <c r="B46" s="233"/>
      <c r="C46" s="247" t="s">
        <v>138</v>
      </c>
      <c r="D46" s="248">
        <f t="shared" ref="D46:P46" ca="1" si="5">D44-D45</f>
        <v>3.6218503445115029E-3</v>
      </c>
      <c r="E46" s="248">
        <f t="shared" ca="1" si="5"/>
        <v>7.7132367600037935E-3</v>
      </c>
      <c r="F46" s="248">
        <f t="shared" ca="1" si="5"/>
        <v>-9.0978688066494402E-3</v>
      </c>
      <c r="G46" s="248">
        <f t="shared" ca="1" si="5"/>
        <v>-2.0310589208720531E-2</v>
      </c>
      <c r="H46" s="248">
        <f t="shared" ca="1" si="5"/>
        <v>-4.8905143371160698E-3</v>
      </c>
      <c r="I46" s="248">
        <f t="shared" ca="1" si="5"/>
        <v>-6.5459645284854151E-2</v>
      </c>
      <c r="J46" s="248">
        <f t="shared" ca="1" si="5"/>
        <v>8.2634529606515628E-3</v>
      </c>
      <c r="K46" s="248">
        <f t="shared" si="5"/>
        <v>-0.11199999999999999</v>
      </c>
      <c r="L46" s="248">
        <f t="shared" si="5"/>
        <v>6.9000000000000006E-2</v>
      </c>
      <c r="M46" s="248">
        <f t="shared" si="5"/>
        <v>-0.16600000000000004</v>
      </c>
      <c r="N46" s="248">
        <f t="shared" si="5"/>
        <v>0.60899999999999999</v>
      </c>
      <c r="O46" s="248">
        <f t="shared" ca="1" si="5"/>
        <v>0.49134125554188701</v>
      </c>
      <c r="P46" s="248">
        <f t="shared" ca="1" si="5"/>
        <v>7.6134742132606403E-2</v>
      </c>
      <c r="Q46" s="14"/>
      <c r="R46" s="3"/>
      <c r="S46" s="3"/>
      <c r="T46" s="3"/>
      <c r="U46" s="3"/>
      <c r="V46" s="3"/>
      <c r="W46" s="3"/>
      <c r="X46" s="3"/>
      <c r="Y46" s="3"/>
      <c r="Z46" s="3"/>
      <c r="AA46" s="3"/>
      <c r="AB46" s="31" t="s">
        <v>149</v>
      </c>
      <c r="AC46" s="10">
        <f ca="1">+I31*AD46+I35*0.06</f>
        <v>0</v>
      </c>
      <c r="AD46" s="2">
        <v>2.76E-2</v>
      </c>
      <c r="AE46" s="10">
        <f t="shared" ref="AE46:AE55" ca="1" si="6">AC46-AD46</f>
        <v>-2.76E-2</v>
      </c>
      <c r="AF46" s="11">
        <v>-1.5620932048944214E-3</v>
      </c>
      <c r="AG46" s="13"/>
      <c r="AH46" s="3"/>
      <c r="AI46" s="3"/>
      <c r="AJ46" s="3"/>
      <c r="AK46" s="3"/>
      <c r="AL46" s="45">
        <f ca="1">IFERROR(__xludf.DUMMYFUNCTION("GOOGLEFINANCE(AK45)"),499.51)</f>
        <v>499.51</v>
      </c>
      <c r="AM46" s="190"/>
      <c r="AN46" s="191"/>
      <c r="AO46" s="190"/>
      <c r="AP46" s="191"/>
      <c r="AQ46" s="190"/>
      <c r="AR46" s="191"/>
      <c r="AS46" s="190"/>
      <c r="AT46" s="191"/>
      <c r="AU46" s="190"/>
      <c r="AV46" s="191"/>
      <c r="AW46" s="190"/>
      <c r="AX46" s="191"/>
      <c r="AY46" s="190"/>
      <c r="AZ46" s="191"/>
      <c r="BA46" s="5"/>
      <c r="BB46" s="5"/>
      <c r="BC46" s="5"/>
      <c r="BD46" s="5"/>
      <c r="BE46" s="5"/>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row>
    <row r="47" spans="1:79" ht="15.75" customHeight="1">
      <c r="A47" s="233"/>
      <c r="B47" s="233"/>
      <c r="I47" s="218"/>
      <c r="J47" s="5"/>
      <c r="K47" s="109"/>
      <c r="L47" s="109"/>
      <c r="M47" s="109"/>
      <c r="N47" s="109"/>
      <c r="O47" s="106"/>
      <c r="P47" s="109"/>
      <c r="Q47" s="109"/>
      <c r="R47" s="109"/>
      <c r="S47" s="109"/>
      <c r="T47" s="109"/>
      <c r="U47" s="109"/>
      <c r="V47" s="109"/>
      <c r="W47" s="3"/>
      <c r="X47" s="3"/>
      <c r="Y47" s="3"/>
      <c r="Z47" s="3"/>
      <c r="AA47" s="3"/>
      <c r="AB47" s="31" t="s">
        <v>13</v>
      </c>
      <c r="AC47" s="10">
        <f ca="1">I31*AD47+I9+I35*0.14</f>
        <v>1.2736060094359286E-2</v>
      </c>
      <c r="AD47" s="2">
        <v>0.1386</v>
      </c>
      <c r="AE47" s="10">
        <f t="shared" ca="1" si="6"/>
        <v>-0.12586393990564071</v>
      </c>
      <c r="AF47" s="11">
        <v>1.4073694984646945E-2</v>
      </c>
      <c r="AG47" s="13"/>
      <c r="AH47" s="3"/>
      <c r="AI47" s="3"/>
      <c r="AJ47" s="3"/>
      <c r="AK47" s="3"/>
      <c r="AL47" s="3"/>
      <c r="AM47" s="3"/>
      <c r="AN47" s="106"/>
      <c r="AO47" s="106"/>
      <c r="AP47" s="106"/>
      <c r="AQ47" s="106"/>
      <c r="AR47" s="106"/>
      <c r="AS47" s="106"/>
      <c r="AT47" s="106"/>
      <c r="AU47" s="26"/>
      <c r="AV47" s="106"/>
      <c r="AW47" s="26"/>
      <c r="AX47" s="106"/>
      <c r="AY47" s="5"/>
      <c r="AZ47" s="5"/>
      <c r="BA47" s="5"/>
      <c r="BB47" s="5"/>
      <c r="BC47" s="5"/>
      <c r="BD47" s="5"/>
      <c r="BE47" s="5"/>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row>
    <row r="48" spans="1:79" ht="15.75" customHeight="1">
      <c r="A48" s="5"/>
      <c r="B48" s="233"/>
      <c r="C48" s="233"/>
      <c r="D48" s="233"/>
      <c r="E48" s="233"/>
      <c r="F48" s="233"/>
      <c r="G48" s="233"/>
      <c r="H48" s="233"/>
      <c r="I48" s="218"/>
      <c r="J48" s="5"/>
      <c r="K48" s="5"/>
      <c r="L48" s="5"/>
      <c r="M48" s="5"/>
      <c r="N48" s="109"/>
      <c r="O48" s="106"/>
      <c r="W48" s="3"/>
      <c r="X48" s="3"/>
      <c r="Y48" s="3"/>
      <c r="Z48" s="3"/>
      <c r="AA48" s="3"/>
      <c r="AB48" s="31" t="s">
        <v>150</v>
      </c>
      <c r="AC48" s="10">
        <f ca="1">I31*AD48+I35*0.11+0.25*I33+I17</f>
        <v>6.3854068375933132E-2</v>
      </c>
      <c r="AD48" s="2">
        <v>0.1023</v>
      </c>
      <c r="AE48" s="10">
        <f t="shared" ca="1" si="6"/>
        <v>-3.844593162406687E-2</v>
      </c>
      <c r="AF48" s="11">
        <v>-4.8916064480266641E-3</v>
      </c>
      <c r="AG48" s="13"/>
      <c r="AH48" s="3"/>
      <c r="AI48" s="3"/>
      <c r="AJ48" s="3"/>
      <c r="AK48" s="3"/>
      <c r="AL48" s="3"/>
      <c r="AM48" s="3"/>
      <c r="AN48" s="106"/>
      <c r="AO48" s="106"/>
      <c r="AP48" s="106"/>
      <c r="AQ48" s="106"/>
      <c r="AR48" s="106"/>
      <c r="AS48" s="106"/>
      <c r="AT48" s="106"/>
      <c r="AU48" s="26"/>
      <c r="AV48" s="106"/>
      <c r="AW48" s="26"/>
      <c r="AX48" s="106"/>
      <c r="AY48" s="26"/>
      <c r="AZ48" s="5" t="s">
        <v>59</v>
      </c>
      <c r="BA48" s="29" t="s">
        <v>60</v>
      </c>
      <c r="BC48" s="5" t="s">
        <v>61</v>
      </c>
      <c r="BE48" s="5"/>
      <c r="BF48" s="5"/>
      <c r="BG48" s="5"/>
      <c r="BH48" s="5"/>
      <c r="BI48" s="5"/>
      <c r="BJ48" s="5"/>
      <c r="BK48" s="5"/>
      <c r="BL48" s="5"/>
      <c r="BM48" s="5"/>
      <c r="BN48" s="5"/>
      <c r="BO48" s="5"/>
      <c r="BP48" s="5"/>
      <c r="BQ48" s="5"/>
      <c r="BR48" s="5"/>
      <c r="BS48" s="5"/>
      <c r="BT48" s="5"/>
      <c r="BU48" s="5"/>
      <c r="BV48" s="5"/>
      <c r="BW48" s="5"/>
      <c r="BX48" s="5"/>
      <c r="BY48" s="5"/>
      <c r="BZ48" s="5"/>
      <c r="CA48" s="5"/>
    </row>
    <row r="49" spans="1:79" ht="15.75" customHeight="1">
      <c r="A49" s="4"/>
      <c r="B49" s="233"/>
      <c r="C49" s="233"/>
      <c r="D49" s="233"/>
      <c r="E49" s="233"/>
      <c r="F49" s="233"/>
      <c r="G49" s="233"/>
      <c r="H49" s="233"/>
      <c r="I49" s="218"/>
      <c r="J49" s="5"/>
      <c r="K49" s="5"/>
      <c r="L49" s="5"/>
      <c r="M49" s="5"/>
      <c r="N49" s="109"/>
      <c r="O49" s="106"/>
      <c r="P49" s="106"/>
      <c r="Q49" s="106"/>
      <c r="R49" s="106"/>
      <c r="S49" s="106"/>
      <c r="T49" s="106"/>
      <c r="U49" s="106"/>
      <c r="V49" s="106"/>
      <c r="W49" s="3"/>
      <c r="X49" s="3"/>
      <c r="Y49" s="3"/>
      <c r="Z49" s="3"/>
      <c r="AA49" s="3"/>
      <c r="AB49" s="31" t="s">
        <v>10</v>
      </c>
      <c r="AC49" s="10">
        <f ca="1">+I31*AD49+I35*0.14</f>
        <v>0</v>
      </c>
      <c r="AD49" s="2">
        <v>8.9399999999999993E-2</v>
      </c>
      <c r="AE49" s="10">
        <f t="shared" ca="1" si="6"/>
        <v>-8.9399999999999993E-2</v>
      </c>
      <c r="AF49" s="11">
        <v>9.2347156904659666E-3</v>
      </c>
      <c r="AG49" s="13"/>
      <c r="AH49" s="3"/>
      <c r="AI49" s="3"/>
      <c r="AJ49" s="3"/>
      <c r="AK49" s="3"/>
      <c r="AL49" s="3"/>
      <c r="AM49" s="3"/>
      <c r="AN49" s="106"/>
      <c r="AO49" s="106"/>
      <c r="AP49" s="106"/>
      <c r="AQ49" s="106"/>
      <c r="AR49" s="106"/>
      <c r="AS49" s="106"/>
      <c r="AT49" s="106"/>
      <c r="AU49" s="26"/>
      <c r="AV49" s="106"/>
      <c r="AW49" s="26"/>
      <c r="AX49" s="106"/>
      <c r="AY49" s="249">
        <v>44248</v>
      </c>
      <c r="AZ49" s="8">
        <v>4.43359035718216E-3</v>
      </c>
      <c r="BA49" s="8">
        <v>2.0638342622778305E-2</v>
      </c>
      <c r="BE49" s="5"/>
      <c r="BF49" s="5"/>
      <c r="BG49" s="5"/>
      <c r="BH49" s="5"/>
      <c r="BI49" s="5"/>
      <c r="BJ49" s="5"/>
      <c r="BK49" s="5"/>
      <c r="BL49" s="5"/>
      <c r="BM49" s="5"/>
      <c r="BN49" s="5"/>
      <c r="BO49" s="5"/>
      <c r="BP49" s="5"/>
      <c r="BQ49" s="5"/>
      <c r="BR49" s="5"/>
      <c r="BS49" s="5"/>
      <c r="BT49" s="5"/>
      <c r="BU49" s="5"/>
      <c r="BV49" s="5"/>
      <c r="BW49" s="5"/>
      <c r="BX49" s="5"/>
      <c r="BY49" s="5"/>
      <c r="BZ49" s="5"/>
      <c r="CA49" s="5"/>
    </row>
    <row r="50" spans="1:79" ht="15.75" customHeight="1">
      <c r="A50" s="4"/>
      <c r="B50" s="233"/>
      <c r="C50" s="233"/>
      <c r="D50" s="233"/>
      <c r="E50" s="233"/>
      <c r="F50" s="233"/>
      <c r="G50" s="233"/>
      <c r="H50" s="233"/>
      <c r="I50" s="218"/>
      <c r="J50" s="5"/>
      <c r="K50" s="5"/>
      <c r="L50" s="5"/>
      <c r="M50" s="5"/>
      <c r="N50" s="109"/>
      <c r="O50" s="109"/>
      <c r="P50" s="109"/>
      <c r="Q50" s="109"/>
      <c r="R50" s="109"/>
      <c r="S50" s="109"/>
      <c r="T50" s="109"/>
      <c r="U50" s="109"/>
      <c r="V50" s="109"/>
      <c r="W50" s="106"/>
      <c r="X50" s="106"/>
      <c r="Y50" s="106"/>
      <c r="Z50" s="106"/>
      <c r="AA50" s="3"/>
      <c r="AB50" s="31" t="s">
        <v>11</v>
      </c>
      <c r="AC50" s="10">
        <f ca="1">I31*AD50+I35*0.04</f>
        <v>0</v>
      </c>
      <c r="AD50" s="2">
        <v>2.4899999999999999E-2</v>
      </c>
      <c r="AE50" s="10">
        <f t="shared" ca="1" si="6"/>
        <v>-2.4899999999999999E-2</v>
      </c>
      <c r="AF50" s="11">
        <v>2.4416646620158744E-2</v>
      </c>
      <c r="AG50" s="13"/>
      <c r="AH50" s="3"/>
      <c r="AI50" s="3"/>
      <c r="AJ50" s="3"/>
      <c r="AK50" s="3"/>
      <c r="AL50" s="3"/>
      <c r="AM50" s="3"/>
      <c r="AN50" s="106"/>
      <c r="AO50" s="106"/>
      <c r="AP50" s="106"/>
      <c r="AQ50" s="106"/>
      <c r="AR50" s="106"/>
      <c r="AS50" s="106"/>
      <c r="AT50" s="106"/>
      <c r="AU50" s="26"/>
      <c r="AV50" s="106"/>
      <c r="AW50" s="26"/>
      <c r="AX50" s="106"/>
      <c r="AY50" s="249">
        <v>44276</v>
      </c>
      <c r="AZ50" s="8">
        <v>-4.150675257945121E-2</v>
      </c>
      <c r="BA50" s="8">
        <v>4.1986539068251005E-2</v>
      </c>
      <c r="BE50" s="5"/>
      <c r="BF50" s="5"/>
      <c r="BG50" s="5"/>
      <c r="BH50" s="5"/>
      <c r="BI50" s="5"/>
      <c r="BJ50" s="5"/>
      <c r="BK50" s="5"/>
      <c r="BL50" s="5"/>
      <c r="BM50" s="5"/>
      <c r="BN50" s="5"/>
      <c r="BO50" s="5"/>
      <c r="BP50" s="5"/>
      <c r="BQ50" s="5"/>
      <c r="BR50" s="5"/>
      <c r="BS50" s="5"/>
      <c r="BT50" s="5"/>
      <c r="BU50" s="5"/>
      <c r="BV50" s="5"/>
      <c r="BW50" s="5"/>
      <c r="BX50" s="5"/>
      <c r="BY50" s="5"/>
      <c r="BZ50" s="5"/>
      <c r="CA50" s="5"/>
    </row>
    <row r="51" spans="1:79" ht="15.75" customHeight="1">
      <c r="A51" s="4"/>
      <c r="B51" s="233"/>
      <c r="C51" s="233"/>
      <c r="D51" s="250" t="s">
        <v>151</v>
      </c>
      <c r="E51" s="233"/>
      <c r="F51" s="233"/>
      <c r="G51" s="233"/>
      <c r="H51" s="233"/>
      <c r="I51" s="218"/>
      <c r="J51" s="3"/>
      <c r="K51" s="3"/>
      <c r="L51" s="3"/>
      <c r="M51" s="3"/>
      <c r="N51" s="3"/>
      <c r="O51" s="3"/>
      <c r="P51" s="3"/>
      <c r="Q51" s="3"/>
      <c r="R51" s="3"/>
      <c r="S51" s="3"/>
      <c r="T51" s="3"/>
      <c r="U51" s="3"/>
      <c r="V51" s="3"/>
      <c r="W51" s="3"/>
      <c r="X51" s="251" t="s">
        <v>66</v>
      </c>
      <c r="Y51" s="251">
        <f ca="1">SUM(I3:I8)</f>
        <v>0.12795213857173721</v>
      </c>
      <c r="Z51" s="106"/>
      <c r="AA51" s="3"/>
      <c r="AB51" s="31" t="s">
        <v>14</v>
      </c>
      <c r="AC51" s="10">
        <f ca="1">+I31*AD51+I21+I23+I25+I27+I35*0.05+I29</f>
        <v>0.16789604375362749</v>
      </c>
      <c r="AD51" s="2">
        <v>5.21E-2</v>
      </c>
      <c r="AE51" s="10">
        <f t="shared" ca="1" si="6"/>
        <v>0.11579604375362748</v>
      </c>
      <c r="AF51" s="11">
        <v>2.7127595726803344E-2</v>
      </c>
      <c r="AG51" s="13"/>
      <c r="AH51" s="3"/>
      <c r="AI51" s="3"/>
      <c r="AJ51" s="5"/>
      <c r="AK51" s="5"/>
      <c r="AL51" s="3"/>
      <c r="AM51" s="3"/>
      <c r="AN51" s="106"/>
      <c r="AO51" s="106"/>
      <c r="AP51" s="106"/>
      <c r="AQ51" s="106"/>
      <c r="AR51" s="106"/>
      <c r="AS51" s="106"/>
      <c r="AT51" s="106"/>
      <c r="AU51" s="26"/>
      <c r="AV51" s="106"/>
      <c r="AW51" s="26"/>
      <c r="AX51" s="106"/>
      <c r="AY51" s="249">
        <v>44307</v>
      </c>
      <c r="AZ51" s="8">
        <v>1.545E-2</v>
      </c>
      <c r="BA51" s="8">
        <v>5.2999999999999999E-2</v>
      </c>
      <c r="BE51" s="5"/>
      <c r="BF51" s="5"/>
      <c r="BG51" s="5"/>
      <c r="BH51" s="5"/>
      <c r="BI51" s="5"/>
      <c r="BJ51" s="5"/>
      <c r="BK51" s="5"/>
      <c r="BL51" s="5"/>
      <c r="BM51" s="5"/>
      <c r="BN51" s="5"/>
      <c r="BO51" s="5"/>
      <c r="BP51" s="5"/>
      <c r="BQ51" s="5"/>
      <c r="BR51" s="5"/>
      <c r="BS51" s="5"/>
      <c r="BT51" s="5"/>
      <c r="BU51" s="5"/>
      <c r="BV51" s="5"/>
      <c r="BW51" s="5"/>
      <c r="BX51" s="5"/>
      <c r="BY51" s="5"/>
      <c r="BZ51" s="5"/>
      <c r="CA51" s="5"/>
    </row>
    <row r="52" spans="1:79" ht="15.75" customHeight="1">
      <c r="A52" s="4"/>
      <c r="B52" s="233"/>
      <c r="C52" s="233"/>
      <c r="D52" s="233"/>
      <c r="E52" s="233"/>
      <c r="F52" s="233"/>
      <c r="G52" s="233"/>
      <c r="H52" s="233"/>
      <c r="I52" s="218"/>
      <c r="J52" s="3"/>
      <c r="K52" s="109"/>
      <c r="L52" s="3"/>
      <c r="M52" s="3"/>
      <c r="N52" s="3"/>
      <c r="O52" s="3"/>
      <c r="P52" s="3"/>
      <c r="Q52" s="3"/>
      <c r="R52" s="3"/>
      <c r="S52" s="3"/>
      <c r="T52" s="3"/>
      <c r="U52" s="3"/>
      <c r="V52" s="3"/>
      <c r="W52" s="3"/>
      <c r="X52" s="251" t="s">
        <v>85</v>
      </c>
      <c r="Y52" s="251">
        <f ca="1">SUM(I9:I20)</f>
        <v>0.16024422530497412</v>
      </c>
      <c r="Z52" s="106"/>
      <c r="AA52" s="3"/>
      <c r="AB52" s="31" t="s">
        <v>15</v>
      </c>
      <c r="AC52" s="10">
        <f ca="1">I31*AD52+I19+I35*0.13+I5</f>
        <v>7.0641042531876197E-2</v>
      </c>
      <c r="AD52" s="2">
        <v>0.1537</v>
      </c>
      <c r="AE52" s="10">
        <f t="shared" ca="1" si="6"/>
        <v>-8.3058957468123806E-2</v>
      </c>
      <c r="AF52" s="11">
        <v>1.1179779182001415E-2</v>
      </c>
      <c r="AG52" s="13"/>
      <c r="AH52" s="3"/>
      <c r="AI52" s="3"/>
      <c r="AJ52" s="5"/>
      <c r="AK52" s="5"/>
      <c r="AL52" s="3"/>
      <c r="AM52" s="3"/>
      <c r="AN52" s="106"/>
      <c r="AO52" s="106"/>
      <c r="AP52" s="106"/>
      <c r="AQ52" s="106"/>
      <c r="AR52" s="106"/>
      <c r="AS52" s="106"/>
      <c r="AT52" s="106"/>
      <c r="AU52" s="26"/>
      <c r="AV52" s="106"/>
      <c r="AW52" s="26"/>
      <c r="AX52" s="106"/>
      <c r="AY52" s="249">
        <v>44337</v>
      </c>
      <c r="AZ52" s="8">
        <v>-5.7500000000000002E-2</v>
      </c>
      <c r="BA52" s="8">
        <v>7.0000000000000001E-3</v>
      </c>
      <c r="BE52" s="5"/>
      <c r="BF52" s="5"/>
      <c r="BG52" s="5"/>
      <c r="BH52" s="5"/>
      <c r="BI52" s="5"/>
      <c r="BJ52" s="5"/>
      <c r="BK52" s="5"/>
      <c r="BL52" s="5"/>
      <c r="BM52" s="5"/>
      <c r="BN52" s="5"/>
      <c r="BO52" s="5"/>
      <c r="BP52" s="5"/>
      <c r="BQ52" s="5"/>
      <c r="BR52" s="5"/>
      <c r="BS52" s="5"/>
      <c r="BT52" s="5"/>
      <c r="BU52" s="5"/>
      <c r="BV52" s="5"/>
      <c r="BW52" s="5"/>
      <c r="BX52" s="5"/>
      <c r="BY52" s="5"/>
      <c r="BZ52" s="5"/>
      <c r="CA52" s="5"/>
    </row>
    <row r="53" spans="1:79" ht="15.75" customHeight="1">
      <c r="A53" s="4"/>
      <c r="B53" s="233"/>
      <c r="C53" s="233"/>
      <c r="D53" s="233"/>
      <c r="E53" s="233"/>
      <c r="F53" s="233"/>
      <c r="G53" s="233"/>
      <c r="H53" s="233"/>
      <c r="I53" s="218"/>
      <c r="J53" s="3"/>
      <c r="K53" s="109"/>
      <c r="L53" s="3"/>
      <c r="M53" s="3"/>
      <c r="N53" s="3"/>
      <c r="O53" s="3"/>
      <c r="P53" s="3"/>
      <c r="Q53" s="3"/>
      <c r="R53" s="3"/>
      <c r="S53" s="3"/>
      <c r="T53" s="3"/>
      <c r="U53" s="3"/>
      <c r="V53" s="3"/>
      <c r="W53" s="3"/>
      <c r="X53" s="251" t="s">
        <v>152</v>
      </c>
      <c r="Y53" s="251">
        <f ca="1">SUM(I21:I30)</f>
        <v>0.16789604375362749</v>
      </c>
      <c r="Z53" s="106"/>
      <c r="AA53" s="3"/>
      <c r="AB53" s="31" t="s">
        <v>16</v>
      </c>
      <c r="AC53" s="10">
        <f ca="1">I7+I31*AD53+I3+I35*0.08</f>
        <v>8.1573793167244335E-2</v>
      </c>
      <c r="AD53" s="2">
        <v>7.4899999999999994E-2</v>
      </c>
      <c r="AE53" s="10">
        <f t="shared" ca="1" si="6"/>
        <v>6.6737931672443407E-3</v>
      </c>
      <c r="AF53" s="11">
        <v>2.3252633018739921E-3</v>
      </c>
      <c r="AG53" s="13"/>
      <c r="AH53" s="3"/>
      <c r="AI53" s="3"/>
      <c r="AJ53" s="5"/>
      <c r="AK53" s="5"/>
      <c r="AL53" s="3"/>
      <c r="AM53" s="3"/>
      <c r="AN53" s="106"/>
      <c r="AO53" s="106"/>
      <c r="AP53" s="106"/>
      <c r="AQ53" s="106"/>
      <c r="AR53" s="106"/>
      <c r="AS53" s="106"/>
      <c r="AT53" s="106"/>
      <c r="AU53" s="26"/>
      <c r="AV53" s="106"/>
      <c r="AW53" s="26"/>
      <c r="AX53" s="106"/>
      <c r="AY53" s="249">
        <v>44368</v>
      </c>
      <c r="AZ53" s="8">
        <v>3.4499999999999999E-3</v>
      </c>
      <c r="BA53" s="8">
        <v>2.7E-2</v>
      </c>
      <c r="BE53" s="5"/>
      <c r="BF53" s="5"/>
      <c r="BG53" s="5"/>
      <c r="BH53" s="5"/>
      <c r="BI53" s="5"/>
      <c r="BJ53" s="5"/>
      <c r="BK53" s="5"/>
      <c r="BL53" s="5"/>
      <c r="BM53" s="5"/>
      <c r="BN53" s="5"/>
      <c r="BO53" s="5"/>
      <c r="BP53" s="5"/>
      <c r="BQ53" s="5"/>
      <c r="BR53" s="5"/>
      <c r="BS53" s="5"/>
      <c r="BT53" s="5"/>
      <c r="BU53" s="5"/>
      <c r="BV53" s="5"/>
      <c r="BW53" s="5"/>
      <c r="BX53" s="5"/>
      <c r="BY53" s="5"/>
      <c r="BZ53" s="5"/>
      <c r="CA53" s="5"/>
    </row>
    <row r="54" spans="1:79" ht="15.75" customHeight="1">
      <c r="A54" s="4"/>
      <c r="B54" s="233"/>
      <c r="C54" s="233"/>
      <c r="D54" s="233"/>
      <c r="E54" s="233"/>
      <c r="F54" s="233"/>
      <c r="G54" s="233"/>
      <c r="H54" s="233"/>
      <c r="I54" s="218"/>
      <c r="J54" s="3"/>
      <c r="K54" s="109"/>
      <c r="L54" s="3"/>
      <c r="M54" s="3"/>
      <c r="N54" s="3"/>
      <c r="O54" s="3"/>
      <c r="P54" s="3"/>
      <c r="Q54" s="3"/>
      <c r="R54" s="3"/>
      <c r="S54" s="3"/>
      <c r="T54" s="3"/>
      <c r="U54" s="3"/>
      <c r="V54" s="3"/>
      <c r="W54" s="3"/>
      <c r="X54" s="252" t="s">
        <v>153</v>
      </c>
      <c r="Y54" s="251">
        <f ca="1">I31+I33</f>
        <v>7.6576068184498108E-2</v>
      </c>
      <c r="Z54" s="106"/>
      <c r="AA54" s="3"/>
      <c r="AB54" s="31" t="s">
        <v>17</v>
      </c>
      <c r="AC54" s="10">
        <f ca="1">I31*AD54+I35*0.06</f>
        <v>0</v>
      </c>
      <c r="AD54" s="2">
        <v>2.5499999999999998E-2</v>
      </c>
      <c r="AE54" s="10">
        <f t="shared" ca="1" si="6"/>
        <v>-2.5499999999999998E-2</v>
      </c>
      <c r="AF54" s="11">
        <v>1.5928322548531604E-2</v>
      </c>
      <c r="AG54" s="13"/>
      <c r="AH54" s="3"/>
      <c r="AI54" s="3"/>
      <c r="AJ54" s="5"/>
      <c r="AK54" s="5"/>
      <c r="AL54" s="3"/>
      <c r="AM54" s="3"/>
      <c r="AN54" s="106"/>
      <c r="AO54" s="106"/>
      <c r="AP54" s="106"/>
      <c r="AQ54" s="106"/>
      <c r="AR54" s="106"/>
      <c r="AS54" s="106"/>
      <c r="AT54" s="106"/>
      <c r="AU54" s="26"/>
      <c r="AV54" s="106"/>
      <c r="AW54" s="26"/>
      <c r="AX54" s="106"/>
      <c r="AY54" s="249">
        <v>44398</v>
      </c>
      <c r="AZ54" s="8">
        <v>-7.4000000000000003E-3</v>
      </c>
      <c r="BA54" s="8">
        <v>2.4E-2</v>
      </c>
      <c r="BE54" s="5"/>
      <c r="BF54" s="5"/>
      <c r="BG54" s="5"/>
      <c r="BH54" s="5"/>
      <c r="BI54" s="5"/>
      <c r="BJ54" s="5"/>
      <c r="BK54" s="5"/>
      <c r="BL54" s="5"/>
      <c r="BM54" s="5"/>
      <c r="BN54" s="5"/>
      <c r="BO54" s="5"/>
      <c r="BP54" s="5"/>
      <c r="BQ54" s="5"/>
      <c r="BR54" s="5"/>
      <c r="BS54" s="5"/>
      <c r="BT54" s="5"/>
      <c r="BU54" s="5"/>
      <c r="BV54" s="5"/>
      <c r="BW54" s="5"/>
      <c r="BX54" s="5"/>
      <c r="BY54" s="5"/>
      <c r="BZ54" s="5"/>
      <c r="CA54" s="5"/>
    </row>
    <row r="55" spans="1:79" ht="15.75" customHeight="1">
      <c r="A55" s="4"/>
      <c r="B55" s="233"/>
      <c r="C55" s="233"/>
      <c r="D55" s="233"/>
      <c r="E55" s="233"/>
      <c r="F55" s="233"/>
      <c r="G55" s="233"/>
      <c r="H55" s="233"/>
      <c r="I55" s="218"/>
      <c r="J55" s="3"/>
      <c r="K55" s="109"/>
      <c r="L55" s="3"/>
      <c r="M55" s="3"/>
      <c r="N55" s="3"/>
      <c r="O55" s="3"/>
      <c r="P55" s="3"/>
      <c r="Q55" s="3"/>
      <c r="R55" s="3"/>
      <c r="S55" s="3"/>
      <c r="T55" s="3"/>
      <c r="U55" s="3"/>
      <c r="V55" s="3"/>
      <c r="W55" s="3"/>
      <c r="X55" s="251" t="s">
        <v>131</v>
      </c>
      <c r="Y55" s="251">
        <f ca="1">N39</f>
        <v>0.46733152418516311</v>
      </c>
      <c r="Z55" s="3"/>
      <c r="AA55" s="3"/>
      <c r="AB55" s="253" t="s">
        <v>131</v>
      </c>
      <c r="AC55" s="18">
        <f ca="1">N39</f>
        <v>0.46733152418516311</v>
      </c>
      <c r="AD55" s="17"/>
      <c r="AE55" s="19">
        <f t="shared" ca="1" si="6"/>
        <v>0.46733152418516311</v>
      </c>
      <c r="AF55" s="254"/>
      <c r="AG55" s="13"/>
      <c r="AH55" s="3"/>
      <c r="AI55" s="3"/>
      <c r="AJ55" s="5"/>
      <c r="AK55" s="5"/>
      <c r="AL55" s="3"/>
      <c r="AM55" s="3"/>
      <c r="AN55" s="106"/>
      <c r="AO55" s="106"/>
      <c r="AP55" s="106"/>
      <c r="AQ55" s="106"/>
      <c r="AR55" s="106"/>
      <c r="AS55" s="106"/>
      <c r="AT55" s="106"/>
      <c r="AU55" s="26"/>
      <c r="AV55" s="106"/>
      <c r="AW55" s="26"/>
      <c r="AX55" s="106"/>
      <c r="AY55" s="249">
        <v>44429</v>
      </c>
      <c r="AZ55" s="8">
        <v>2.64E-2</v>
      </c>
      <c r="BA55" s="8">
        <v>2.9759868646097143E-2</v>
      </c>
      <c r="BE55" s="5"/>
      <c r="BF55" s="5"/>
      <c r="BG55" s="5"/>
      <c r="BH55" s="5"/>
      <c r="BI55" s="5"/>
      <c r="BJ55" s="5"/>
      <c r="BK55" s="5"/>
      <c r="BL55" s="5"/>
      <c r="BM55" s="5"/>
      <c r="BN55" s="5"/>
      <c r="BO55" s="5"/>
      <c r="BP55" s="5"/>
      <c r="BQ55" s="5"/>
      <c r="BR55" s="5"/>
      <c r="BS55" s="5"/>
      <c r="BT55" s="5"/>
      <c r="BU55" s="5"/>
      <c r="BV55" s="5"/>
      <c r="BW55" s="5"/>
      <c r="BX55" s="5"/>
      <c r="BY55" s="5"/>
      <c r="BZ55" s="5"/>
      <c r="CA55" s="5"/>
    </row>
    <row r="56" spans="1:79" ht="15.75" customHeight="1">
      <c r="A56" s="4"/>
      <c r="B56" s="233"/>
      <c r="C56" s="233"/>
      <c r="D56" s="233"/>
      <c r="E56" s="233"/>
      <c r="F56" s="233"/>
      <c r="G56" s="233"/>
      <c r="H56" s="233"/>
      <c r="I56" s="218"/>
      <c r="J56" s="3"/>
      <c r="K56" s="109"/>
      <c r="L56" s="3"/>
      <c r="M56" s="3"/>
      <c r="N56" s="3"/>
      <c r="O56" s="3"/>
      <c r="P56" s="3"/>
      <c r="Q56" s="3"/>
      <c r="R56" s="3"/>
      <c r="S56" s="3"/>
      <c r="T56" s="3"/>
      <c r="U56" s="3"/>
      <c r="V56" s="3"/>
      <c r="W56" s="3"/>
      <c r="X56" s="251"/>
      <c r="Y56" s="251">
        <f ca="1">SUM(Y51:Y55)</f>
        <v>1</v>
      </c>
      <c r="Z56" s="3"/>
      <c r="AA56" s="3"/>
      <c r="AB56" s="27"/>
      <c r="AC56" s="241">
        <f ca="1">SUM(AC44:AC55)</f>
        <v>1.0003205662004526</v>
      </c>
      <c r="AD56" s="255">
        <f t="shared" ref="AC56:AD56" si="7">SUM(AD44:AD55)</f>
        <v>1.0000000000000002</v>
      </c>
      <c r="AE56" s="13"/>
      <c r="AF56" s="3"/>
      <c r="AG56" s="13"/>
      <c r="AH56" s="3"/>
      <c r="AI56" s="3"/>
      <c r="AJ56" s="5"/>
      <c r="AK56" s="5"/>
      <c r="AL56" s="3"/>
      <c r="AM56" s="3"/>
      <c r="AN56" s="106"/>
      <c r="AO56" s="106"/>
      <c r="AP56" s="106"/>
      <c r="AQ56" s="106"/>
      <c r="AR56" s="106"/>
      <c r="AS56" s="106"/>
      <c r="AT56" s="106"/>
      <c r="AU56" s="26"/>
      <c r="AV56" s="106"/>
      <c r="AW56" s="26"/>
      <c r="AX56" s="106"/>
      <c r="AY56" s="249">
        <v>44460</v>
      </c>
      <c r="AZ56" s="8">
        <v>-1.0999999999999999E-2</v>
      </c>
      <c r="BA56" s="8">
        <v>-4.1000000000000002E-2</v>
      </c>
      <c r="BE56" s="5"/>
      <c r="BF56" s="5"/>
      <c r="BG56" s="5"/>
      <c r="BH56" s="5"/>
      <c r="BI56" s="5"/>
      <c r="BJ56" s="5"/>
      <c r="BK56" s="5"/>
      <c r="BL56" s="5"/>
      <c r="BM56" s="5"/>
      <c r="BN56" s="5"/>
      <c r="BO56" s="5"/>
      <c r="BP56" s="5"/>
      <c r="BQ56" s="5"/>
      <c r="BR56" s="5"/>
      <c r="BS56" s="5"/>
      <c r="BT56" s="5"/>
      <c r="BU56" s="5"/>
      <c r="BV56" s="5"/>
      <c r="BW56" s="5"/>
      <c r="BX56" s="5"/>
      <c r="BY56" s="5"/>
      <c r="BZ56" s="5"/>
      <c r="CA56" s="5"/>
    </row>
    <row r="57" spans="1:79" ht="15.75" customHeight="1">
      <c r="A57" s="4"/>
      <c r="B57" s="233"/>
      <c r="C57" s="233"/>
      <c r="D57" s="233"/>
      <c r="E57" s="233"/>
      <c r="F57" s="233"/>
      <c r="G57" s="233"/>
      <c r="H57" s="233"/>
      <c r="I57" s="218"/>
      <c r="J57" s="3"/>
      <c r="K57" s="109"/>
      <c r="L57" s="3"/>
      <c r="M57" s="3"/>
      <c r="N57" s="3"/>
      <c r="O57" s="3"/>
      <c r="P57" s="3"/>
      <c r="Q57" s="3"/>
      <c r="R57" s="3"/>
      <c r="S57" s="3"/>
      <c r="T57" s="3"/>
      <c r="U57" s="3"/>
      <c r="V57" s="3"/>
      <c r="W57" s="3"/>
      <c r="X57" s="3"/>
      <c r="Y57" s="3"/>
      <c r="Z57" s="3"/>
      <c r="AA57" s="3"/>
      <c r="AB57" s="3"/>
      <c r="AC57" s="3"/>
      <c r="AD57" s="3"/>
      <c r="AE57" s="3"/>
      <c r="AF57" s="3"/>
      <c r="AG57" s="3"/>
      <c r="AH57" s="3"/>
      <c r="AI57" s="3"/>
      <c r="AJ57" s="5"/>
      <c r="AK57" s="5"/>
      <c r="AL57" s="3"/>
      <c r="AM57" s="3"/>
      <c r="AN57" s="106"/>
      <c r="AO57" s="106"/>
      <c r="AP57" s="106"/>
      <c r="AQ57" s="106"/>
      <c r="AR57" s="106"/>
      <c r="AS57" s="106"/>
      <c r="AT57" s="106"/>
      <c r="AU57" s="26"/>
      <c r="AV57" s="106"/>
      <c r="AW57" s="26"/>
      <c r="AX57" s="106"/>
      <c r="AY57" s="249">
        <v>44490</v>
      </c>
      <c r="AZ57" s="8">
        <f>7.8%</f>
        <v>7.8E-2</v>
      </c>
      <c r="BA57" s="8">
        <v>6.9000000000000006E-2</v>
      </c>
      <c r="BE57" s="5"/>
      <c r="BF57" s="5"/>
      <c r="BG57" s="5"/>
      <c r="BH57" s="5"/>
      <c r="BI57" s="5"/>
      <c r="BJ57" s="5"/>
      <c r="BK57" s="5"/>
      <c r="BL57" s="5"/>
      <c r="BM57" s="5"/>
      <c r="BN57" s="5"/>
      <c r="BO57" s="5"/>
      <c r="BP57" s="5"/>
      <c r="BQ57" s="5"/>
      <c r="BR57" s="5"/>
      <c r="BS57" s="5"/>
      <c r="BT57" s="5"/>
      <c r="BU57" s="5"/>
      <c r="BV57" s="5"/>
      <c r="BW57" s="5"/>
      <c r="BX57" s="5"/>
      <c r="BY57" s="5"/>
      <c r="BZ57" s="5"/>
      <c r="CA57" s="5"/>
    </row>
    <row r="58" spans="1:79" ht="15.75" customHeight="1">
      <c r="A58" s="4"/>
      <c r="B58" s="256" t="s">
        <v>154</v>
      </c>
      <c r="C58" s="257"/>
      <c r="D58" s="257"/>
      <c r="E58" s="257"/>
      <c r="F58" s="257"/>
      <c r="G58" s="257"/>
      <c r="H58" s="257"/>
      <c r="I58" s="258"/>
      <c r="J58" s="231"/>
      <c r="K58" s="259"/>
      <c r="L58" s="231"/>
      <c r="M58" s="231"/>
      <c r="N58" s="231"/>
      <c r="O58" s="231"/>
      <c r="P58" s="231"/>
      <c r="Q58" s="231"/>
      <c r="R58" s="231"/>
      <c r="S58" s="231"/>
      <c r="T58" s="231"/>
      <c r="U58" s="231"/>
      <c r="V58" s="231"/>
      <c r="W58" s="231"/>
      <c r="X58" s="231"/>
      <c r="Y58" s="3"/>
      <c r="Z58" s="3"/>
      <c r="AA58" s="3"/>
      <c r="AB58" s="3"/>
      <c r="AC58" s="3"/>
      <c r="AD58" s="3"/>
      <c r="AE58" s="3"/>
      <c r="AF58" s="3"/>
      <c r="AG58" s="3"/>
      <c r="AH58" s="3"/>
      <c r="AI58" s="3"/>
      <c r="AJ58" s="5"/>
      <c r="AK58" s="5"/>
      <c r="AL58" s="3"/>
      <c r="AM58" s="3"/>
      <c r="AN58" s="106"/>
      <c r="AO58" s="106"/>
      <c r="AP58" s="106"/>
      <c r="AQ58" s="106"/>
      <c r="AR58" s="106"/>
      <c r="AS58" s="106"/>
      <c r="AT58" s="106"/>
      <c r="AU58" s="26"/>
      <c r="AV58" s="106"/>
      <c r="AW58" s="26"/>
      <c r="AX58" s="106"/>
      <c r="AY58" s="249">
        <v>44521</v>
      </c>
      <c r="AZ58" s="8">
        <v>-2E-3</v>
      </c>
      <c r="BA58" s="8">
        <v>-8.0000000000000002E-3</v>
      </c>
      <c r="BE58" s="5"/>
      <c r="BF58" s="5"/>
      <c r="BG58" s="5"/>
      <c r="BH58" s="5"/>
      <c r="BI58" s="5"/>
      <c r="BJ58" s="5"/>
      <c r="BK58" s="5"/>
      <c r="BL58" s="5"/>
      <c r="BM58" s="5"/>
      <c r="BN58" s="5"/>
      <c r="BO58" s="5"/>
      <c r="BP58" s="5"/>
      <c r="BQ58" s="5"/>
      <c r="BR58" s="5"/>
      <c r="BS58" s="5"/>
      <c r="BT58" s="5"/>
      <c r="BU58" s="5"/>
      <c r="BV58" s="5"/>
      <c r="BW58" s="5"/>
      <c r="BX58" s="5"/>
      <c r="BY58" s="5"/>
      <c r="BZ58" s="5"/>
      <c r="CA58" s="5"/>
    </row>
    <row r="59" spans="1:79" ht="15.75" customHeight="1">
      <c r="A59" s="64"/>
      <c r="B59" s="64"/>
      <c r="C59" s="479" t="s">
        <v>25</v>
      </c>
      <c r="D59" s="480"/>
      <c r="E59" s="480"/>
      <c r="F59" s="480"/>
      <c r="G59" s="480"/>
      <c r="H59" s="480"/>
      <c r="I59" s="481"/>
      <c r="J59" s="486" t="s">
        <v>155</v>
      </c>
      <c r="K59" s="487"/>
      <c r="L59" s="487"/>
      <c r="M59" s="487"/>
      <c r="N59" s="487"/>
      <c r="O59" s="487"/>
      <c r="P59" s="487"/>
      <c r="Q59" s="487"/>
      <c r="R59" s="487"/>
      <c r="S59" s="487"/>
      <c r="T59" s="487"/>
      <c r="U59" s="487"/>
      <c r="V59" s="487"/>
      <c r="W59" s="487"/>
      <c r="X59" s="488"/>
      <c r="Y59" s="3"/>
      <c r="Z59" s="3"/>
      <c r="AA59" s="3"/>
      <c r="AB59" s="3"/>
      <c r="AC59" s="3"/>
      <c r="AD59" s="3"/>
      <c r="AE59" s="3"/>
      <c r="AF59" s="3"/>
      <c r="AG59" s="3"/>
      <c r="AH59" s="5"/>
      <c r="AI59" s="5"/>
      <c r="AJ59" s="5"/>
      <c r="AK59" s="5"/>
      <c r="AL59" s="3"/>
      <c r="AM59" s="3"/>
      <c r="AN59" s="106"/>
      <c r="AO59" s="106"/>
      <c r="AP59" s="106"/>
      <c r="AQ59" s="106"/>
      <c r="AR59" s="106"/>
      <c r="AS59" s="106"/>
      <c r="AT59" s="106"/>
      <c r="AU59" s="26"/>
      <c r="AV59" s="106"/>
      <c r="AW59" s="26"/>
      <c r="AX59" s="106"/>
      <c r="AY59" s="249">
        <v>44551</v>
      </c>
      <c r="AZ59" s="8">
        <v>4.9000000000000002E-2</v>
      </c>
      <c r="BA59" s="8">
        <v>4.2999999999999997E-2</v>
      </c>
      <c r="BE59" s="5"/>
      <c r="BF59" s="5"/>
      <c r="BG59" s="5"/>
      <c r="BH59" s="5"/>
      <c r="BI59" s="5"/>
      <c r="BJ59" s="5"/>
      <c r="BK59" s="5"/>
      <c r="BL59" s="5"/>
      <c r="BM59" s="5"/>
      <c r="BN59" s="5"/>
      <c r="BO59" s="5"/>
      <c r="BP59" s="5"/>
      <c r="BQ59" s="5"/>
      <c r="BR59" s="5"/>
      <c r="BS59" s="5"/>
      <c r="BT59" s="5"/>
      <c r="BU59" s="5"/>
      <c r="BV59" s="5"/>
      <c r="BW59" s="5"/>
      <c r="BX59" s="5"/>
      <c r="BY59" s="5"/>
      <c r="BZ59" s="5"/>
      <c r="CA59" s="5"/>
    </row>
    <row r="60" spans="1:79" ht="48">
      <c r="A60" s="36"/>
      <c r="B60" s="37" t="s">
        <v>0</v>
      </c>
      <c r="C60" s="38" t="s">
        <v>1</v>
      </c>
      <c r="D60" s="37" t="s">
        <v>30</v>
      </c>
      <c r="E60" s="37" t="s">
        <v>2</v>
      </c>
      <c r="F60" s="37" t="s">
        <v>31</v>
      </c>
      <c r="G60" s="37" t="s">
        <v>32</v>
      </c>
      <c r="H60" s="260" t="s">
        <v>156</v>
      </c>
      <c r="I60" s="37" t="s">
        <v>34</v>
      </c>
      <c r="J60" s="261" t="s">
        <v>157</v>
      </c>
      <c r="K60" s="39" t="s">
        <v>35</v>
      </c>
      <c r="L60" s="261" t="s">
        <v>36</v>
      </c>
      <c r="M60" s="39" t="s">
        <v>37</v>
      </c>
      <c r="N60" s="262" t="s">
        <v>158</v>
      </c>
      <c r="O60" s="39" t="s">
        <v>39</v>
      </c>
      <c r="P60" s="39" t="s">
        <v>40</v>
      </c>
      <c r="Q60" s="39" t="s">
        <v>41</v>
      </c>
      <c r="R60" s="489" t="s">
        <v>159</v>
      </c>
      <c r="S60" s="490"/>
      <c r="T60" s="490"/>
      <c r="U60" s="490"/>
      <c r="V60" s="490"/>
      <c r="W60" s="490"/>
      <c r="X60" s="491"/>
      <c r="Y60" s="3"/>
      <c r="Z60" s="3"/>
      <c r="AA60" s="3"/>
      <c r="AB60" s="3"/>
      <c r="AC60" s="3"/>
      <c r="AD60" s="3"/>
      <c r="AE60" s="3"/>
      <c r="AF60" s="3"/>
      <c r="AG60" s="3"/>
      <c r="AH60" s="44"/>
      <c r="AI60" s="44"/>
      <c r="AJ60" s="44"/>
      <c r="AK60" s="44"/>
      <c r="AL60" s="44"/>
      <c r="AM60" s="44"/>
      <c r="AN60" s="44"/>
      <c r="AO60" s="44"/>
      <c r="AP60" s="44"/>
      <c r="AQ60" s="44"/>
      <c r="AR60" s="44"/>
      <c r="AS60" s="44"/>
      <c r="AT60" s="44"/>
      <c r="AU60" s="44"/>
      <c r="AV60" s="44"/>
      <c r="AW60" s="44"/>
      <c r="AX60" s="44"/>
      <c r="AY60" s="249">
        <v>44583</v>
      </c>
      <c r="AZ60" s="8">
        <v>-2.0706362890920212E-2</v>
      </c>
      <c r="BA60" s="8">
        <v>-5.2741283476503198E-2</v>
      </c>
      <c r="BD60" s="36"/>
      <c r="BE60" s="36"/>
      <c r="BF60" s="36"/>
      <c r="BG60" s="36"/>
      <c r="BH60" s="36"/>
      <c r="BI60" s="36"/>
      <c r="BJ60" s="36"/>
      <c r="BK60" s="36"/>
      <c r="BL60" s="36"/>
      <c r="BM60" s="36"/>
      <c r="BN60" s="36"/>
      <c r="BO60" s="36"/>
      <c r="BP60" s="36"/>
      <c r="BQ60" s="36"/>
      <c r="BR60" s="36"/>
    </row>
    <row r="61" spans="1:79" ht="15.75" customHeight="1">
      <c r="A61" s="3"/>
      <c r="B61" s="112" t="s">
        <v>88</v>
      </c>
      <c r="C61" s="113" t="str">
        <f ca="1">IFERROR(__xludf.DUMMYFUNCTION("GoogleFinance(B61,""name"")"),"T-Mobile Us Inc")</f>
        <v>T-Mobile Us Inc</v>
      </c>
      <c r="D61" s="114">
        <f ca="1">IFERROR(__xludf.DUMMYFUNCTION("GoogleFinance(B61,""marketcap"")/1000000"),190385.339816)</f>
        <v>190385.33981599999</v>
      </c>
      <c r="E61" s="115" t="s">
        <v>12</v>
      </c>
      <c r="F61" s="115" t="s">
        <v>89</v>
      </c>
      <c r="G61" s="116">
        <v>45191</v>
      </c>
      <c r="H61" s="49">
        <v>45294</v>
      </c>
      <c r="I61" s="118">
        <f t="shared" ref="I61:I68" ca="1" si="8">N61/$M$40</f>
        <v>2.1915335490244974E-2</v>
      </c>
      <c r="J61" s="119">
        <v>164.3</v>
      </c>
      <c r="K61" s="120">
        <v>139.5</v>
      </c>
      <c r="L61" s="121">
        <v>15</v>
      </c>
      <c r="M61" s="122">
        <f t="shared" ref="M61:M68" si="9">L61*K61</f>
        <v>2092.5</v>
      </c>
      <c r="N61" s="123">
        <f t="shared" ref="N61:N68" si="10">J61*L61</f>
        <v>2464.5</v>
      </c>
      <c r="O61" s="123">
        <f t="shared" ref="O61:O68" si="11">N61-M61</f>
        <v>372</v>
      </c>
      <c r="P61" s="117">
        <f t="shared" ref="P61:P68" si="12">J61/K61-1</f>
        <v>0.17777777777777781</v>
      </c>
      <c r="Q61" s="124">
        <f t="shared" ref="Q61:Q68" si="13">H61-G61</f>
        <v>103</v>
      </c>
      <c r="R61" s="5" t="s">
        <v>160</v>
      </c>
      <c r="S61" s="3"/>
      <c r="T61" s="3"/>
      <c r="U61" s="3"/>
      <c r="V61" s="3"/>
      <c r="W61" s="3"/>
      <c r="X61" s="3"/>
      <c r="Y61" s="3"/>
      <c r="Z61" s="3"/>
      <c r="AA61" s="3"/>
      <c r="AB61" s="3"/>
      <c r="AC61" s="3"/>
      <c r="AD61" s="3"/>
      <c r="AE61" s="3"/>
      <c r="AF61" s="3"/>
      <c r="AG61" s="3"/>
      <c r="AH61" s="5"/>
      <c r="AI61" s="5"/>
      <c r="AJ61" s="5"/>
      <c r="AK61" s="5"/>
      <c r="AL61" s="3"/>
      <c r="AM61" s="3"/>
      <c r="AN61" s="106"/>
      <c r="AO61" s="106"/>
      <c r="AP61" s="106"/>
      <c r="AQ61" s="106"/>
      <c r="AR61" s="106"/>
      <c r="AS61" s="106"/>
      <c r="AT61" s="106"/>
      <c r="AU61" s="26"/>
      <c r="AV61" s="106"/>
      <c r="AW61" s="26"/>
      <c r="AX61" s="106"/>
      <c r="AY61" s="249">
        <v>44614</v>
      </c>
      <c r="AZ61" s="8">
        <v>-2.3E-2</v>
      </c>
      <c r="BA61" s="8">
        <v>-3.1E-2</v>
      </c>
      <c r="BE61" s="5"/>
      <c r="BF61" s="5"/>
      <c r="BG61" s="5"/>
      <c r="BH61" s="5"/>
      <c r="BI61" s="5"/>
      <c r="BJ61" s="5"/>
      <c r="BK61" s="5"/>
      <c r="BL61" s="5"/>
      <c r="BM61" s="5"/>
      <c r="BN61" s="5"/>
      <c r="BO61" s="5"/>
      <c r="BP61" s="5"/>
      <c r="BQ61" s="5"/>
      <c r="BR61" s="5"/>
      <c r="BS61" s="5"/>
      <c r="BT61" s="5"/>
      <c r="BU61" s="5"/>
      <c r="BV61" s="5"/>
      <c r="BW61" s="5"/>
      <c r="BX61" s="5"/>
      <c r="BY61" s="5"/>
      <c r="BZ61" s="5"/>
      <c r="CA61" s="5"/>
    </row>
    <row r="62" spans="1:79" ht="15.75" customHeight="1">
      <c r="A62" s="3"/>
      <c r="B62" s="112" t="s">
        <v>104</v>
      </c>
      <c r="C62" s="113" t="str">
        <f ca="1">IFERROR(__xludf.DUMMYFUNCTION("GoogleFinance(B62,""name"")"),"AbbVie Inc")</f>
        <v>AbbVie Inc</v>
      </c>
      <c r="D62" s="114">
        <f ca="1">IFERROR(__xludf.DUMMYFUNCTION("GoogleFinance(B62,""marketcap"")/1000000"),313365.171828)</f>
        <v>313365.17182799999</v>
      </c>
      <c r="E62" s="115" t="s">
        <v>15</v>
      </c>
      <c r="F62" s="115" t="s">
        <v>105</v>
      </c>
      <c r="G62" s="116">
        <v>45184</v>
      </c>
      <c r="H62" s="49">
        <v>45300</v>
      </c>
      <c r="I62" s="118">
        <f t="shared" ca="1" si="8"/>
        <v>2.3148712253278844E-2</v>
      </c>
      <c r="J62" s="119">
        <v>162.69999999999999</v>
      </c>
      <c r="K62" s="120">
        <v>153</v>
      </c>
      <c r="L62" s="121">
        <v>16</v>
      </c>
      <c r="M62" s="122">
        <f t="shared" si="9"/>
        <v>2448</v>
      </c>
      <c r="N62" s="123">
        <f t="shared" si="10"/>
        <v>2603.1999999999998</v>
      </c>
      <c r="O62" s="123">
        <f t="shared" si="11"/>
        <v>155.19999999999982</v>
      </c>
      <c r="P62" s="117">
        <f t="shared" si="12"/>
        <v>6.3398692810457513E-2</v>
      </c>
      <c r="Q62" s="124">
        <f t="shared" si="13"/>
        <v>116</v>
      </c>
      <c r="R62" s="5" t="s">
        <v>160</v>
      </c>
      <c r="S62" s="3"/>
      <c r="T62" s="3"/>
      <c r="U62" s="3"/>
      <c r="V62" s="3"/>
      <c r="W62" s="3"/>
      <c r="X62" s="3"/>
      <c r="Y62" s="3"/>
      <c r="Z62" s="3"/>
      <c r="AA62" s="3"/>
      <c r="AB62" s="3"/>
      <c r="AC62" s="3"/>
      <c r="AD62" s="3"/>
      <c r="AE62" s="3"/>
      <c r="AF62" s="3"/>
      <c r="AG62" s="3"/>
      <c r="AJ62" s="5"/>
      <c r="AK62" s="5"/>
      <c r="AL62" s="3"/>
      <c r="AM62" s="3"/>
      <c r="AN62" s="106"/>
      <c r="AO62" s="106"/>
      <c r="AP62" s="106"/>
      <c r="AQ62" s="106"/>
      <c r="AR62" s="106"/>
      <c r="AS62" s="106"/>
      <c r="AT62" s="106"/>
      <c r="AU62" s="26"/>
      <c r="AV62" s="106"/>
      <c r="AW62" s="26"/>
      <c r="AX62" s="106"/>
      <c r="AY62" s="264">
        <v>45007</v>
      </c>
      <c r="AZ62" s="8">
        <v>0.03</v>
      </c>
      <c r="BA62" s="8">
        <v>-3.1E-2</v>
      </c>
      <c r="BD62" s="5"/>
      <c r="BE62" s="5"/>
      <c r="BF62" s="5"/>
      <c r="BG62" s="5"/>
      <c r="BH62" s="5"/>
      <c r="BI62" s="5"/>
      <c r="BJ62" s="5"/>
      <c r="BK62" s="5"/>
      <c r="BL62" s="5"/>
      <c r="BM62" s="5"/>
      <c r="BN62" s="5"/>
      <c r="BO62" s="5"/>
      <c r="BP62" s="5"/>
      <c r="BQ62" s="5"/>
      <c r="BR62" s="5"/>
      <c r="BS62" s="5"/>
      <c r="BT62" s="5"/>
      <c r="BU62" s="5"/>
      <c r="BV62" s="5"/>
      <c r="BW62" s="5"/>
      <c r="BX62" s="5"/>
      <c r="BY62" s="5"/>
      <c r="BZ62" s="5"/>
      <c r="CA62" s="5"/>
    </row>
    <row r="63" spans="1:79" ht="15.75" customHeight="1">
      <c r="A63" s="3"/>
      <c r="B63" s="112" t="s">
        <v>5</v>
      </c>
      <c r="C63" s="113" t="str">
        <f ca="1">IFERROR(__xludf.DUMMYFUNCTION("GoogleFinance(B63,""name"")"),"SPDR S&amp;P 500 ETF Trust")</f>
        <v>SPDR S&amp;P 500 ETF Trust</v>
      </c>
      <c r="D63" s="114">
        <f ca="1">IFERROR(__xludf.DUMMYFUNCTION("GoogleFinance(B63,""marketcap"")/1000000"),450858.184373)</f>
        <v>450858.184373</v>
      </c>
      <c r="E63" s="115" t="s">
        <v>60</v>
      </c>
      <c r="F63" s="115"/>
      <c r="G63" s="116">
        <v>45295</v>
      </c>
      <c r="H63" s="49">
        <v>45302</v>
      </c>
      <c r="I63" s="118">
        <f t="shared" ca="1" si="8"/>
        <v>0.19055537602777828</v>
      </c>
      <c r="J63" s="119">
        <v>476.2</v>
      </c>
      <c r="K63" s="120">
        <v>467.7</v>
      </c>
      <c r="L63" s="121">
        <v>45</v>
      </c>
      <c r="M63" s="122">
        <f t="shared" si="9"/>
        <v>21046.5</v>
      </c>
      <c r="N63" s="123">
        <f t="shared" si="10"/>
        <v>21429</v>
      </c>
      <c r="O63" s="123">
        <f t="shared" si="11"/>
        <v>382.5</v>
      </c>
      <c r="P63" s="117">
        <f t="shared" si="12"/>
        <v>1.8174043190079203E-2</v>
      </c>
      <c r="Q63" s="124">
        <f t="shared" si="13"/>
        <v>7</v>
      </c>
      <c r="R63" s="5" t="s">
        <v>161</v>
      </c>
      <c r="S63" s="3"/>
      <c r="T63" s="3"/>
      <c r="U63" s="3"/>
      <c r="V63" s="3"/>
      <c r="W63" s="3"/>
      <c r="X63" s="3"/>
      <c r="Y63" s="3"/>
      <c r="Z63" s="3"/>
      <c r="AA63" s="3"/>
      <c r="AB63" s="3"/>
      <c r="AC63" s="3"/>
      <c r="AD63" s="3"/>
      <c r="AE63" s="3"/>
      <c r="AF63" s="3"/>
      <c r="AG63" s="3"/>
      <c r="AJ63" s="5"/>
      <c r="AK63" s="5"/>
      <c r="AL63" s="3"/>
      <c r="AM63" s="3"/>
      <c r="AN63" s="106"/>
      <c r="AO63" s="106"/>
      <c r="AP63" s="106"/>
      <c r="AQ63" s="106"/>
      <c r="AR63" s="106"/>
      <c r="AS63" s="106"/>
      <c r="AT63" s="106"/>
      <c r="AU63" s="26"/>
      <c r="AV63" s="106"/>
      <c r="AW63" s="26"/>
      <c r="AX63" s="106"/>
      <c r="AY63" s="265" t="s">
        <v>162</v>
      </c>
      <c r="AZ63" s="8">
        <v>-9.0999999999999998E-2</v>
      </c>
      <c r="BA63" s="8">
        <v>-3.1E-2</v>
      </c>
      <c r="BD63" s="5"/>
      <c r="BE63" s="5"/>
      <c r="BF63" s="5"/>
      <c r="BG63" s="5"/>
      <c r="BH63" s="5"/>
      <c r="BI63" s="5"/>
      <c r="BJ63" s="5"/>
      <c r="BK63" s="5"/>
      <c r="BL63" s="5"/>
      <c r="BM63" s="5"/>
      <c r="BN63" s="5"/>
      <c r="BO63" s="5"/>
      <c r="BP63" s="5"/>
      <c r="BQ63" s="5"/>
      <c r="BR63" s="5"/>
      <c r="BS63" s="5"/>
      <c r="BT63" s="5"/>
      <c r="BU63" s="5"/>
      <c r="BV63" s="5"/>
      <c r="BW63" s="5"/>
      <c r="BX63" s="5"/>
      <c r="BY63" s="5"/>
      <c r="BZ63" s="5"/>
      <c r="CA63" s="5"/>
    </row>
    <row r="64" spans="1:79" ht="15.75" customHeight="1">
      <c r="A64" s="3"/>
      <c r="B64" s="7" t="s">
        <v>5</v>
      </c>
      <c r="C64" s="72" t="str">
        <f ca="1">IFERROR(__xludf.DUMMYFUNCTION("GoogleFinance(B64,""name"")"),"SPDR S&amp;P 500 ETF Trust")</f>
        <v>SPDR S&amp;P 500 ETF Trust</v>
      </c>
      <c r="D64" s="73">
        <f ca="1">IFERROR(__xludf.DUMMYFUNCTION("GoogleFinance(B64,""marketcap"")/1000000"),450858.184373)</f>
        <v>450858.184373</v>
      </c>
      <c r="E64" s="74" t="s">
        <v>60</v>
      </c>
      <c r="F64" s="74"/>
      <c r="G64" s="75">
        <v>45308</v>
      </c>
      <c r="H64" s="49">
        <v>45327</v>
      </c>
      <c r="I64" s="76">
        <f t="shared" ca="1" si="8"/>
        <v>0.17583844349121694</v>
      </c>
      <c r="J64" s="77">
        <v>494.35</v>
      </c>
      <c r="K64" s="78">
        <v>473.25</v>
      </c>
      <c r="L64" s="79">
        <v>40</v>
      </c>
      <c r="M64" s="80">
        <f t="shared" si="9"/>
        <v>18930</v>
      </c>
      <c r="N64" s="81">
        <f t="shared" si="10"/>
        <v>19774</v>
      </c>
      <c r="O64" s="81">
        <f t="shared" si="11"/>
        <v>844</v>
      </c>
      <c r="P64" s="55">
        <f t="shared" si="12"/>
        <v>4.4585314315900737E-2</v>
      </c>
      <c r="Q64" s="124">
        <f t="shared" si="13"/>
        <v>19</v>
      </c>
      <c r="R64" s="5" t="s">
        <v>161</v>
      </c>
      <c r="S64" s="3"/>
      <c r="T64" s="3"/>
      <c r="U64" s="3"/>
      <c r="V64" s="3"/>
      <c r="W64" s="3"/>
      <c r="X64" s="3"/>
      <c r="Y64" s="3"/>
      <c r="Z64" s="3"/>
      <c r="AA64" s="3"/>
      <c r="AB64" s="3"/>
      <c r="AC64" s="3"/>
      <c r="AD64" s="3"/>
      <c r="AE64" s="3"/>
      <c r="AF64" s="3"/>
      <c r="AG64" s="3"/>
      <c r="AJ64" s="5"/>
      <c r="AK64" s="5"/>
      <c r="AL64" s="3"/>
      <c r="AM64" s="3"/>
      <c r="AN64" s="106"/>
      <c r="AO64" s="106"/>
      <c r="AP64" s="106"/>
      <c r="AQ64" s="106"/>
      <c r="AR64" s="106"/>
      <c r="AS64" s="106"/>
      <c r="AT64" s="106"/>
      <c r="AU64" s="26"/>
      <c r="AV64" s="106"/>
      <c r="AW64" s="26"/>
      <c r="AX64" s="106"/>
      <c r="AY64" s="266">
        <v>45068</v>
      </c>
      <c r="AZ64" s="8">
        <v>1.52E-2</v>
      </c>
      <c r="BA64" s="8">
        <v>-3.1E-2</v>
      </c>
      <c r="BD64" s="5"/>
      <c r="BE64" s="5"/>
      <c r="BF64" s="5"/>
      <c r="BG64" s="5"/>
      <c r="BH64" s="5"/>
      <c r="BI64" s="5"/>
      <c r="BJ64" s="5"/>
      <c r="BK64" s="5"/>
      <c r="BL64" s="5"/>
      <c r="BM64" s="5"/>
      <c r="BN64" s="5"/>
      <c r="BO64" s="5"/>
      <c r="BP64" s="5"/>
      <c r="BQ64" s="5"/>
      <c r="BR64" s="5"/>
      <c r="BS64" s="5"/>
      <c r="BT64" s="5"/>
      <c r="BU64" s="5"/>
      <c r="BV64" s="5"/>
      <c r="BW64" s="5"/>
      <c r="BX64" s="5"/>
      <c r="BY64" s="5"/>
      <c r="BZ64" s="5"/>
      <c r="CA64" s="5"/>
    </row>
    <row r="65" spans="1:79" ht="15.75" customHeight="1">
      <c r="A65" s="3"/>
      <c r="B65" s="159" t="s">
        <v>6</v>
      </c>
      <c r="C65" s="160" t="str">
        <f ca="1">IFERROR(__xludf.DUMMYFUNCTION("GoogleFinance(B65,""name"")"),"Invesco QQQ Trust Series 1")</f>
        <v>Invesco QQQ Trust Series 1</v>
      </c>
      <c r="D65" s="161">
        <f ca="1">IFERROR(__xludf.DUMMYFUNCTION("GoogleFinance(B65,""marketcap"")/1000000"),168159.073303)</f>
        <v>168159.07330300001</v>
      </c>
      <c r="E65" s="162" t="s">
        <v>7</v>
      </c>
      <c r="F65" s="163"/>
      <c r="G65" s="116">
        <v>45295</v>
      </c>
      <c r="H65" s="49">
        <v>45327</v>
      </c>
      <c r="I65" s="165">
        <f t="shared" ca="1" si="8"/>
        <v>0.15259725021172649</v>
      </c>
      <c r="J65" s="166">
        <v>429.01</v>
      </c>
      <c r="K65" s="167">
        <v>399.3</v>
      </c>
      <c r="L65" s="121">
        <v>40</v>
      </c>
      <c r="M65" s="168">
        <f t="shared" si="9"/>
        <v>15972</v>
      </c>
      <c r="N65" s="168">
        <f t="shared" si="10"/>
        <v>17160.400000000001</v>
      </c>
      <c r="O65" s="168">
        <f t="shared" si="11"/>
        <v>1188.4000000000015</v>
      </c>
      <c r="P65" s="164">
        <f t="shared" si="12"/>
        <v>7.4405209115952831E-2</v>
      </c>
      <c r="Q65" s="124">
        <f t="shared" si="13"/>
        <v>32</v>
      </c>
      <c r="R65" s="5" t="s">
        <v>161</v>
      </c>
      <c r="S65" s="3"/>
      <c r="T65" s="3"/>
      <c r="U65" s="3"/>
      <c r="V65" s="3"/>
      <c r="W65" s="3"/>
      <c r="X65" s="3"/>
      <c r="Y65" s="3"/>
      <c r="Z65" s="3"/>
      <c r="AA65" s="3"/>
      <c r="AB65" s="3"/>
      <c r="AC65" s="3"/>
      <c r="AD65" s="3"/>
      <c r="AE65" s="3"/>
      <c r="AF65" s="3"/>
      <c r="AG65" s="3"/>
      <c r="AJ65" s="5"/>
      <c r="AK65" s="5"/>
      <c r="AL65" s="3"/>
      <c r="AM65" s="3"/>
      <c r="AN65" s="106"/>
      <c r="AO65" s="106"/>
      <c r="AP65" s="106"/>
      <c r="AQ65" s="106"/>
      <c r="AR65" s="106"/>
      <c r="AS65" s="106"/>
      <c r="AT65" s="106"/>
      <c r="AU65" s="26"/>
      <c r="AV65" s="106"/>
      <c r="AW65" s="26"/>
      <c r="AX65" s="106"/>
      <c r="AY65" s="249">
        <v>44734</v>
      </c>
      <c r="AZ65" s="8">
        <v>-9.6000000000000002E-2</v>
      </c>
      <c r="BA65" s="8">
        <v>-8.4000000000000005E-2</v>
      </c>
      <c r="BD65" s="5"/>
      <c r="BE65" s="5"/>
      <c r="BF65" s="5"/>
      <c r="BG65" s="5"/>
      <c r="BH65" s="5"/>
      <c r="BI65" s="5"/>
      <c r="BJ65" s="5"/>
      <c r="BK65" s="5"/>
      <c r="BL65" s="5"/>
      <c r="BM65" s="5"/>
      <c r="BN65" s="5"/>
      <c r="BO65" s="5"/>
      <c r="BP65" s="5"/>
      <c r="BQ65" s="5"/>
      <c r="BR65" s="5"/>
      <c r="BS65" s="5"/>
      <c r="BT65" s="5"/>
      <c r="BU65" s="5"/>
      <c r="BV65" s="5"/>
      <c r="BW65" s="5"/>
      <c r="BX65" s="5"/>
      <c r="BY65" s="5"/>
      <c r="BZ65" s="5"/>
      <c r="CA65" s="5"/>
    </row>
    <row r="66" spans="1:79" ht="15.75" customHeight="1">
      <c r="A66" s="3"/>
      <c r="B66" s="7" t="s">
        <v>21</v>
      </c>
      <c r="C66" s="72" t="str">
        <f ca="1">IFERROR(__xludf.DUMMYFUNCTION("GoogleFinance(B66,""name"")"),"VanEck Gold Miners ETF")</f>
        <v>VanEck Gold Miners ETF</v>
      </c>
      <c r="D66" s="73" t="str">
        <f ca="1">IFERROR(__xludf.DUMMYFUNCTION("GoogleFinance(B66,""marketcap"")/1000000"),"#N/A")</f>
        <v>#N/A</v>
      </c>
      <c r="E66" s="74" t="s">
        <v>11</v>
      </c>
      <c r="F66" s="74" t="s">
        <v>24</v>
      </c>
      <c r="G66" s="75">
        <v>45064</v>
      </c>
      <c r="H66" s="49">
        <v>45335</v>
      </c>
      <c r="I66" s="76">
        <f t="shared" ca="1" si="8"/>
        <v>1.156012827645302E-2</v>
      </c>
      <c r="J66" s="77">
        <v>26</v>
      </c>
      <c r="K66" s="78">
        <v>31.43</v>
      </c>
      <c r="L66" s="79">
        <v>50</v>
      </c>
      <c r="M66" s="80">
        <f t="shared" si="9"/>
        <v>1571.5</v>
      </c>
      <c r="N66" s="81">
        <f t="shared" si="10"/>
        <v>1300</v>
      </c>
      <c r="O66" s="81">
        <f t="shared" si="11"/>
        <v>-271.5</v>
      </c>
      <c r="P66" s="55">
        <f t="shared" si="12"/>
        <v>-0.17276487432389431</v>
      </c>
      <c r="Q66" s="124">
        <f t="shared" si="13"/>
        <v>271</v>
      </c>
      <c r="R66" s="5" t="s">
        <v>42</v>
      </c>
      <c r="S66" s="3"/>
      <c r="T66" s="3"/>
      <c r="U66" s="3"/>
      <c r="V66" s="3"/>
      <c r="W66" s="3"/>
      <c r="X66" s="3"/>
      <c r="Y66" s="3"/>
      <c r="Z66" s="3"/>
      <c r="AA66" s="3"/>
      <c r="AB66" s="3"/>
      <c r="AC66" s="3"/>
      <c r="AD66" s="3"/>
      <c r="AE66" s="3"/>
      <c r="AF66" s="3"/>
      <c r="AG66" s="3"/>
      <c r="AJ66" s="5"/>
      <c r="AK66" s="5"/>
      <c r="AL66" s="3"/>
      <c r="AM66" s="3"/>
      <c r="AN66" s="106"/>
      <c r="AO66" s="106"/>
      <c r="AP66" s="106"/>
      <c r="AQ66" s="106"/>
      <c r="AR66" s="106"/>
      <c r="AS66" s="106"/>
      <c r="AT66" s="106"/>
      <c r="AU66" s="26"/>
      <c r="AV66" s="106"/>
      <c r="AW66" s="26"/>
      <c r="AX66" s="106"/>
      <c r="AY66" s="249">
        <v>44764</v>
      </c>
      <c r="AZ66" s="8">
        <v>5.2999999999999999E-2</v>
      </c>
      <c r="BA66" s="8">
        <v>9.1999999999999998E-2</v>
      </c>
      <c r="BD66" s="5"/>
      <c r="BE66" s="5"/>
      <c r="BF66" s="5"/>
      <c r="BG66" s="5"/>
      <c r="BH66" s="5"/>
      <c r="BI66" s="5"/>
      <c r="BJ66" s="5"/>
      <c r="BK66" s="5"/>
      <c r="BL66" s="5"/>
      <c r="BM66" s="5"/>
      <c r="BN66" s="5"/>
      <c r="BO66" s="5"/>
      <c r="BP66" s="5"/>
      <c r="BQ66" s="5"/>
      <c r="BR66" s="5"/>
      <c r="BS66" s="5"/>
      <c r="BT66" s="5"/>
      <c r="BU66" s="5"/>
      <c r="BV66" s="5"/>
      <c r="BW66" s="5"/>
      <c r="BX66" s="5"/>
      <c r="BY66" s="5"/>
      <c r="BZ66" s="5"/>
      <c r="CA66" s="5"/>
    </row>
    <row r="67" spans="1:79" ht="15.75" customHeight="1">
      <c r="A67" s="3"/>
      <c r="B67" s="112" t="s">
        <v>92</v>
      </c>
      <c r="C67" s="113" t="str">
        <f ca="1">IFERROR(__xludf.DUMMYFUNCTION("GoogleFinance(B67,""name"")"),"Walt Disney Co")</f>
        <v>Walt Disney Co</v>
      </c>
      <c r="D67" s="114">
        <f ca="1">IFERROR(__xludf.DUMMYFUNCTION("GoogleFinance(B67,""marketcap"")/1000000"),204708.435201)</f>
        <v>204708.43520099999</v>
      </c>
      <c r="E67" s="115" t="s">
        <v>12</v>
      </c>
      <c r="F67" s="115" t="s">
        <v>93</v>
      </c>
      <c r="G67" s="116">
        <v>45204</v>
      </c>
      <c r="H67" s="49">
        <v>45338</v>
      </c>
      <c r="I67" s="118">
        <f t="shared" ca="1" si="8"/>
        <v>2.9878485391447804E-2</v>
      </c>
      <c r="J67" s="119">
        <v>112</v>
      </c>
      <c r="K67" s="120">
        <v>86.66</v>
      </c>
      <c r="L67" s="121">
        <v>30</v>
      </c>
      <c r="M67" s="122">
        <f t="shared" si="9"/>
        <v>2599.7999999999997</v>
      </c>
      <c r="N67" s="123">
        <f t="shared" si="10"/>
        <v>3360</v>
      </c>
      <c r="O67" s="123">
        <f t="shared" si="11"/>
        <v>760.20000000000027</v>
      </c>
      <c r="P67" s="117">
        <f t="shared" si="12"/>
        <v>0.29240710823909533</v>
      </c>
      <c r="Q67" s="124">
        <f t="shared" si="13"/>
        <v>134</v>
      </c>
      <c r="R67" s="5" t="s">
        <v>161</v>
      </c>
      <c r="S67" s="3"/>
      <c r="T67" s="3"/>
      <c r="U67" s="3"/>
      <c r="V67" s="3"/>
      <c r="W67" s="3"/>
      <c r="X67" s="3"/>
      <c r="Y67" s="3"/>
      <c r="Z67" s="3"/>
      <c r="AA67" s="3"/>
      <c r="AB67" s="3"/>
      <c r="AC67" s="3"/>
      <c r="AD67" s="3"/>
      <c r="AE67" s="3"/>
      <c r="AF67" s="3"/>
      <c r="AG67" s="3"/>
      <c r="AH67" s="267"/>
      <c r="AI67" s="267"/>
      <c r="AJ67" s="267"/>
      <c r="AK67" s="267"/>
      <c r="AL67" s="3"/>
      <c r="AM67" s="3"/>
      <c r="AN67" s="106"/>
      <c r="AO67" s="106"/>
      <c r="AP67" s="106"/>
      <c r="AQ67" s="106"/>
      <c r="AR67" s="106"/>
      <c r="AS67" s="106"/>
      <c r="AT67" s="106"/>
      <c r="AU67" s="26"/>
      <c r="AV67" s="106"/>
      <c r="AW67" s="26"/>
      <c r="AX67" s="106"/>
      <c r="AY67" s="249">
        <v>44795</v>
      </c>
      <c r="AZ67" s="8">
        <v>-2.1000000000000001E-2</v>
      </c>
      <c r="BA67" s="8">
        <v>-4.1000000000000002E-2</v>
      </c>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row>
    <row r="68" spans="1:79" ht="15.75" customHeight="1">
      <c r="A68" s="3"/>
      <c r="B68" s="159" t="s">
        <v>6</v>
      </c>
      <c r="C68" s="160" t="str">
        <f ca="1">IFERROR(__xludf.DUMMYFUNCTION("GoogleFinance(B68,""name"")"),"Invesco QQQ Trust Series 1")</f>
        <v>Invesco QQQ Trust Series 1</v>
      </c>
      <c r="D68" s="161">
        <f ca="1">IFERROR(__xludf.DUMMYFUNCTION("GoogleFinance(B68,""marketcap"")/1000000"),168159.073303)</f>
        <v>168159.07330300001</v>
      </c>
      <c r="E68" s="162" t="s">
        <v>7</v>
      </c>
      <c r="F68" s="163"/>
      <c r="G68" s="116">
        <v>45295</v>
      </c>
      <c r="H68" s="49">
        <v>45338</v>
      </c>
      <c r="I68" s="165">
        <f t="shared" ca="1" si="8"/>
        <v>9.5860140630895041E-2</v>
      </c>
      <c r="J68" s="166">
        <v>431.2</v>
      </c>
      <c r="K68" s="167">
        <v>399.3</v>
      </c>
      <c r="L68" s="121">
        <v>25</v>
      </c>
      <c r="M68" s="168">
        <f t="shared" si="9"/>
        <v>9982.5</v>
      </c>
      <c r="N68" s="168">
        <f t="shared" si="10"/>
        <v>10780</v>
      </c>
      <c r="O68" s="168">
        <f t="shared" si="11"/>
        <v>797.5</v>
      </c>
      <c r="P68" s="164">
        <f t="shared" si="12"/>
        <v>7.9889807162534465E-2</v>
      </c>
      <c r="Q68" s="124">
        <f t="shared" si="13"/>
        <v>43</v>
      </c>
      <c r="R68" s="5" t="s">
        <v>161</v>
      </c>
      <c r="S68" s="3"/>
      <c r="T68" s="3"/>
      <c r="U68" s="3"/>
      <c r="V68" s="3"/>
      <c r="W68" s="3"/>
      <c r="X68" s="3"/>
      <c r="Y68" s="3"/>
      <c r="Z68" s="3"/>
      <c r="AA68" s="3"/>
      <c r="AB68" s="3"/>
      <c r="AC68" s="3"/>
      <c r="AD68" s="3"/>
      <c r="AE68" s="3"/>
      <c r="AF68" s="3"/>
      <c r="AG68" s="3"/>
      <c r="AL68" s="3"/>
      <c r="AM68" s="3"/>
      <c r="AN68" s="106"/>
      <c r="AO68" s="106"/>
      <c r="AP68" s="106"/>
      <c r="AQ68" s="106"/>
      <c r="AR68" s="106"/>
      <c r="AS68" s="106"/>
      <c r="AT68" s="106"/>
      <c r="AU68" s="26"/>
      <c r="AV68" s="106"/>
      <c r="AW68" s="26"/>
      <c r="AX68" s="106"/>
      <c r="AY68" s="249">
        <v>44826</v>
      </c>
      <c r="AZ68" s="8">
        <v>-2.5000000000000001E-2</v>
      </c>
      <c r="BA68" s="8">
        <v>-9.6000000000000002E-2</v>
      </c>
      <c r="BD68" s="5"/>
      <c r="BE68" s="5"/>
      <c r="BF68" s="5"/>
      <c r="BG68" s="5"/>
      <c r="BH68" s="5"/>
      <c r="BI68" s="5"/>
      <c r="BJ68" s="5"/>
      <c r="BK68" s="5"/>
      <c r="BL68" s="5"/>
      <c r="BM68" s="5"/>
      <c r="BN68" s="5"/>
      <c r="BO68" s="5"/>
      <c r="BP68" s="5"/>
      <c r="BQ68" s="5"/>
      <c r="BR68" s="5"/>
      <c r="BS68" s="5"/>
      <c r="BT68" s="5"/>
      <c r="BU68" s="5"/>
      <c r="BV68" s="5"/>
      <c r="BW68" s="5"/>
      <c r="BX68" s="5"/>
      <c r="BY68" s="5"/>
      <c r="BZ68" s="5"/>
      <c r="CA68" s="5"/>
    </row>
    <row r="69" spans="1:7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L69" s="3"/>
      <c r="AM69" s="3"/>
      <c r="AN69" s="106"/>
      <c r="AO69" s="106"/>
      <c r="AP69" s="106"/>
      <c r="AQ69" s="106"/>
      <c r="AR69" s="106"/>
      <c r="AS69" s="106"/>
      <c r="AT69" s="106"/>
      <c r="AU69" s="26"/>
      <c r="AV69" s="106"/>
      <c r="AW69" s="26"/>
      <c r="AX69" s="106"/>
      <c r="AY69" s="249">
        <v>44856</v>
      </c>
      <c r="AZ69" s="8">
        <v>4.8399999999999999E-2</v>
      </c>
      <c r="BA69" s="8">
        <v>8.1000000000000003E-2</v>
      </c>
      <c r="BD69" s="5"/>
      <c r="BE69" s="5"/>
      <c r="BF69" s="5"/>
      <c r="BG69" s="5"/>
      <c r="BH69" s="5"/>
      <c r="BI69" s="5"/>
      <c r="BJ69" s="5"/>
      <c r="BK69" s="5"/>
      <c r="BL69" s="5"/>
      <c r="BM69" s="5"/>
      <c r="BN69" s="5"/>
      <c r="BO69" s="5"/>
      <c r="BP69" s="5"/>
      <c r="BQ69" s="5"/>
      <c r="BR69" s="5"/>
      <c r="BS69" s="5"/>
      <c r="BT69" s="5"/>
      <c r="BU69" s="5"/>
      <c r="BV69" s="5"/>
      <c r="BW69" s="5"/>
      <c r="BX69" s="5"/>
      <c r="BY69" s="5"/>
      <c r="BZ69" s="5"/>
      <c r="CA69" s="5"/>
    </row>
    <row r="70" spans="1:79"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27"/>
      <c r="AI70" s="27"/>
      <c r="AJ70" s="27"/>
      <c r="AK70" s="27"/>
      <c r="AL70" s="3"/>
      <c r="AM70" s="3"/>
      <c r="AN70" s="106"/>
      <c r="AO70" s="106"/>
      <c r="AP70" s="106"/>
      <c r="AQ70" s="106"/>
      <c r="AR70" s="106"/>
      <c r="AS70" s="106"/>
      <c r="AT70" s="106"/>
      <c r="AU70" s="26"/>
      <c r="AV70" s="106"/>
      <c r="AW70" s="26"/>
      <c r="AX70" s="106"/>
      <c r="AY70" s="249">
        <v>44887</v>
      </c>
      <c r="AZ70" s="8">
        <v>2.1999999999999999E-2</v>
      </c>
      <c r="BA70" s="8">
        <v>5.5591517568162496E-2</v>
      </c>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row>
    <row r="71" spans="1:79"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27"/>
      <c r="AI71" s="27"/>
      <c r="AJ71" s="27"/>
      <c r="AK71" s="27"/>
      <c r="AL71" s="3"/>
      <c r="AM71" s="3"/>
      <c r="AN71" s="106"/>
      <c r="AO71" s="106"/>
      <c r="AP71" s="106"/>
      <c r="AQ71" s="106"/>
      <c r="AR71" s="106"/>
      <c r="AS71" s="106"/>
      <c r="AT71" s="106"/>
      <c r="AU71" s="26"/>
      <c r="AV71" s="106"/>
      <c r="AW71" s="26"/>
      <c r="AX71" s="106"/>
      <c r="AY71" s="249">
        <v>44917</v>
      </c>
      <c r="AZ71" s="8">
        <v>-0.01</v>
      </c>
      <c r="BA71" s="8">
        <v>-6.2E-2</v>
      </c>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row>
    <row r="72" spans="1:79"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27"/>
      <c r="AI72" s="27"/>
      <c r="AJ72" s="27"/>
      <c r="AK72" s="27"/>
      <c r="AL72" s="3"/>
      <c r="AM72" s="3"/>
      <c r="AN72" s="106"/>
      <c r="AO72" s="106"/>
      <c r="AP72" s="106"/>
      <c r="AQ72" s="106"/>
      <c r="AR72" s="106"/>
      <c r="AS72" s="106"/>
      <c r="AT72" s="106"/>
      <c r="AU72" s="26"/>
      <c r="AV72" s="106"/>
      <c r="AW72" s="26"/>
      <c r="AX72" s="106"/>
      <c r="AY72" s="249">
        <v>44584</v>
      </c>
      <c r="AZ72" s="8">
        <v>1.44E-2</v>
      </c>
      <c r="BA72" s="8">
        <v>6.4000000000000001E-2</v>
      </c>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row>
    <row r="73" spans="1:79"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27"/>
      <c r="AI73" s="27"/>
      <c r="AJ73" s="27"/>
      <c r="AK73" s="27"/>
      <c r="AL73" s="3"/>
      <c r="AM73" s="3"/>
      <c r="AN73" s="106"/>
      <c r="AO73" s="106"/>
      <c r="AP73" s="106"/>
      <c r="AQ73" s="106"/>
      <c r="AR73" s="106"/>
      <c r="AS73" s="106"/>
      <c r="AT73" s="106"/>
      <c r="AU73" s="26"/>
      <c r="AV73" s="106"/>
      <c r="AW73" s="26"/>
      <c r="AX73" s="106"/>
      <c r="AY73" s="249">
        <v>44615</v>
      </c>
      <c r="AZ73" s="8">
        <v>-5.0000000000000001E-3</v>
      </c>
      <c r="BA73" s="8">
        <v>-2.5000000000000001E-2</v>
      </c>
      <c r="BC73" s="268">
        <v>100000</v>
      </c>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row>
    <row r="74" spans="1:79"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27"/>
      <c r="AI74" s="27"/>
      <c r="AJ74" s="27"/>
      <c r="AK74" s="27"/>
      <c r="AL74" s="3"/>
      <c r="AM74" s="3"/>
      <c r="AN74" s="106"/>
      <c r="AO74" s="106"/>
      <c r="AP74" s="106"/>
      <c r="AQ74" s="106"/>
      <c r="AR74" s="106"/>
      <c r="AS74" s="106"/>
      <c r="AT74" s="106"/>
      <c r="AU74" s="26"/>
      <c r="AV74" s="106"/>
      <c r="AW74" s="26"/>
      <c r="AX74" s="106"/>
      <c r="AY74" s="249">
        <v>44643</v>
      </c>
      <c r="AZ74" s="8">
        <v>3.2300000000000002E-2</v>
      </c>
      <c r="BA74" s="8">
        <v>3.3134810477968957E-2</v>
      </c>
      <c r="BB74" s="109"/>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row>
    <row r="75" spans="1:79"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89"/>
      <c r="AI75" s="89"/>
      <c r="AJ75" s="89"/>
      <c r="AK75" s="89"/>
      <c r="AL75" s="152"/>
      <c r="AM75" s="152"/>
      <c r="AN75" s="269"/>
      <c r="AO75" s="269"/>
      <c r="AP75" s="269"/>
      <c r="AQ75" s="269"/>
      <c r="AR75" s="269"/>
      <c r="AS75" s="269"/>
      <c r="AT75" s="269"/>
      <c r="AU75" s="244"/>
      <c r="AV75" s="269"/>
      <c r="AW75" s="244"/>
      <c r="AX75" s="269"/>
      <c r="AY75" s="249">
        <v>44674</v>
      </c>
      <c r="AZ75" s="8">
        <v>-1.6999999999999999E-3</v>
      </c>
      <c r="BA75" s="8">
        <v>1.6E-2</v>
      </c>
      <c r="BB75" s="270"/>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row>
    <row r="76" spans="1:79"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27"/>
      <c r="AI76" s="27"/>
      <c r="AJ76" s="27"/>
      <c r="AK76" s="27"/>
      <c r="AL76" s="3"/>
      <c r="AM76" s="3"/>
      <c r="AN76" s="106"/>
      <c r="AO76" s="106"/>
      <c r="AP76" s="106"/>
      <c r="AQ76" s="106"/>
      <c r="AR76" s="106"/>
      <c r="AS76" s="106"/>
      <c r="AT76" s="106"/>
      <c r="AU76" s="26"/>
      <c r="AV76" s="106"/>
      <c r="AW76" s="26"/>
      <c r="AX76" s="106"/>
      <c r="AY76" s="249">
        <v>44704</v>
      </c>
      <c r="AZ76" s="8">
        <v>-2.2599999999999999E-2</v>
      </c>
      <c r="BA76" s="8">
        <v>3.0000000000000001E-3</v>
      </c>
      <c r="BB76" s="109"/>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row>
    <row r="77" spans="1:79"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27"/>
      <c r="AI77" s="27"/>
      <c r="AJ77" s="27"/>
      <c r="AK77" s="27"/>
      <c r="AL77" s="27"/>
      <c r="AM77" s="27"/>
      <c r="AN77" s="27"/>
      <c r="AO77" s="27"/>
      <c r="AP77" s="27"/>
      <c r="AQ77" s="27"/>
      <c r="AR77" s="27"/>
      <c r="AS77" s="27"/>
      <c r="AT77" s="27"/>
      <c r="AU77" s="27"/>
      <c r="AV77" s="27"/>
      <c r="AW77" s="27"/>
      <c r="AX77" s="27"/>
      <c r="AY77" s="249">
        <v>44735</v>
      </c>
      <c r="AZ77" s="8">
        <v>1.9E-2</v>
      </c>
      <c r="BA77" s="8">
        <v>6.0999999999999999E-2</v>
      </c>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row>
    <row r="78" spans="1:79"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27"/>
      <c r="AI78" s="27"/>
      <c r="AJ78" s="27"/>
      <c r="AK78" s="27"/>
      <c r="AL78" s="27"/>
      <c r="AM78" s="27"/>
      <c r="AN78" s="27"/>
      <c r="AO78" s="27"/>
      <c r="AP78" s="27"/>
      <c r="AQ78" s="27"/>
      <c r="AR78" s="27"/>
      <c r="AS78" s="27"/>
      <c r="AT78" s="27"/>
      <c r="AU78" s="27"/>
      <c r="AV78" s="27"/>
      <c r="AW78" s="27"/>
      <c r="AX78" s="27"/>
      <c r="AY78" s="249">
        <v>44765</v>
      </c>
      <c r="AZ78" s="8">
        <v>1.84E-2</v>
      </c>
      <c r="BA78" s="8">
        <v>3.7999999999999999E-2</v>
      </c>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row>
    <row r="79" spans="1: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27"/>
      <c r="AI79" s="27"/>
      <c r="AJ79" s="27"/>
      <c r="AK79" s="27"/>
      <c r="AL79" s="27"/>
      <c r="AM79" s="27"/>
      <c r="AN79" s="27"/>
      <c r="AO79" s="27"/>
      <c r="AP79" s="27"/>
      <c r="AQ79" s="27"/>
      <c r="AR79" s="27"/>
      <c r="AS79" s="27"/>
      <c r="AT79" s="27"/>
      <c r="AU79" s="27"/>
      <c r="AV79" s="27"/>
      <c r="AW79" s="27"/>
      <c r="AX79" s="27"/>
      <c r="AY79" s="249">
        <v>44796</v>
      </c>
      <c r="AZ79" s="8">
        <v>2.3999999999999998E-3</v>
      </c>
      <c r="BA79" s="8">
        <v>-1.6E-2</v>
      </c>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row>
    <row r="80" spans="1:79"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27"/>
      <c r="AI80" s="27"/>
      <c r="AJ80" s="27"/>
      <c r="AK80" s="27"/>
      <c r="AL80" s="27"/>
      <c r="AM80" s="27"/>
      <c r="AN80" s="27"/>
      <c r="AO80" s="27"/>
      <c r="AP80" s="27"/>
      <c r="AQ80" s="27"/>
      <c r="AR80" s="27"/>
      <c r="AS80" s="27"/>
      <c r="AT80" s="27"/>
      <c r="AU80" s="27"/>
      <c r="AV80" s="27"/>
      <c r="AW80" s="27"/>
      <c r="AX80" s="27"/>
      <c r="AY80" s="249">
        <v>44827</v>
      </c>
      <c r="AZ80" s="8">
        <v>-1.9E-2</v>
      </c>
      <c r="BA80" s="8">
        <v>-5.0999999999999997E-2</v>
      </c>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row>
    <row r="81" spans="1:79"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27"/>
      <c r="AI81" s="27"/>
      <c r="AJ81" s="27"/>
      <c r="AK81" s="27"/>
      <c r="AL81" s="27"/>
      <c r="AM81" s="27"/>
      <c r="AN81" s="27"/>
      <c r="AO81" s="27"/>
      <c r="AP81" s="27"/>
      <c r="AQ81" s="27"/>
      <c r="AR81" s="27"/>
      <c r="AS81" s="27"/>
      <c r="AT81" s="27"/>
      <c r="AU81" s="27"/>
      <c r="AV81" s="27"/>
      <c r="AW81" s="27"/>
      <c r="AX81" s="27"/>
      <c r="AY81" s="249">
        <v>44857</v>
      </c>
      <c r="AZ81" s="8">
        <v>1.4999999999999999E-2</v>
      </c>
      <c r="BA81" s="8">
        <v>-2.1999999999999999E-2</v>
      </c>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row>
    <row r="82" spans="1:79"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27"/>
      <c r="AI82" s="27"/>
      <c r="AJ82" s="27"/>
      <c r="AK82" s="27"/>
      <c r="AL82" s="27"/>
      <c r="AM82" s="27"/>
      <c r="AN82" s="27"/>
      <c r="AO82" s="27"/>
      <c r="AP82" s="27"/>
      <c r="AQ82" s="27"/>
      <c r="AR82" s="27"/>
      <c r="AS82" s="27"/>
      <c r="AT82" s="27"/>
      <c r="AU82" s="27"/>
      <c r="AV82" s="27"/>
      <c r="AW82" s="27"/>
      <c r="AX82" s="27"/>
      <c r="AY82" s="249">
        <v>44888</v>
      </c>
      <c r="AZ82" s="8">
        <v>5.3400000000000003E-2</v>
      </c>
      <c r="BA82" s="8">
        <v>9.8000000000000004E-2</v>
      </c>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row>
    <row r="83" spans="1:79"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27"/>
      <c r="AI83" s="27"/>
      <c r="AJ83" s="27"/>
      <c r="AK83" s="27"/>
      <c r="AL83" s="27"/>
      <c r="AM83" s="27"/>
      <c r="AN83" s="27"/>
      <c r="AO83" s="27"/>
      <c r="AP83" s="27"/>
      <c r="AQ83" s="27"/>
      <c r="AR83" s="27"/>
      <c r="AS83" s="27"/>
      <c r="AT83" s="27"/>
      <c r="AU83" s="27"/>
      <c r="AV83" s="27"/>
      <c r="AW83" s="27"/>
      <c r="AX83" s="27"/>
      <c r="AY83" s="249">
        <v>44918</v>
      </c>
      <c r="AZ83" s="271">
        <v>1.9E-2</v>
      </c>
      <c r="BA83" s="271">
        <v>4.1000000000000002E-2</v>
      </c>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row>
    <row r="84" spans="1:79"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27"/>
      <c r="AI84" s="27"/>
      <c r="AJ84" s="27"/>
      <c r="AK84" s="27"/>
      <c r="AL84" s="27"/>
      <c r="AM84" s="27"/>
      <c r="AN84" s="27"/>
      <c r="AO84" s="27"/>
      <c r="AP84" s="27"/>
      <c r="AQ84" s="27"/>
      <c r="AR84" s="27"/>
      <c r="AS84" s="27"/>
      <c r="AT84" s="27"/>
      <c r="AU84" s="27"/>
      <c r="AV84" s="27"/>
      <c r="AW84" s="27"/>
      <c r="AX84" s="27"/>
      <c r="AY84" s="249">
        <v>44585</v>
      </c>
      <c r="AZ84" s="271">
        <v>3.3000000000000002E-2</v>
      </c>
      <c r="BA84" s="271">
        <v>1.6E-2</v>
      </c>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row>
    <row r="85" spans="1:79"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row>
    <row r="86" spans="1:79"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row>
    <row r="87" spans="1:79"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row>
    <row r="88" spans="1:79"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row>
    <row r="89" spans="1:7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row>
    <row r="90" spans="1:79"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row>
    <row r="91" spans="1:79"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row>
    <row r="92" spans="1:79"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row>
    <row r="93" spans="1:79"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row>
    <row r="94" spans="1:79"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row>
    <row r="95" spans="1:79"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row>
    <row r="96" spans="1:79"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row>
    <row r="97" spans="1:79"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row>
    <row r="98" spans="1:79"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row>
    <row r="99" spans="1:7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row>
    <row r="100" spans="1:79"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row>
    <row r="101" spans="1:79"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row>
    <row r="102" spans="1:79"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row>
    <row r="103" spans="1:79"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row>
    <row r="104" spans="1:79"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row>
    <row r="105" spans="1:79"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row>
    <row r="106" spans="1:79"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row>
    <row r="107" spans="1:79"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row>
    <row r="108" spans="1:79"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row>
    <row r="109" spans="1:79" ht="15.75" customHeight="1">
      <c r="A109" s="27"/>
      <c r="B109" s="27"/>
      <c r="C109" s="272"/>
      <c r="D109" s="27"/>
      <c r="E109" s="27"/>
      <c r="F109" s="27"/>
      <c r="G109" s="28"/>
      <c r="H109" s="28"/>
      <c r="I109" s="27"/>
      <c r="J109" s="28"/>
      <c r="K109" s="27"/>
      <c r="L109" s="27"/>
      <c r="M109" s="27"/>
      <c r="N109" s="28"/>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row>
    <row r="110" spans="1:79" ht="15.75" customHeight="1">
      <c r="A110" s="27"/>
      <c r="B110" s="27"/>
      <c r="C110" s="272"/>
      <c r="D110" s="27"/>
      <c r="E110" s="27"/>
      <c r="F110" s="27"/>
      <c r="G110" s="28"/>
      <c r="H110" s="28"/>
      <c r="I110" s="27"/>
      <c r="J110" s="28"/>
      <c r="K110" s="27"/>
      <c r="L110" s="27"/>
      <c r="M110" s="27"/>
      <c r="N110" s="28"/>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row>
    <row r="111" spans="1:79" ht="15.75" customHeight="1">
      <c r="A111" s="27"/>
      <c r="B111" s="27"/>
      <c r="C111" s="272"/>
      <c r="D111" s="27"/>
      <c r="E111" s="27"/>
      <c r="F111" s="27"/>
      <c r="G111" s="28"/>
      <c r="H111" s="28"/>
      <c r="I111" s="27"/>
      <c r="J111" s="28"/>
      <c r="K111" s="27"/>
      <c r="L111" s="27"/>
      <c r="M111" s="27"/>
      <c r="N111" s="28"/>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row>
    <row r="112" spans="1:79" ht="15.75" customHeight="1">
      <c r="A112" s="27"/>
      <c r="B112" s="27"/>
      <c r="C112" s="272"/>
      <c r="D112" s="27"/>
      <c r="E112" s="27"/>
      <c r="F112" s="27"/>
      <c r="G112" s="28"/>
      <c r="H112" s="28"/>
      <c r="I112" s="27"/>
      <c r="J112" s="28"/>
      <c r="K112" s="27"/>
      <c r="L112" s="27"/>
      <c r="M112" s="27"/>
      <c r="N112" s="28"/>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row>
    <row r="113" spans="1:79" ht="15.75" customHeight="1">
      <c r="A113" s="27"/>
      <c r="B113" s="27"/>
      <c r="C113" s="272"/>
      <c r="D113" s="27"/>
      <c r="E113" s="27"/>
      <c r="F113" s="27"/>
      <c r="G113" s="28"/>
      <c r="H113" s="28"/>
      <c r="I113" s="27"/>
      <c r="J113" s="28"/>
      <c r="K113" s="27"/>
      <c r="L113" s="27"/>
      <c r="M113" s="27"/>
      <c r="N113" s="28"/>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row>
    <row r="114" spans="1:79" ht="15.75" customHeight="1">
      <c r="A114" s="27"/>
      <c r="B114" s="27"/>
      <c r="C114" s="272"/>
      <c r="D114" s="27"/>
      <c r="E114" s="27"/>
      <c r="F114" s="27"/>
      <c r="G114" s="28"/>
      <c r="H114" s="28"/>
      <c r="I114" s="27"/>
      <c r="J114" s="28"/>
      <c r="K114" s="27"/>
      <c r="L114" s="27"/>
      <c r="M114" s="27"/>
      <c r="N114" s="28"/>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row>
    <row r="115" spans="1:79" ht="15.75" customHeight="1">
      <c r="A115" s="27"/>
      <c r="B115" s="27"/>
      <c r="C115" s="272"/>
      <c r="D115" s="27"/>
      <c r="E115" s="27"/>
      <c r="F115" s="27"/>
      <c r="G115" s="28"/>
      <c r="H115" s="28"/>
      <c r="I115" s="27"/>
      <c r="J115" s="28"/>
      <c r="K115" s="27"/>
      <c r="L115" s="27"/>
      <c r="M115" s="27"/>
      <c r="N115" s="28"/>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row>
    <row r="116" spans="1:79" ht="15.75" customHeight="1">
      <c r="A116" s="27"/>
      <c r="B116" s="27"/>
      <c r="C116" s="272"/>
      <c r="D116" s="27"/>
      <c r="E116" s="27"/>
      <c r="F116" s="27"/>
      <c r="G116" s="28"/>
      <c r="H116" s="28"/>
      <c r="I116" s="27"/>
      <c r="J116" s="28"/>
      <c r="K116" s="27"/>
      <c r="L116" s="27"/>
      <c r="M116" s="27"/>
      <c r="N116" s="28"/>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row>
    <row r="117" spans="1:79" ht="15.75" customHeight="1">
      <c r="A117" s="27"/>
      <c r="B117" s="27"/>
      <c r="C117" s="272"/>
      <c r="D117" s="27"/>
      <c r="E117" s="27"/>
      <c r="F117" s="27"/>
      <c r="G117" s="28"/>
      <c r="H117" s="28"/>
      <c r="I117" s="27"/>
      <c r="J117" s="28"/>
      <c r="K117" s="27"/>
      <c r="L117" s="27"/>
      <c r="M117" s="27"/>
      <c r="N117" s="28"/>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row>
    <row r="118" spans="1:79" ht="15.75" customHeight="1">
      <c r="A118" s="27"/>
      <c r="B118" s="27"/>
      <c r="C118" s="272"/>
      <c r="D118" s="27"/>
      <c r="E118" s="27"/>
      <c r="F118" s="27"/>
      <c r="G118" s="28"/>
      <c r="H118" s="28"/>
      <c r="I118" s="27"/>
      <c r="J118" s="28"/>
      <c r="K118" s="27"/>
      <c r="L118" s="27"/>
      <c r="M118" s="27"/>
      <c r="N118" s="28"/>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row>
    <row r="119" spans="1:79" ht="15.75" customHeight="1">
      <c r="A119" s="27"/>
      <c r="B119" s="27"/>
      <c r="C119" s="272"/>
      <c r="D119" s="27"/>
      <c r="E119" s="27"/>
      <c r="F119" s="27"/>
      <c r="G119" s="28"/>
      <c r="H119" s="28"/>
      <c r="I119" s="27"/>
      <c r="J119" s="28"/>
      <c r="K119" s="27"/>
      <c r="L119" s="27"/>
      <c r="M119" s="27"/>
      <c r="N119" s="28"/>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row>
    <row r="120" spans="1:79" ht="15.75" customHeight="1">
      <c r="A120" s="27"/>
      <c r="B120" s="27"/>
      <c r="C120" s="272"/>
      <c r="D120" s="27"/>
      <c r="E120" s="27"/>
      <c r="F120" s="27"/>
      <c r="G120" s="28"/>
      <c r="H120" s="28"/>
      <c r="I120" s="27"/>
      <c r="J120" s="28"/>
      <c r="K120" s="27"/>
      <c r="L120" s="27"/>
      <c r="M120" s="27"/>
      <c r="N120" s="28"/>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row>
    <row r="121" spans="1:79" ht="15.75" customHeight="1">
      <c r="A121" s="27"/>
      <c r="B121" s="27"/>
      <c r="C121" s="272"/>
      <c r="D121" s="27"/>
      <c r="E121" s="27"/>
      <c r="F121" s="27"/>
      <c r="G121" s="28"/>
      <c r="H121" s="28"/>
      <c r="I121" s="27"/>
      <c r="J121" s="28"/>
      <c r="K121" s="27"/>
      <c r="L121" s="27"/>
      <c r="M121" s="27"/>
      <c r="N121" s="28"/>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row>
    <row r="122" spans="1:79" ht="15.75" customHeight="1">
      <c r="A122" s="27"/>
      <c r="B122" s="27"/>
      <c r="C122" s="272"/>
      <c r="D122" s="27"/>
      <c r="E122" s="27"/>
      <c r="F122" s="27"/>
      <c r="G122" s="28"/>
      <c r="H122" s="28"/>
      <c r="I122" s="27"/>
      <c r="J122" s="28"/>
      <c r="K122" s="27"/>
      <c r="L122" s="27"/>
      <c r="M122" s="27"/>
      <c r="N122" s="28"/>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row>
    <row r="123" spans="1:79" ht="15.75" customHeight="1">
      <c r="A123" s="27"/>
      <c r="B123" s="27"/>
      <c r="C123" s="272"/>
      <c r="D123" s="27"/>
      <c r="E123" s="27"/>
      <c r="F123" s="27"/>
      <c r="G123" s="28"/>
      <c r="H123" s="28"/>
      <c r="I123" s="27"/>
      <c r="J123" s="28"/>
      <c r="K123" s="27"/>
      <c r="L123" s="27"/>
      <c r="M123" s="27"/>
      <c r="N123" s="28"/>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row>
    <row r="124" spans="1:79" ht="15.75" customHeight="1">
      <c r="A124" s="27"/>
      <c r="B124" s="27"/>
      <c r="C124" s="272"/>
      <c r="D124" s="27"/>
      <c r="E124" s="27"/>
      <c r="F124" s="27"/>
      <c r="G124" s="28"/>
      <c r="H124" s="28"/>
      <c r="I124" s="27"/>
      <c r="J124" s="28"/>
      <c r="K124" s="27"/>
      <c r="L124" s="27"/>
      <c r="M124" s="27"/>
      <c r="N124" s="28"/>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row>
    <row r="125" spans="1:79" ht="15.75" customHeight="1">
      <c r="A125" s="27"/>
      <c r="B125" s="27"/>
      <c r="C125" s="272"/>
      <c r="D125" s="27"/>
      <c r="E125" s="27"/>
      <c r="F125" s="27"/>
      <c r="G125" s="28"/>
      <c r="H125" s="28"/>
      <c r="I125" s="27"/>
      <c r="J125" s="28"/>
      <c r="K125" s="27"/>
      <c r="L125" s="27"/>
      <c r="M125" s="27"/>
      <c r="N125" s="28"/>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row>
    <row r="126" spans="1:79" ht="15.75" customHeight="1">
      <c r="A126" s="27"/>
      <c r="B126" s="27"/>
      <c r="C126" s="272"/>
      <c r="D126" s="27"/>
      <c r="E126" s="27"/>
      <c r="F126" s="27"/>
      <c r="G126" s="28"/>
      <c r="H126" s="28"/>
      <c r="I126" s="27"/>
      <c r="J126" s="28"/>
      <c r="K126" s="27"/>
      <c r="L126" s="27"/>
      <c r="M126" s="27"/>
      <c r="N126" s="28"/>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row>
    <row r="127" spans="1:79" ht="15.75" customHeight="1">
      <c r="A127" s="27"/>
      <c r="B127" s="27"/>
      <c r="C127" s="272"/>
      <c r="D127" s="27"/>
      <c r="E127" s="27"/>
      <c r="F127" s="27"/>
      <c r="G127" s="28"/>
      <c r="H127" s="28"/>
      <c r="I127" s="27"/>
      <c r="J127" s="28"/>
      <c r="K127" s="27"/>
      <c r="L127" s="27"/>
      <c r="M127" s="27"/>
      <c r="N127" s="28"/>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row>
    <row r="128" spans="1:79" ht="15.75" customHeight="1">
      <c r="A128" s="27"/>
      <c r="B128" s="27"/>
      <c r="C128" s="272"/>
      <c r="D128" s="27"/>
      <c r="E128" s="27"/>
      <c r="F128" s="27"/>
      <c r="G128" s="28"/>
      <c r="H128" s="28"/>
      <c r="I128" s="27"/>
      <c r="J128" s="28"/>
      <c r="K128" s="27"/>
      <c r="L128" s="27"/>
      <c r="M128" s="27"/>
      <c r="N128" s="28"/>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row>
    <row r="129" spans="1:79" ht="15.75" customHeight="1">
      <c r="A129" s="27"/>
      <c r="B129" s="27"/>
      <c r="C129" s="272"/>
      <c r="D129" s="27"/>
      <c r="E129" s="27"/>
      <c r="F129" s="27"/>
      <c r="G129" s="28"/>
      <c r="H129" s="28"/>
      <c r="I129" s="27"/>
      <c r="J129" s="28"/>
      <c r="K129" s="27"/>
      <c r="L129" s="27"/>
      <c r="M129" s="27"/>
      <c r="N129" s="28"/>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row>
    <row r="130" spans="1:79" ht="15.75" customHeight="1">
      <c r="A130" s="27"/>
      <c r="B130" s="27"/>
      <c r="C130" s="272"/>
      <c r="D130" s="27"/>
      <c r="E130" s="27"/>
      <c r="F130" s="27"/>
      <c r="G130" s="28"/>
      <c r="H130" s="28"/>
      <c r="I130" s="27"/>
      <c r="J130" s="28"/>
      <c r="K130" s="27"/>
      <c r="L130" s="27"/>
      <c r="M130" s="27"/>
      <c r="N130" s="28"/>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row>
    <row r="131" spans="1:79" ht="15.75" customHeight="1">
      <c r="A131" s="27"/>
      <c r="B131" s="27"/>
      <c r="C131" s="272"/>
      <c r="D131" s="27"/>
      <c r="E131" s="27"/>
      <c r="F131" s="27"/>
      <c r="G131" s="28"/>
      <c r="H131" s="28"/>
      <c r="I131" s="27"/>
      <c r="J131" s="28"/>
      <c r="K131" s="27"/>
      <c r="L131" s="27"/>
      <c r="M131" s="27"/>
      <c r="N131" s="28"/>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row>
    <row r="132" spans="1:79" ht="15.75" customHeight="1">
      <c r="A132" s="27"/>
      <c r="B132" s="27"/>
      <c r="C132" s="272"/>
      <c r="D132" s="27"/>
      <c r="E132" s="27"/>
      <c r="F132" s="27"/>
      <c r="G132" s="28"/>
      <c r="H132" s="28"/>
      <c r="I132" s="27"/>
      <c r="J132" s="28"/>
      <c r="K132" s="27"/>
      <c r="L132" s="27"/>
      <c r="M132" s="27"/>
      <c r="N132" s="28"/>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row>
    <row r="133" spans="1:79" ht="15.75" customHeight="1">
      <c r="A133" s="27"/>
      <c r="B133" s="27"/>
      <c r="C133" s="272"/>
      <c r="D133" s="27"/>
      <c r="E133" s="27"/>
      <c r="F133" s="27"/>
      <c r="G133" s="28"/>
      <c r="H133" s="28"/>
      <c r="I133" s="27"/>
      <c r="J133" s="28"/>
      <c r="K133" s="27"/>
      <c r="L133" s="27"/>
      <c r="M133" s="27"/>
      <c r="N133" s="28"/>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row>
    <row r="134" spans="1:79" ht="15.75" customHeight="1">
      <c r="A134" s="27"/>
      <c r="B134" s="27"/>
      <c r="C134" s="272"/>
      <c r="D134" s="27"/>
      <c r="E134" s="27"/>
      <c r="F134" s="27"/>
      <c r="G134" s="28"/>
      <c r="H134" s="28"/>
      <c r="I134" s="27"/>
      <c r="J134" s="28"/>
      <c r="K134" s="27"/>
      <c r="L134" s="27"/>
      <c r="M134" s="27"/>
      <c r="N134" s="28"/>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row>
    <row r="135" spans="1:79" ht="15.75" customHeight="1">
      <c r="A135" s="27"/>
      <c r="B135" s="27"/>
      <c r="C135" s="272"/>
      <c r="D135" s="27"/>
      <c r="E135" s="27"/>
      <c r="F135" s="27"/>
      <c r="G135" s="28"/>
      <c r="H135" s="28"/>
      <c r="I135" s="27"/>
      <c r="J135" s="28"/>
      <c r="K135" s="27"/>
      <c r="L135" s="27"/>
      <c r="M135" s="27"/>
      <c r="N135" s="28"/>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row>
    <row r="136" spans="1:79" ht="15.75" customHeight="1">
      <c r="A136" s="27"/>
      <c r="B136" s="27"/>
      <c r="C136" s="272"/>
      <c r="D136" s="27"/>
      <c r="E136" s="27"/>
      <c r="F136" s="27"/>
      <c r="G136" s="28"/>
      <c r="H136" s="28"/>
      <c r="I136" s="27"/>
      <c r="J136" s="28"/>
      <c r="K136" s="27"/>
      <c r="L136" s="27"/>
      <c r="M136" s="27"/>
      <c r="N136" s="28"/>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row>
    <row r="137" spans="1:79" ht="15.75" customHeight="1">
      <c r="A137" s="27"/>
      <c r="B137" s="27"/>
      <c r="C137" s="272"/>
      <c r="D137" s="27"/>
      <c r="E137" s="27"/>
      <c r="F137" s="27"/>
      <c r="G137" s="28"/>
      <c r="H137" s="28"/>
      <c r="I137" s="27"/>
      <c r="J137" s="28"/>
      <c r="K137" s="27"/>
      <c r="L137" s="27"/>
      <c r="M137" s="27"/>
      <c r="N137" s="28"/>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row>
    <row r="138" spans="1:79" ht="15.75" customHeight="1">
      <c r="A138" s="27"/>
      <c r="B138" s="27"/>
      <c r="C138" s="272"/>
      <c r="D138" s="27"/>
      <c r="E138" s="27"/>
      <c r="F138" s="27"/>
      <c r="G138" s="28"/>
      <c r="H138" s="28"/>
      <c r="I138" s="27"/>
      <c r="J138" s="28"/>
      <c r="K138" s="27"/>
      <c r="L138" s="27"/>
      <c r="M138" s="27"/>
      <c r="N138" s="28"/>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row>
    <row r="139" spans="1:79" ht="15.75" customHeight="1">
      <c r="A139" s="27"/>
      <c r="B139" s="27"/>
      <c r="C139" s="272"/>
      <c r="D139" s="27"/>
      <c r="E139" s="27"/>
      <c r="F139" s="27"/>
      <c r="G139" s="28"/>
      <c r="H139" s="28"/>
      <c r="I139" s="27"/>
      <c r="J139" s="28"/>
      <c r="K139" s="27"/>
      <c r="L139" s="27"/>
      <c r="M139" s="27"/>
      <c r="N139" s="28"/>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row>
    <row r="140" spans="1:79" ht="15.75" customHeight="1">
      <c r="A140" s="27"/>
      <c r="B140" s="27"/>
      <c r="C140" s="272"/>
      <c r="D140" s="27"/>
      <c r="E140" s="27"/>
      <c r="F140" s="27"/>
      <c r="G140" s="28"/>
      <c r="H140" s="28"/>
      <c r="I140" s="27"/>
      <c r="J140" s="28"/>
      <c r="K140" s="27"/>
      <c r="L140" s="27"/>
      <c r="M140" s="27"/>
      <c r="N140" s="28"/>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row>
    <row r="141" spans="1:79" ht="15.75" customHeight="1">
      <c r="A141" s="27"/>
      <c r="B141" s="27"/>
      <c r="C141" s="272"/>
      <c r="D141" s="27"/>
      <c r="E141" s="27"/>
      <c r="F141" s="27"/>
      <c r="G141" s="28"/>
      <c r="H141" s="28"/>
      <c r="I141" s="27"/>
      <c r="J141" s="28"/>
      <c r="K141" s="27"/>
      <c r="L141" s="27"/>
      <c r="M141" s="27"/>
      <c r="N141" s="28"/>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row>
    <row r="142" spans="1:79" ht="15.75" customHeight="1">
      <c r="A142" s="27"/>
      <c r="B142" s="27"/>
      <c r="C142" s="272"/>
      <c r="D142" s="27"/>
      <c r="E142" s="27"/>
      <c r="F142" s="27"/>
      <c r="G142" s="28"/>
      <c r="H142" s="28"/>
      <c r="I142" s="27"/>
      <c r="J142" s="28"/>
      <c r="K142" s="27"/>
      <c r="L142" s="27"/>
      <c r="M142" s="27"/>
      <c r="N142" s="28"/>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row>
    <row r="143" spans="1:79" ht="15.75" customHeight="1">
      <c r="A143" s="27"/>
      <c r="B143" s="27"/>
      <c r="C143" s="272"/>
      <c r="D143" s="27"/>
      <c r="E143" s="27"/>
      <c r="F143" s="27"/>
      <c r="G143" s="28"/>
      <c r="H143" s="28"/>
      <c r="I143" s="27"/>
      <c r="J143" s="28"/>
      <c r="K143" s="27"/>
      <c r="L143" s="27"/>
      <c r="M143" s="27"/>
      <c r="N143" s="28"/>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row>
    <row r="144" spans="1:79" ht="15.75" customHeight="1">
      <c r="A144" s="27"/>
      <c r="B144" s="27"/>
      <c r="C144" s="272"/>
      <c r="D144" s="27"/>
      <c r="E144" s="27"/>
      <c r="F144" s="27"/>
      <c r="G144" s="28"/>
      <c r="H144" s="28"/>
      <c r="I144" s="27"/>
      <c r="J144" s="28"/>
      <c r="K144" s="27"/>
      <c r="L144" s="27"/>
      <c r="M144" s="27"/>
      <c r="N144" s="28"/>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row>
    <row r="145" spans="1:79" ht="15.75" customHeight="1">
      <c r="A145" s="27"/>
      <c r="B145" s="27"/>
      <c r="C145" s="272"/>
      <c r="D145" s="27"/>
      <c r="E145" s="27"/>
      <c r="F145" s="27"/>
      <c r="G145" s="28"/>
      <c r="H145" s="28"/>
      <c r="I145" s="27"/>
      <c r="J145" s="28"/>
      <c r="K145" s="27"/>
      <c r="L145" s="27"/>
      <c r="M145" s="27"/>
      <c r="N145" s="28"/>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row>
    <row r="146" spans="1:79" ht="15.75" customHeight="1">
      <c r="A146" s="27"/>
      <c r="B146" s="27"/>
      <c r="C146" s="272"/>
      <c r="D146" s="27"/>
      <c r="E146" s="27"/>
      <c r="F146" s="27"/>
      <c r="G146" s="28"/>
      <c r="H146" s="28"/>
      <c r="I146" s="27"/>
      <c r="J146" s="28"/>
      <c r="K146" s="27"/>
      <c r="L146" s="27"/>
      <c r="M146" s="27"/>
      <c r="N146" s="28"/>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row>
    <row r="147" spans="1:79" ht="15.75" customHeight="1">
      <c r="A147" s="27"/>
      <c r="B147" s="27"/>
      <c r="C147" s="272"/>
      <c r="D147" s="27"/>
      <c r="E147" s="27"/>
      <c r="F147" s="27"/>
      <c r="G147" s="28"/>
      <c r="H147" s="28"/>
      <c r="I147" s="27"/>
      <c r="J147" s="28"/>
      <c r="K147" s="27"/>
      <c r="L147" s="27"/>
      <c r="M147" s="27"/>
      <c r="N147" s="28"/>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row>
    <row r="148" spans="1:79" ht="15.75" customHeight="1">
      <c r="A148" s="27"/>
      <c r="B148" s="27"/>
      <c r="C148" s="272"/>
      <c r="D148" s="27"/>
      <c r="E148" s="27"/>
      <c r="F148" s="27"/>
      <c r="G148" s="28"/>
      <c r="H148" s="28"/>
      <c r="I148" s="27"/>
      <c r="J148" s="28"/>
      <c r="K148" s="27"/>
      <c r="L148" s="27"/>
      <c r="M148" s="27"/>
      <c r="N148" s="28"/>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row>
    <row r="149" spans="1:79" ht="15.75" customHeight="1">
      <c r="A149" s="27"/>
      <c r="B149" s="27"/>
      <c r="C149" s="272"/>
      <c r="D149" s="27"/>
      <c r="E149" s="27"/>
      <c r="F149" s="27"/>
      <c r="G149" s="28"/>
      <c r="H149" s="28"/>
      <c r="I149" s="27"/>
      <c r="J149" s="28"/>
      <c r="K149" s="27"/>
      <c r="L149" s="27"/>
      <c r="M149" s="27"/>
      <c r="N149" s="28"/>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row>
    <row r="150" spans="1:79" ht="15.75" customHeight="1">
      <c r="A150" s="27"/>
      <c r="B150" s="27"/>
      <c r="C150" s="272"/>
      <c r="D150" s="27"/>
      <c r="E150" s="27"/>
      <c r="F150" s="27"/>
      <c r="G150" s="28"/>
      <c r="H150" s="28"/>
      <c r="I150" s="27"/>
      <c r="J150" s="28"/>
      <c r="K150" s="27"/>
      <c r="L150" s="27"/>
      <c r="M150" s="27"/>
      <c r="N150" s="28"/>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row>
    <row r="151" spans="1:79" ht="15.75" customHeight="1">
      <c r="A151" s="27"/>
      <c r="B151" s="27"/>
      <c r="C151" s="272"/>
      <c r="D151" s="27"/>
      <c r="E151" s="27"/>
      <c r="F151" s="27"/>
      <c r="G151" s="28"/>
      <c r="H151" s="28"/>
      <c r="I151" s="27"/>
      <c r="J151" s="28"/>
      <c r="K151" s="27"/>
      <c r="L151" s="27"/>
      <c r="M151" s="27"/>
      <c r="N151" s="28"/>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row>
    <row r="152" spans="1:79" ht="15.75" customHeight="1">
      <c r="A152" s="27"/>
      <c r="B152" s="27"/>
      <c r="C152" s="272"/>
      <c r="D152" s="27"/>
      <c r="E152" s="27"/>
      <c r="F152" s="27"/>
      <c r="G152" s="28"/>
      <c r="H152" s="28"/>
      <c r="I152" s="27"/>
      <c r="J152" s="28"/>
      <c r="K152" s="27"/>
      <c r="L152" s="27"/>
      <c r="M152" s="27"/>
      <c r="N152" s="28"/>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row>
    <row r="153" spans="1:79" ht="15.75" customHeight="1">
      <c r="A153" s="27"/>
      <c r="B153" s="27"/>
      <c r="C153" s="272"/>
      <c r="D153" s="27"/>
      <c r="E153" s="27"/>
      <c r="F153" s="27"/>
      <c r="G153" s="28"/>
      <c r="H153" s="28"/>
      <c r="I153" s="27"/>
      <c r="J153" s="28"/>
      <c r="K153" s="27"/>
      <c r="L153" s="27"/>
      <c r="M153" s="27"/>
      <c r="N153" s="28"/>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row>
    <row r="154" spans="1:79" ht="15.75" customHeight="1">
      <c r="A154" s="27"/>
      <c r="B154" s="27"/>
      <c r="C154" s="272"/>
      <c r="D154" s="27"/>
      <c r="E154" s="27"/>
      <c r="F154" s="27"/>
      <c r="G154" s="28"/>
      <c r="H154" s="28"/>
      <c r="I154" s="27"/>
      <c r="J154" s="28"/>
      <c r="K154" s="27"/>
      <c r="L154" s="27"/>
      <c r="M154" s="27"/>
      <c r="N154" s="28"/>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row>
    <row r="155" spans="1:79" ht="15.75" customHeight="1">
      <c r="C155" s="273"/>
    </row>
    <row r="156" spans="1:79" ht="15.75" customHeight="1">
      <c r="C156" s="273"/>
    </row>
    <row r="157" spans="1:79" ht="15.75" customHeight="1">
      <c r="C157" s="273"/>
    </row>
    <row r="158" spans="1:79" ht="15.75" customHeight="1">
      <c r="C158" s="273"/>
    </row>
    <row r="159" spans="1:79" ht="15.75" customHeight="1">
      <c r="C159" s="273"/>
    </row>
    <row r="160" spans="1:79" ht="15.75" customHeight="1">
      <c r="C160" s="273"/>
    </row>
    <row r="161" spans="3:3" ht="15.75" customHeight="1">
      <c r="C161" s="273"/>
    </row>
    <row r="162" spans="3:3" ht="15.75" customHeight="1">
      <c r="C162" s="273"/>
    </row>
    <row r="163" spans="3:3" ht="15.75" customHeight="1">
      <c r="C163" s="273"/>
    </row>
    <row r="164" spans="3:3" ht="15.75" customHeight="1">
      <c r="C164" s="273"/>
    </row>
    <row r="165" spans="3:3" ht="15.75" customHeight="1">
      <c r="C165" s="273"/>
    </row>
    <row r="166" spans="3:3" ht="15.75" customHeight="1">
      <c r="C166" s="273"/>
    </row>
    <row r="167" spans="3:3" ht="15.75" customHeight="1">
      <c r="C167" s="273"/>
    </row>
    <row r="168" spans="3:3" ht="15.75" customHeight="1">
      <c r="C168" s="273"/>
    </row>
    <row r="169" spans="3:3" ht="15.75" customHeight="1">
      <c r="C169" s="273"/>
    </row>
    <row r="170" spans="3:3" ht="15.75" customHeight="1">
      <c r="C170" s="273"/>
    </row>
    <row r="171" spans="3:3" ht="15.75" customHeight="1">
      <c r="C171" s="273"/>
    </row>
    <row r="172" spans="3:3" ht="15.75" customHeight="1">
      <c r="C172" s="273"/>
    </row>
    <row r="173" spans="3:3" ht="15.75" customHeight="1">
      <c r="C173" s="273"/>
    </row>
    <row r="174" spans="3:3" ht="15.75" customHeight="1">
      <c r="C174" s="273"/>
    </row>
    <row r="175" spans="3:3" ht="15.75" customHeight="1">
      <c r="C175" s="273"/>
    </row>
    <row r="176" spans="3:3" ht="15.75" customHeight="1">
      <c r="C176" s="273"/>
    </row>
    <row r="177" spans="3:3" ht="15.75" customHeight="1">
      <c r="C177" s="273"/>
    </row>
    <row r="178" spans="3:3" ht="15.75" customHeight="1">
      <c r="C178" s="273"/>
    </row>
    <row r="179" spans="3:3" ht="15.75" customHeight="1">
      <c r="C179" s="273"/>
    </row>
    <row r="180" spans="3:3" ht="15.75" customHeight="1">
      <c r="C180" s="273"/>
    </row>
    <row r="181" spans="3:3" ht="15.75" customHeight="1">
      <c r="C181" s="273"/>
    </row>
    <row r="182" spans="3:3" ht="15.75" customHeight="1">
      <c r="C182" s="273"/>
    </row>
    <row r="183" spans="3:3" ht="15.75" customHeight="1">
      <c r="C183" s="273"/>
    </row>
    <row r="184" spans="3:3" ht="15.75" customHeight="1">
      <c r="C184" s="273"/>
    </row>
    <row r="185" spans="3:3" ht="15.75" customHeight="1">
      <c r="C185" s="273"/>
    </row>
    <row r="186" spans="3:3" ht="15.75" customHeight="1">
      <c r="C186" s="273"/>
    </row>
    <row r="187" spans="3:3" ht="15.75" customHeight="1">
      <c r="C187" s="273"/>
    </row>
    <row r="188" spans="3:3" ht="15.75" customHeight="1">
      <c r="C188" s="273"/>
    </row>
    <row r="189" spans="3:3" ht="15.75" customHeight="1">
      <c r="C189" s="273"/>
    </row>
    <row r="190" spans="3:3" ht="15.75" customHeight="1">
      <c r="C190" s="273"/>
    </row>
    <row r="191" spans="3:3" ht="15.75" customHeight="1">
      <c r="C191" s="273"/>
    </row>
    <row r="192" spans="3:3" ht="15.75" customHeight="1">
      <c r="C192" s="273"/>
    </row>
    <row r="193" spans="3:3" ht="15.75" customHeight="1">
      <c r="C193" s="273"/>
    </row>
    <row r="194" spans="3:3" ht="15.75" customHeight="1">
      <c r="C194" s="273"/>
    </row>
    <row r="195" spans="3:3" ht="15.75" customHeight="1">
      <c r="C195" s="273"/>
    </row>
    <row r="196" spans="3:3" ht="15.75" customHeight="1">
      <c r="C196" s="273"/>
    </row>
    <row r="197" spans="3:3" ht="15.75" customHeight="1">
      <c r="C197" s="273"/>
    </row>
    <row r="198" spans="3:3" ht="15.75" customHeight="1">
      <c r="C198" s="273"/>
    </row>
    <row r="199" spans="3:3" ht="15.75" customHeight="1">
      <c r="C199" s="273"/>
    </row>
    <row r="200" spans="3:3" ht="15.75" customHeight="1">
      <c r="C200" s="273"/>
    </row>
    <row r="201" spans="3:3" ht="15.75" customHeight="1">
      <c r="C201" s="273"/>
    </row>
    <row r="202" spans="3:3" ht="15.75" customHeight="1">
      <c r="C202" s="273"/>
    </row>
    <row r="203" spans="3:3" ht="15.75" customHeight="1">
      <c r="C203" s="273"/>
    </row>
    <row r="204" spans="3:3" ht="15.75" customHeight="1">
      <c r="C204" s="273"/>
    </row>
    <row r="205" spans="3:3" ht="15.75" customHeight="1">
      <c r="C205" s="273"/>
    </row>
    <row r="206" spans="3:3" ht="15.75" customHeight="1">
      <c r="C206" s="273"/>
    </row>
    <row r="207" spans="3:3" ht="15.75" customHeight="1">
      <c r="C207" s="273"/>
    </row>
    <row r="208" spans="3:3" ht="15.75" customHeight="1">
      <c r="C208" s="273"/>
    </row>
    <row r="209" spans="3:3" ht="15.75" customHeight="1">
      <c r="C209" s="273"/>
    </row>
    <row r="210" spans="3:3" ht="15.75" customHeight="1">
      <c r="C210" s="273"/>
    </row>
    <row r="211" spans="3:3" ht="15.75" customHeight="1">
      <c r="C211" s="273"/>
    </row>
    <row r="212" spans="3:3" ht="15.75" customHeight="1">
      <c r="C212" s="273"/>
    </row>
    <row r="213" spans="3:3" ht="15.75" customHeight="1">
      <c r="C213" s="273"/>
    </row>
    <row r="214" spans="3:3" ht="15.75" customHeight="1">
      <c r="C214" s="273"/>
    </row>
    <row r="215" spans="3:3" ht="15.75" customHeight="1">
      <c r="C215" s="273"/>
    </row>
    <row r="216" spans="3:3" ht="15.75" customHeight="1">
      <c r="C216" s="273"/>
    </row>
    <row r="217" spans="3:3" ht="15.75" customHeight="1">
      <c r="C217" s="273"/>
    </row>
    <row r="218" spans="3:3" ht="15.75" customHeight="1">
      <c r="C218" s="273"/>
    </row>
    <row r="219" spans="3:3" ht="15.75" customHeight="1">
      <c r="C219" s="273"/>
    </row>
    <row r="220" spans="3:3" ht="15.75" customHeight="1">
      <c r="C220" s="273"/>
    </row>
    <row r="221" spans="3:3" ht="15.75" customHeight="1">
      <c r="C221" s="273"/>
    </row>
    <row r="222" spans="3:3" ht="15.75" customHeight="1">
      <c r="C222" s="273"/>
    </row>
    <row r="223" spans="3:3" ht="15.75" customHeight="1">
      <c r="C223" s="273"/>
    </row>
    <row r="224" spans="3:3" ht="15.75" customHeight="1">
      <c r="C224" s="273"/>
    </row>
    <row r="225" spans="3:3" ht="15.75" customHeight="1">
      <c r="C225" s="273"/>
    </row>
    <row r="226" spans="3:3" ht="15.75" customHeight="1">
      <c r="C226" s="273"/>
    </row>
    <row r="227" spans="3:3" ht="15.75" customHeight="1">
      <c r="C227" s="273"/>
    </row>
    <row r="228" spans="3:3" ht="15.75" customHeight="1">
      <c r="C228" s="273"/>
    </row>
    <row r="229" spans="3:3" ht="15.75" customHeight="1">
      <c r="C229" s="273"/>
    </row>
    <row r="230" spans="3:3" ht="15.75" customHeight="1">
      <c r="C230" s="273"/>
    </row>
    <row r="231" spans="3:3" ht="15.75" customHeight="1">
      <c r="C231" s="273"/>
    </row>
    <row r="232" spans="3:3" ht="15.75" customHeight="1">
      <c r="C232" s="273"/>
    </row>
    <row r="233" spans="3:3" ht="15.75" customHeight="1">
      <c r="C233" s="273"/>
    </row>
    <row r="234" spans="3:3" ht="15.75" customHeight="1">
      <c r="C234" s="273"/>
    </row>
    <row r="235" spans="3:3" ht="15.75" customHeight="1">
      <c r="C235" s="273"/>
    </row>
    <row r="236" spans="3:3" ht="15.75" customHeight="1">
      <c r="C236" s="273"/>
    </row>
    <row r="237" spans="3:3" ht="15.75" customHeight="1">
      <c r="C237" s="273"/>
    </row>
    <row r="238" spans="3:3" ht="15.75" customHeight="1">
      <c r="C238" s="273"/>
    </row>
    <row r="239" spans="3:3" ht="15.75" customHeight="1">
      <c r="C239" s="273"/>
    </row>
    <row r="240" spans="3:3" ht="15.75" customHeight="1">
      <c r="C240" s="273"/>
    </row>
    <row r="241" spans="3:3" ht="15.75" customHeight="1">
      <c r="C241" s="273"/>
    </row>
    <row r="242" spans="3:3" ht="15.75" customHeight="1">
      <c r="C242" s="273"/>
    </row>
    <row r="243" spans="3:3" ht="15.75" customHeight="1">
      <c r="C243" s="273"/>
    </row>
    <row r="244" spans="3:3" ht="15.75" customHeight="1">
      <c r="C244" s="273"/>
    </row>
    <row r="245" spans="3:3" ht="15.75" customHeight="1">
      <c r="C245" s="273"/>
    </row>
    <row r="246" spans="3:3" ht="15.75" customHeight="1">
      <c r="C246" s="273"/>
    </row>
    <row r="247" spans="3:3" ht="15.75" customHeight="1">
      <c r="C247" s="273"/>
    </row>
    <row r="248" spans="3:3" ht="15.75" customHeight="1">
      <c r="C248" s="273"/>
    </row>
    <row r="249" spans="3:3" ht="15.75" customHeight="1">
      <c r="C249" s="273"/>
    </row>
    <row r="250" spans="3:3" ht="15.75" customHeight="1">
      <c r="C250" s="273"/>
    </row>
    <row r="251" spans="3:3" ht="15.75" customHeight="1">
      <c r="C251" s="273"/>
    </row>
    <row r="252" spans="3:3" ht="15.75" customHeight="1">
      <c r="C252" s="273"/>
    </row>
    <row r="253" spans="3:3" ht="15.75" customHeight="1">
      <c r="C253" s="273"/>
    </row>
    <row r="254" spans="3:3" ht="15.75" customHeight="1">
      <c r="C254" s="273"/>
    </row>
    <row r="255" spans="3:3" ht="15.75" customHeight="1">
      <c r="C255" s="273"/>
    </row>
    <row r="256" spans="3:3" ht="15.75" customHeight="1">
      <c r="C256" s="273"/>
    </row>
    <row r="257" spans="3:3" ht="15.75" customHeight="1">
      <c r="C257" s="273"/>
    </row>
    <row r="258" spans="3:3" ht="15.75" customHeight="1">
      <c r="C258" s="273"/>
    </row>
    <row r="259" spans="3:3" ht="15.75" customHeight="1">
      <c r="C259" s="273"/>
    </row>
    <row r="260" spans="3:3" ht="15.75" customHeight="1">
      <c r="C260" s="273"/>
    </row>
    <row r="261" spans="3:3" ht="15.75" customHeight="1">
      <c r="C261" s="273"/>
    </row>
    <row r="262" spans="3:3" ht="15.75" customHeight="1">
      <c r="C262" s="273"/>
    </row>
    <row r="263" spans="3:3" ht="15.75" customHeight="1">
      <c r="C263" s="273"/>
    </row>
    <row r="264" spans="3:3" ht="15.75" customHeight="1">
      <c r="C264" s="273"/>
    </row>
    <row r="265" spans="3:3" ht="15.75" customHeight="1">
      <c r="C265" s="273"/>
    </row>
    <row r="266" spans="3:3" ht="15.75" customHeight="1">
      <c r="C266" s="273"/>
    </row>
    <row r="267" spans="3:3" ht="15.75" customHeight="1">
      <c r="C267" s="273"/>
    </row>
    <row r="268" spans="3:3" ht="15.75" customHeight="1">
      <c r="C268" s="273"/>
    </row>
    <row r="269" spans="3:3" ht="15.75" customHeight="1">
      <c r="C269" s="273"/>
    </row>
    <row r="270" spans="3:3" ht="15.75" customHeight="1">
      <c r="C270" s="273"/>
    </row>
    <row r="271" spans="3:3" ht="15.75" customHeight="1">
      <c r="C271" s="273"/>
    </row>
    <row r="272" spans="3:3" ht="15.75" customHeight="1">
      <c r="C272" s="273"/>
    </row>
    <row r="273" spans="3:3" ht="15.75" customHeight="1">
      <c r="C273" s="273"/>
    </row>
    <row r="274" spans="3:3" ht="15.75" customHeight="1">
      <c r="C274" s="273"/>
    </row>
    <row r="275" spans="3:3" ht="15.75" customHeight="1">
      <c r="C275" s="273"/>
    </row>
    <row r="276" spans="3:3" ht="15.75" customHeight="1">
      <c r="C276" s="273"/>
    </row>
    <row r="277" spans="3:3" ht="15.75" customHeight="1">
      <c r="C277" s="273"/>
    </row>
    <row r="278" spans="3:3" ht="15.75" customHeight="1">
      <c r="C278" s="273"/>
    </row>
    <row r="279" spans="3:3" ht="15.75" customHeight="1">
      <c r="C279" s="273"/>
    </row>
    <row r="280" spans="3:3" ht="15.75" customHeight="1">
      <c r="C280" s="273"/>
    </row>
    <row r="281" spans="3:3" ht="15.75" customHeight="1">
      <c r="C281" s="273"/>
    </row>
    <row r="282" spans="3:3" ht="15.75" customHeight="1">
      <c r="C282" s="273"/>
    </row>
    <row r="283" spans="3:3" ht="15.75" customHeight="1">
      <c r="C283" s="273"/>
    </row>
    <row r="284" spans="3:3" ht="15.75" customHeight="1">
      <c r="C284" s="273"/>
    </row>
    <row r="285" spans="3:3" ht="15.75" customHeight="1">
      <c r="C285" s="273"/>
    </row>
    <row r="286" spans="3:3" ht="15.75" customHeight="1">
      <c r="C286" s="273"/>
    </row>
    <row r="287" spans="3:3" ht="15.75" customHeight="1">
      <c r="C287" s="273"/>
    </row>
    <row r="288" spans="3:3" ht="15.75" customHeight="1">
      <c r="C288" s="273"/>
    </row>
    <row r="289" spans="3:3" ht="15.75" customHeight="1">
      <c r="C289" s="273"/>
    </row>
    <row r="290" spans="3:3" ht="15.75" customHeight="1">
      <c r="C290" s="273"/>
    </row>
    <row r="291" spans="3:3" ht="15.75" customHeight="1">
      <c r="C291" s="273"/>
    </row>
    <row r="292" spans="3:3" ht="15.75" customHeight="1">
      <c r="C292" s="273"/>
    </row>
    <row r="293" spans="3:3" ht="15.75" customHeight="1">
      <c r="C293" s="273"/>
    </row>
    <row r="294" spans="3:3" ht="15.75" customHeight="1">
      <c r="C294" s="273"/>
    </row>
    <row r="295" spans="3:3" ht="15.75" customHeight="1">
      <c r="C295" s="273"/>
    </row>
    <row r="296" spans="3:3" ht="15.75" customHeight="1">
      <c r="C296" s="273"/>
    </row>
    <row r="297" spans="3:3" ht="15.75" customHeight="1">
      <c r="C297" s="273"/>
    </row>
    <row r="298" spans="3:3" ht="15.75" customHeight="1">
      <c r="C298" s="273"/>
    </row>
    <row r="299" spans="3:3" ht="15.75" customHeight="1">
      <c r="C299" s="273"/>
    </row>
    <row r="300" spans="3:3" ht="15.75" customHeight="1">
      <c r="C300" s="273"/>
    </row>
    <row r="301" spans="3:3" ht="15.75" customHeight="1">
      <c r="C301" s="273"/>
    </row>
    <row r="302" spans="3:3" ht="15.75" customHeight="1">
      <c r="C302" s="273"/>
    </row>
    <row r="303" spans="3:3" ht="15.75" customHeight="1">
      <c r="C303" s="273"/>
    </row>
    <row r="304" spans="3:3" ht="15.75" customHeight="1">
      <c r="C304" s="273"/>
    </row>
    <row r="305" spans="3:3" ht="15.75" customHeight="1">
      <c r="C305" s="273"/>
    </row>
    <row r="306" spans="3:3" ht="15.75" customHeight="1">
      <c r="C306" s="273"/>
    </row>
    <row r="307" spans="3:3" ht="15.75" customHeight="1">
      <c r="C307" s="273"/>
    </row>
    <row r="308" spans="3:3" ht="15.75" customHeight="1">
      <c r="C308" s="273"/>
    </row>
    <row r="309" spans="3:3" ht="15.75" customHeight="1">
      <c r="C309" s="273"/>
    </row>
    <row r="310" spans="3:3" ht="15.75" customHeight="1">
      <c r="C310" s="273"/>
    </row>
    <row r="311" spans="3:3" ht="15.75" customHeight="1">
      <c r="C311" s="273"/>
    </row>
    <row r="312" spans="3:3" ht="15.75" customHeight="1">
      <c r="C312" s="273"/>
    </row>
    <row r="313" spans="3:3" ht="15.75" customHeight="1">
      <c r="C313" s="273"/>
    </row>
    <row r="314" spans="3:3" ht="15.75" customHeight="1">
      <c r="C314" s="273"/>
    </row>
    <row r="315" spans="3:3" ht="15.75" customHeight="1">
      <c r="C315" s="273"/>
    </row>
    <row r="316" spans="3:3" ht="15.75" customHeight="1">
      <c r="C316" s="273"/>
    </row>
    <row r="317" spans="3:3" ht="15.75" customHeight="1">
      <c r="C317" s="273"/>
    </row>
    <row r="318" spans="3:3" ht="15.75" customHeight="1">
      <c r="C318" s="273"/>
    </row>
    <row r="319" spans="3:3" ht="15.75" customHeight="1">
      <c r="C319" s="273"/>
    </row>
    <row r="320" spans="3:3" ht="15.75" customHeight="1">
      <c r="C320" s="273"/>
    </row>
    <row r="321" spans="3:3" ht="15.75" customHeight="1">
      <c r="C321" s="273"/>
    </row>
    <row r="322" spans="3:3" ht="15.75" customHeight="1">
      <c r="C322" s="273"/>
    </row>
    <row r="323" spans="3:3" ht="15.75" customHeight="1">
      <c r="C323" s="273"/>
    </row>
    <row r="324" spans="3:3" ht="15.75" customHeight="1">
      <c r="C324" s="273"/>
    </row>
    <row r="325" spans="3:3" ht="15.75" customHeight="1">
      <c r="C325" s="273"/>
    </row>
    <row r="326" spans="3:3" ht="15.75" customHeight="1">
      <c r="C326" s="273"/>
    </row>
    <row r="327" spans="3:3" ht="15.75" customHeight="1">
      <c r="C327" s="273"/>
    </row>
    <row r="328" spans="3:3" ht="15.75" customHeight="1">
      <c r="C328" s="273"/>
    </row>
    <row r="329" spans="3:3" ht="15.75" customHeight="1">
      <c r="C329" s="273"/>
    </row>
    <row r="330" spans="3:3" ht="15.75" customHeight="1">
      <c r="C330" s="273"/>
    </row>
    <row r="331" spans="3:3" ht="15.75" customHeight="1">
      <c r="C331" s="273"/>
    </row>
    <row r="332" spans="3:3" ht="15.75" customHeight="1">
      <c r="C332" s="273"/>
    </row>
    <row r="333" spans="3:3" ht="15.75" customHeight="1">
      <c r="C333" s="273"/>
    </row>
    <row r="334" spans="3:3" ht="15.75" customHeight="1">
      <c r="C334" s="273"/>
    </row>
    <row r="335" spans="3:3" ht="15.75" customHeight="1">
      <c r="C335" s="273"/>
    </row>
    <row r="336" spans="3:3" ht="15.75" customHeight="1">
      <c r="C336" s="273"/>
    </row>
    <row r="337" spans="3:3" ht="15.75" customHeight="1">
      <c r="C337" s="273"/>
    </row>
    <row r="338" spans="3:3" ht="15.75" customHeight="1">
      <c r="C338" s="273"/>
    </row>
    <row r="339" spans="3:3" ht="15.75" customHeight="1">
      <c r="C339" s="273"/>
    </row>
    <row r="340" spans="3:3" ht="15.75" customHeight="1">
      <c r="C340" s="273"/>
    </row>
    <row r="341" spans="3:3" ht="15.75" customHeight="1">
      <c r="C341" s="273"/>
    </row>
    <row r="342" spans="3:3" ht="15.75" customHeight="1">
      <c r="C342" s="273"/>
    </row>
    <row r="343" spans="3:3" ht="15.75" customHeight="1">
      <c r="C343" s="273"/>
    </row>
    <row r="344" spans="3:3" ht="15.75" customHeight="1">
      <c r="C344" s="273"/>
    </row>
    <row r="345" spans="3:3" ht="15.75" customHeight="1">
      <c r="C345" s="273"/>
    </row>
    <row r="346" spans="3:3" ht="15.75" customHeight="1">
      <c r="C346" s="273"/>
    </row>
    <row r="347" spans="3:3" ht="15.75" customHeight="1">
      <c r="C347" s="273"/>
    </row>
    <row r="348" spans="3:3" ht="15.75" customHeight="1">
      <c r="C348" s="273"/>
    </row>
    <row r="349" spans="3:3" ht="15.75" customHeight="1">
      <c r="C349" s="273"/>
    </row>
    <row r="350" spans="3:3" ht="15.75" customHeight="1">
      <c r="C350" s="273"/>
    </row>
    <row r="351" spans="3:3" ht="15.75" customHeight="1">
      <c r="C351" s="273"/>
    </row>
    <row r="352" spans="3:3" ht="15.75" customHeight="1">
      <c r="C352" s="273"/>
    </row>
    <row r="353" spans="3:3" ht="15.75" customHeight="1">
      <c r="C353" s="273"/>
    </row>
    <row r="354" spans="3:3" ht="15.75" customHeight="1">
      <c r="C354" s="273"/>
    </row>
    <row r="355" spans="3:3" ht="15.75" customHeight="1">
      <c r="C355" s="273"/>
    </row>
    <row r="356" spans="3:3" ht="15.75" customHeight="1">
      <c r="C356" s="273"/>
    </row>
    <row r="357" spans="3:3" ht="15.75" customHeight="1">
      <c r="C357" s="273"/>
    </row>
    <row r="358" spans="3:3" ht="15.75" customHeight="1">
      <c r="C358" s="273"/>
    </row>
    <row r="359" spans="3:3" ht="15.75" customHeight="1">
      <c r="C359" s="273"/>
    </row>
    <row r="360" spans="3:3" ht="15.75" customHeight="1">
      <c r="C360" s="273"/>
    </row>
    <row r="361" spans="3:3" ht="15.75" customHeight="1">
      <c r="C361" s="273"/>
    </row>
    <row r="362" spans="3:3" ht="15.75" customHeight="1">
      <c r="C362" s="273"/>
    </row>
    <row r="363" spans="3:3" ht="15.75" customHeight="1">
      <c r="C363" s="273"/>
    </row>
    <row r="364" spans="3:3" ht="15.75" customHeight="1">
      <c r="C364" s="273"/>
    </row>
    <row r="365" spans="3:3" ht="15.75" customHeight="1">
      <c r="C365" s="273"/>
    </row>
    <row r="366" spans="3:3" ht="15.75" customHeight="1">
      <c r="C366" s="273"/>
    </row>
    <row r="367" spans="3:3" ht="15.75" customHeight="1">
      <c r="C367" s="273"/>
    </row>
    <row r="368" spans="3:3" ht="15.75" customHeight="1">
      <c r="C368" s="273"/>
    </row>
    <row r="369" spans="3:3" ht="15.75" customHeight="1">
      <c r="C369" s="273"/>
    </row>
    <row r="370" spans="3:3" ht="15.75" customHeight="1">
      <c r="C370" s="273"/>
    </row>
    <row r="371" spans="3:3" ht="15.75" customHeight="1">
      <c r="C371" s="273"/>
    </row>
    <row r="372" spans="3:3" ht="15.75" customHeight="1">
      <c r="C372" s="273"/>
    </row>
    <row r="373" spans="3:3" ht="15.75" customHeight="1">
      <c r="C373" s="273"/>
    </row>
    <row r="374" spans="3:3" ht="15.75" customHeight="1">
      <c r="C374" s="273"/>
    </row>
    <row r="375" spans="3:3" ht="15.75" customHeight="1">
      <c r="C375" s="273"/>
    </row>
    <row r="376" spans="3:3" ht="15.75" customHeight="1">
      <c r="C376" s="273"/>
    </row>
    <row r="377" spans="3:3" ht="15.75" customHeight="1">
      <c r="C377" s="273"/>
    </row>
    <row r="378" spans="3:3" ht="15.75" customHeight="1">
      <c r="C378" s="273"/>
    </row>
    <row r="379" spans="3:3" ht="15.75" customHeight="1">
      <c r="C379" s="273"/>
    </row>
    <row r="380" spans="3:3" ht="15.75" customHeight="1">
      <c r="C380" s="273"/>
    </row>
    <row r="381" spans="3:3" ht="15.75" customHeight="1">
      <c r="C381" s="273"/>
    </row>
    <row r="382" spans="3:3" ht="15.75" customHeight="1">
      <c r="C382" s="273"/>
    </row>
    <row r="383" spans="3:3" ht="15.75" customHeight="1">
      <c r="C383" s="273"/>
    </row>
    <row r="384" spans="3:3" ht="15.75" customHeight="1">
      <c r="C384" s="273"/>
    </row>
    <row r="385" spans="3:3" ht="15.75" customHeight="1">
      <c r="C385" s="273"/>
    </row>
    <row r="386" spans="3:3" ht="15.75" customHeight="1">
      <c r="C386" s="273"/>
    </row>
    <row r="387" spans="3:3" ht="15.75" customHeight="1">
      <c r="C387" s="273"/>
    </row>
    <row r="388" spans="3:3" ht="15.75" customHeight="1">
      <c r="C388" s="273"/>
    </row>
    <row r="389" spans="3:3" ht="15.75" customHeight="1">
      <c r="C389" s="273"/>
    </row>
    <row r="390" spans="3:3" ht="15.75" customHeight="1">
      <c r="C390" s="273"/>
    </row>
    <row r="391" spans="3:3" ht="15.75" customHeight="1">
      <c r="C391" s="273"/>
    </row>
    <row r="392" spans="3:3" ht="15.75" customHeight="1">
      <c r="C392" s="273"/>
    </row>
    <row r="393" spans="3:3" ht="15.75" customHeight="1">
      <c r="C393" s="273"/>
    </row>
    <row r="394" spans="3:3" ht="15.75" customHeight="1">
      <c r="C394" s="273"/>
    </row>
    <row r="395" spans="3:3" ht="15.75" customHeight="1">
      <c r="C395" s="273"/>
    </row>
    <row r="396" spans="3:3" ht="15.75" customHeight="1">
      <c r="C396" s="273"/>
    </row>
    <row r="397" spans="3:3" ht="15.75" customHeight="1">
      <c r="C397" s="273"/>
    </row>
    <row r="398" spans="3:3" ht="15.75" customHeight="1">
      <c r="C398" s="273"/>
    </row>
    <row r="399" spans="3:3" ht="15.75" customHeight="1">
      <c r="C399" s="273"/>
    </row>
    <row r="400" spans="3:3" ht="15.75" customHeight="1">
      <c r="C400" s="273"/>
    </row>
    <row r="401" spans="3:3" ht="15.75" customHeight="1">
      <c r="C401" s="273"/>
    </row>
    <row r="402" spans="3:3" ht="15.75" customHeight="1">
      <c r="C402" s="273"/>
    </row>
    <row r="403" spans="3:3" ht="15.75" customHeight="1">
      <c r="C403" s="273"/>
    </row>
    <row r="404" spans="3:3" ht="15.75" customHeight="1">
      <c r="C404" s="273"/>
    </row>
    <row r="405" spans="3:3" ht="15.75" customHeight="1">
      <c r="C405" s="273"/>
    </row>
    <row r="406" spans="3:3" ht="15.75" customHeight="1">
      <c r="C406" s="273"/>
    </row>
    <row r="407" spans="3:3" ht="15.75" customHeight="1">
      <c r="C407" s="273"/>
    </row>
    <row r="408" spans="3:3" ht="15.75" customHeight="1">
      <c r="C408" s="273"/>
    </row>
    <row r="409" spans="3:3" ht="15.75" customHeight="1">
      <c r="C409" s="273"/>
    </row>
    <row r="410" spans="3:3" ht="15.75" customHeight="1">
      <c r="C410" s="273"/>
    </row>
    <row r="411" spans="3:3" ht="15.75" customHeight="1">
      <c r="C411" s="273"/>
    </row>
    <row r="412" spans="3:3" ht="15.75" customHeight="1">
      <c r="C412" s="273"/>
    </row>
    <row r="413" spans="3:3" ht="15.75" customHeight="1">
      <c r="C413" s="273"/>
    </row>
    <row r="414" spans="3:3" ht="15.75" customHeight="1">
      <c r="C414" s="273"/>
    </row>
    <row r="415" spans="3:3" ht="15.75" customHeight="1">
      <c r="C415" s="273"/>
    </row>
    <row r="416" spans="3:3" ht="15.75" customHeight="1">
      <c r="C416" s="273"/>
    </row>
    <row r="417" spans="3:3" ht="15.75" customHeight="1">
      <c r="C417" s="273"/>
    </row>
    <row r="418" spans="3:3" ht="15.75" customHeight="1">
      <c r="C418" s="273"/>
    </row>
    <row r="419" spans="3:3" ht="15.75" customHeight="1">
      <c r="C419" s="273"/>
    </row>
    <row r="420" spans="3:3" ht="15.75" customHeight="1">
      <c r="C420" s="273"/>
    </row>
    <row r="421" spans="3:3" ht="15.75" customHeight="1">
      <c r="C421" s="273"/>
    </row>
    <row r="422" spans="3:3" ht="15.75" customHeight="1">
      <c r="C422" s="273"/>
    </row>
    <row r="423" spans="3:3" ht="15.75" customHeight="1">
      <c r="C423" s="273"/>
    </row>
    <row r="424" spans="3:3" ht="15.75" customHeight="1">
      <c r="C424" s="273"/>
    </row>
    <row r="425" spans="3:3" ht="15.75" customHeight="1">
      <c r="C425" s="273"/>
    </row>
    <row r="426" spans="3:3" ht="15.75" customHeight="1">
      <c r="C426" s="273"/>
    </row>
    <row r="427" spans="3:3" ht="15.75" customHeight="1">
      <c r="C427" s="273"/>
    </row>
    <row r="428" spans="3:3" ht="15.75" customHeight="1">
      <c r="C428" s="273"/>
    </row>
    <row r="429" spans="3:3" ht="15.75" customHeight="1">
      <c r="C429" s="273"/>
    </row>
    <row r="430" spans="3:3" ht="15.75" customHeight="1">
      <c r="C430" s="273"/>
    </row>
    <row r="431" spans="3:3" ht="15.75" customHeight="1">
      <c r="C431" s="273"/>
    </row>
    <row r="432" spans="3:3" ht="15.75" customHeight="1">
      <c r="C432" s="273"/>
    </row>
    <row r="433" spans="3:3" ht="15.75" customHeight="1">
      <c r="C433" s="273"/>
    </row>
    <row r="434" spans="3:3" ht="15.75" customHeight="1">
      <c r="C434" s="273"/>
    </row>
    <row r="435" spans="3:3" ht="15.75" customHeight="1">
      <c r="C435" s="273"/>
    </row>
    <row r="436" spans="3:3" ht="15.75" customHeight="1">
      <c r="C436" s="273"/>
    </row>
    <row r="437" spans="3:3" ht="15.75" customHeight="1">
      <c r="C437" s="273"/>
    </row>
    <row r="438" spans="3:3" ht="15.75" customHeight="1">
      <c r="C438" s="273"/>
    </row>
    <row r="439" spans="3:3" ht="15.75" customHeight="1">
      <c r="C439" s="273"/>
    </row>
    <row r="440" spans="3:3" ht="15.75" customHeight="1">
      <c r="C440" s="273"/>
    </row>
    <row r="441" spans="3:3" ht="15.75" customHeight="1">
      <c r="C441" s="273"/>
    </row>
    <row r="442" spans="3:3" ht="15.75" customHeight="1">
      <c r="C442" s="273"/>
    </row>
    <row r="443" spans="3:3" ht="15.75" customHeight="1">
      <c r="C443" s="273"/>
    </row>
    <row r="444" spans="3:3" ht="15.75" customHeight="1">
      <c r="C444" s="273"/>
    </row>
    <row r="445" spans="3:3" ht="15.75" customHeight="1">
      <c r="C445" s="273"/>
    </row>
    <row r="446" spans="3:3" ht="15.75" customHeight="1">
      <c r="C446" s="273"/>
    </row>
    <row r="447" spans="3:3" ht="15.75" customHeight="1">
      <c r="C447" s="273"/>
    </row>
    <row r="448" spans="3:3" ht="15.75" customHeight="1">
      <c r="C448" s="273"/>
    </row>
    <row r="449" spans="3:3" ht="15.75" customHeight="1">
      <c r="C449" s="273"/>
    </row>
    <row r="450" spans="3:3" ht="15.75" customHeight="1">
      <c r="C450" s="273"/>
    </row>
    <row r="451" spans="3:3" ht="15.75" customHeight="1">
      <c r="C451" s="273"/>
    </row>
    <row r="452" spans="3:3" ht="15.75" customHeight="1">
      <c r="C452" s="273"/>
    </row>
    <row r="453" spans="3:3" ht="15.75" customHeight="1">
      <c r="C453" s="273"/>
    </row>
    <row r="454" spans="3:3" ht="15.75" customHeight="1">
      <c r="C454" s="273"/>
    </row>
    <row r="455" spans="3:3" ht="15.75" customHeight="1">
      <c r="C455" s="273"/>
    </row>
    <row r="456" spans="3:3" ht="15.75" customHeight="1">
      <c r="C456" s="273"/>
    </row>
    <row r="457" spans="3:3" ht="15.75" customHeight="1">
      <c r="C457" s="273"/>
    </row>
    <row r="458" spans="3:3" ht="15.75" customHeight="1">
      <c r="C458" s="273"/>
    </row>
    <row r="459" spans="3:3" ht="15.75" customHeight="1">
      <c r="C459" s="273"/>
    </row>
    <row r="460" spans="3:3" ht="15.75" customHeight="1">
      <c r="C460" s="273"/>
    </row>
    <row r="461" spans="3:3" ht="15.75" customHeight="1">
      <c r="C461" s="273"/>
    </row>
    <row r="462" spans="3:3" ht="15.75" customHeight="1">
      <c r="C462" s="273"/>
    </row>
    <row r="463" spans="3:3" ht="15.75" customHeight="1">
      <c r="C463" s="273"/>
    </row>
    <row r="464" spans="3:3" ht="15.75" customHeight="1">
      <c r="C464" s="273"/>
    </row>
    <row r="465" spans="3:3" ht="15.75" customHeight="1">
      <c r="C465" s="273"/>
    </row>
    <row r="466" spans="3:3" ht="15.75" customHeight="1">
      <c r="C466" s="273"/>
    </row>
    <row r="467" spans="3:3" ht="15.75" customHeight="1">
      <c r="C467" s="273"/>
    </row>
    <row r="468" spans="3:3" ht="15.75" customHeight="1">
      <c r="C468" s="273"/>
    </row>
    <row r="469" spans="3:3" ht="15.75" customHeight="1">
      <c r="C469" s="273"/>
    </row>
    <row r="470" spans="3:3" ht="15.75" customHeight="1">
      <c r="C470" s="273"/>
    </row>
    <row r="471" spans="3:3" ht="15.75" customHeight="1">
      <c r="C471" s="273"/>
    </row>
    <row r="472" spans="3:3" ht="15.75" customHeight="1">
      <c r="C472" s="273"/>
    </row>
    <row r="473" spans="3:3" ht="15.75" customHeight="1">
      <c r="C473" s="273"/>
    </row>
    <row r="474" spans="3:3" ht="15.75" customHeight="1">
      <c r="C474" s="273"/>
    </row>
    <row r="475" spans="3:3" ht="15.75" customHeight="1">
      <c r="C475" s="273"/>
    </row>
    <row r="476" spans="3:3" ht="15.75" customHeight="1">
      <c r="C476" s="273"/>
    </row>
    <row r="477" spans="3:3" ht="15.75" customHeight="1">
      <c r="C477" s="273"/>
    </row>
    <row r="478" spans="3:3" ht="15.75" customHeight="1">
      <c r="C478" s="273"/>
    </row>
    <row r="479" spans="3:3" ht="15.75" customHeight="1">
      <c r="C479" s="273"/>
    </row>
    <row r="480" spans="3:3" ht="15.75" customHeight="1">
      <c r="C480" s="273"/>
    </row>
    <row r="481" spans="3:3" ht="15.75" customHeight="1">
      <c r="C481" s="273"/>
    </row>
    <row r="482" spans="3:3" ht="15.75" customHeight="1">
      <c r="C482" s="273"/>
    </row>
    <row r="483" spans="3:3" ht="15.75" customHeight="1">
      <c r="C483" s="273"/>
    </row>
    <row r="484" spans="3:3" ht="15.75" customHeight="1">
      <c r="C484" s="273"/>
    </row>
    <row r="485" spans="3:3" ht="15.75" customHeight="1">
      <c r="C485" s="273"/>
    </row>
    <row r="486" spans="3:3" ht="15.75" customHeight="1">
      <c r="C486" s="273"/>
    </row>
    <row r="487" spans="3:3" ht="15.75" customHeight="1">
      <c r="C487" s="273"/>
    </row>
    <row r="488" spans="3:3" ht="15.75" customHeight="1">
      <c r="C488" s="273"/>
    </row>
    <row r="489" spans="3:3" ht="15.75" customHeight="1">
      <c r="C489" s="273"/>
    </row>
    <row r="490" spans="3:3" ht="15.75" customHeight="1">
      <c r="C490" s="273"/>
    </row>
    <row r="491" spans="3:3" ht="15.75" customHeight="1">
      <c r="C491" s="273"/>
    </row>
    <row r="492" spans="3:3" ht="15.75" customHeight="1">
      <c r="C492" s="273"/>
    </row>
    <row r="493" spans="3:3" ht="15.75" customHeight="1">
      <c r="C493" s="273"/>
    </row>
    <row r="494" spans="3:3" ht="15.75" customHeight="1">
      <c r="C494" s="273"/>
    </row>
    <row r="495" spans="3:3" ht="15.75" customHeight="1">
      <c r="C495" s="273"/>
    </row>
    <row r="496" spans="3:3" ht="15.75" customHeight="1">
      <c r="C496" s="273"/>
    </row>
    <row r="497" spans="3:3" ht="15.75" customHeight="1">
      <c r="C497" s="273"/>
    </row>
    <row r="498" spans="3:3" ht="15.75" customHeight="1">
      <c r="C498" s="273"/>
    </row>
    <row r="499" spans="3:3" ht="15.75" customHeight="1">
      <c r="C499" s="273"/>
    </row>
    <row r="500" spans="3:3" ht="15.75" customHeight="1">
      <c r="C500" s="273"/>
    </row>
    <row r="501" spans="3:3" ht="15.75" customHeight="1">
      <c r="C501" s="273"/>
    </row>
    <row r="502" spans="3:3" ht="15.75" customHeight="1">
      <c r="C502" s="273"/>
    </row>
    <row r="503" spans="3:3" ht="15.75" customHeight="1">
      <c r="C503" s="273"/>
    </row>
    <row r="504" spans="3:3" ht="15.75" customHeight="1">
      <c r="C504" s="273"/>
    </row>
    <row r="505" spans="3:3" ht="15.75" customHeight="1">
      <c r="C505" s="273"/>
    </row>
    <row r="506" spans="3:3" ht="15.75" customHeight="1">
      <c r="C506" s="273"/>
    </row>
    <row r="507" spans="3:3" ht="15.75" customHeight="1">
      <c r="C507" s="273"/>
    </row>
    <row r="508" spans="3:3" ht="15.75" customHeight="1">
      <c r="C508" s="273"/>
    </row>
    <row r="509" spans="3:3" ht="15.75" customHeight="1">
      <c r="C509" s="273"/>
    </row>
    <row r="510" spans="3:3" ht="15.75" customHeight="1">
      <c r="C510" s="273"/>
    </row>
    <row r="511" spans="3:3" ht="15.75" customHeight="1">
      <c r="C511" s="273"/>
    </row>
    <row r="512" spans="3:3" ht="15.75" customHeight="1">
      <c r="C512" s="273"/>
    </row>
    <row r="513" spans="3:3" ht="15.75" customHeight="1">
      <c r="C513" s="273"/>
    </row>
    <row r="514" spans="3:3" ht="15.75" customHeight="1">
      <c r="C514" s="273"/>
    </row>
    <row r="515" spans="3:3" ht="15.75" customHeight="1">
      <c r="C515" s="273"/>
    </row>
    <row r="516" spans="3:3" ht="15.75" customHeight="1">
      <c r="C516" s="273"/>
    </row>
    <row r="517" spans="3:3" ht="15.75" customHeight="1">
      <c r="C517" s="273"/>
    </row>
    <row r="518" spans="3:3" ht="15.75" customHeight="1">
      <c r="C518" s="273"/>
    </row>
    <row r="519" spans="3:3" ht="15.75" customHeight="1">
      <c r="C519" s="273"/>
    </row>
    <row r="520" spans="3:3" ht="15.75" customHeight="1">
      <c r="C520" s="273"/>
    </row>
    <row r="521" spans="3:3" ht="15.75" customHeight="1">
      <c r="C521" s="273"/>
    </row>
    <row r="522" spans="3:3" ht="15.75" customHeight="1">
      <c r="C522" s="273"/>
    </row>
    <row r="523" spans="3:3" ht="15.75" customHeight="1">
      <c r="C523" s="273"/>
    </row>
    <row r="524" spans="3:3" ht="15.75" customHeight="1">
      <c r="C524" s="273"/>
    </row>
    <row r="525" spans="3:3" ht="15.75" customHeight="1">
      <c r="C525" s="273"/>
    </row>
    <row r="526" spans="3:3" ht="15.75" customHeight="1">
      <c r="C526" s="273"/>
    </row>
    <row r="527" spans="3:3" ht="15.75" customHeight="1">
      <c r="C527" s="273"/>
    </row>
    <row r="528" spans="3:3" ht="15.75" customHeight="1">
      <c r="C528" s="273"/>
    </row>
    <row r="529" spans="3:3" ht="15.75" customHeight="1">
      <c r="C529" s="273"/>
    </row>
    <row r="530" spans="3:3" ht="15.75" customHeight="1">
      <c r="C530" s="273"/>
    </row>
    <row r="531" spans="3:3" ht="15.75" customHeight="1">
      <c r="C531" s="273"/>
    </row>
    <row r="532" spans="3:3" ht="15.75" customHeight="1">
      <c r="C532" s="273"/>
    </row>
    <row r="533" spans="3:3" ht="15.75" customHeight="1">
      <c r="C533" s="273"/>
    </row>
    <row r="534" spans="3:3" ht="15.75" customHeight="1">
      <c r="C534" s="273"/>
    </row>
    <row r="535" spans="3:3" ht="15.75" customHeight="1">
      <c r="C535" s="273"/>
    </row>
    <row r="536" spans="3:3" ht="15.75" customHeight="1">
      <c r="C536" s="273"/>
    </row>
    <row r="537" spans="3:3" ht="15.75" customHeight="1">
      <c r="C537" s="273"/>
    </row>
    <row r="538" spans="3:3" ht="15.75" customHeight="1">
      <c r="C538" s="273"/>
    </row>
    <row r="539" spans="3:3" ht="15.75" customHeight="1">
      <c r="C539" s="273"/>
    </row>
    <row r="540" spans="3:3" ht="15.75" customHeight="1">
      <c r="C540" s="273"/>
    </row>
    <row r="541" spans="3:3" ht="15.75" customHeight="1">
      <c r="C541" s="273"/>
    </row>
    <row r="542" spans="3:3" ht="15.75" customHeight="1">
      <c r="C542" s="273"/>
    </row>
    <row r="543" spans="3:3" ht="15.75" customHeight="1">
      <c r="C543" s="273"/>
    </row>
    <row r="544" spans="3:3" ht="15.75" customHeight="1">
      <c r="C544" s="273"/>
    </row>
    <row r="545" spans="3:3" ht="15.75" customHeight="1">
      <c r="C545" s="273"/>
    </row>
    <row r="546" spans="3:3" ht="15.75" customHeight="1">
      <c r="C546" s="273"/>
    </row>
    <row r="547" spans="3:3" ht="15.75" customHeight="1">
      <c r="C547" s="273"/>
    </row>
    <row r="548" spans="3:3" ht="15.75" customHeight="1">
      <c r="C548" s="273"/>
    </row>
    <row r="549" spans="3:3" ht="15.75" customHeight="1">
      <c r="C549" s="273"/>
    </row>
    <row r="550" spans="3:3" ht="15.75" customHeight="1">
      <c r="C550" s="273"/>
    </row>
    <row r="551" spans="3:3" ht="15.75" customHeight="1">
      <c r="C551" s="273"/>
    </row>
    <row r="552" spans="3:3" ht="15.75" customHeight="1">
      <c r="C552" s="273"/>
    </row>
    <row r="553" spans="3:3" ht="15.75" customHeight="1">
      <c r="C553" s="273"/>
    </row>
    <row r="554" spans="3:3" ht="15.75" customHeight="1">
      <c r="C554" s="273"/>
    </row>
    <row r="555" spans="3:3" ht="15.75" customHeight="1">
      <c r="C555" s="273"/>
    </row>
    <row r="556" spans="3:3" ht="15.75" customHeight="1">
      <c r="C556" s="273"/>
    </row>
    <row r="557" spans="3:3" ht="15.75" customHeight="1">
      <c r="C557" s="273"/>
    </row>
    <row r="558" spans="3:3" ht="15.75" customHeight="1">
      <c r="C558" s="273"/>
    </row>
    <row r="559" spans="3:3" ht="15.75" customHeight="1">
      <c r="C559" s="273"/>
    </row>
    <row r="560" spans="3:3" ht="15.75" customHeight="1">
      <c r="C560" s="273"/>
    </row>
    <row r="561" spans="3:3" ht="15.75" customHeight="1">
      <c r="C561" s="273"/>
    </row>
    <row r="562" spans="3:3" ht="15.75" customHeight="1">
      <c r="C562" s="273"/>
    </row>
    <row r="563" spans="3:3" ht="15.75" customHeight="1">
      <c r="C563" s="273"/>
    </row>
    <row r="564" spans="3:3" ht="15.75" customHeight="1">
      <c r="C564" s="273"/>
    </row>
    <row r="565" spans="3:3" ht="15.75" customHeight="1">
      <c r="C565" s="273"/>
    </row>
    <row r="566" spans="3:3" ht="15.75" customHeight="1">
      <c r="C566" s="273"/>
    </row>
    <row r="567" spans="3:3" ht="15.75" customHeight="1">
      <c r="C567" s="273"/>
    </row>
    <row r="568" spans="3:3" ht="15.75" customHeight="1">
      <c r="C568" s="273"/>
    </row>
    <row r="569" spans="3:3" ht="15.75" customHeight="1">
      <c r="C569" s="273"/>
    </row>
    <row r="570" spans="3:3" ht="15.75" customHeight="1">
      <c r="C570" s="273"/>
    </row>
    <row r="571" spans="3:3" ht="15.75" customHeight="1">
      <c r="C571" s="273"/>
    </row>
    <row r="572" spans="3:3" ht="15.75" customHeight="1">
      <c r="C572" s="273"/>
    </row>
    <row r="573" spans="3:3" ht="15.75" customHeight="1">
      <c r="C573" s="273"/>
    </row>
    <row r="574" spans="3:3" ht="15.75" customHeight="1">
      <c r="C574" s="273"/>
    </row>
    <row r="575" spans="3:3" ht="15.75" customHeight="1">
      <c r="C575" s="273"/>
    </row>
    <row r="576" spans="3:3" ht="15.75" customHeight="1">
      <c r="C576" s="273"/>
    </row>
    <row r="577" spans="3:3" ht="15.75" customHeight="1">
      <c r="C577" s="273"/>
    </row>
    <row r="578" spans="3:3" ht="15.75" customHeight="1">
      <c r="C578" s="273"/>
    </row>
    <row r="579" spans="3:3" ht="15.75" customHeight="1">
      <c r="C579" s="273"/>
    </row>
    <row r="580" spans="3:3" ht="15.75" customHeight="1">
      <c r="C580" s="273"/>
    </row>
    <row r="581" spans="3:3" ht="15.75" customHeight="1">
      <c r="C581" s="273"/>
    </row>
    <row r="582" spans="3:3" ht="15.75" customHeight="1">
      <c r="C582" s="273"/>
    </row>
    <row r="583" spans="3:3" ht="15.75" customHeight="1">
      <c r="C583" s="273"/>
    </row>
    <row r="584" spans="3:3" ht="15.75" customHeight="1">
      <c r="C584" s="273"/>
    </row>
    <row r="585" spans="3:3" ht="15.75" customHeight="1">
      <c r="C585" s="273"/>
    </row>
    <row r="586" spans="3:3" ht="15.75" customHeight="1">
      <c r="C586" s="273"/>
    </row>
    <row r="587" spans="3:3" ht="15.75" customHeight="1">
      <c r="C587" s="273"/>
    </row>
    <row r="588" spans="3:3" ht="15.75" customHeight="1">
      <c r="C588" s="273"/>
    </row>
    <row r="589" spans="3:3" ht="15.75" customHeight="1">
      <c r="C589" s="273"/>
    </row>
    <row r="590" spans="3:3" ht="15.75" customHeight="1">
      <c r="C590" s="273"/>
    </row>
    <row r="591" spans="3:3" ht="15.75" customHeight="1">
      <c r="C591" s="273"/>
    </row>
    <row r="592" spans="3:3" ht="15.75" customHeight="1">
      <c r="C592" s="273"/>
    </row>
    <row r="593" spans="3:3" ht="15.75" customHeight="1">
      <c r="C593" s="273"/>
    </row>
    <row r="594" spans="3:3" ht="15.75" customHeight="1">
      <c r="C594" s="273"/>
    </row>
    <row r="595" spans="3:3" ht="15.75" customHeight="1">
      <c r="C595" s="273"/>
    </row>
    <row r="596" spans="3:3" ht="15.75" customHeight="1">
      <c r="C596" s="273"/>
    </row>
    <row r="597" spans="3:3" ht="15.75" customHeight="1">
      <c r="C597" s="273"/>
    </row>
    <row r="598" spans="3:3" ht="15.75" customHeight="1">
      <c r="C598" s="273"/>
    </row>
    <row r="599" spans="3:3" ht="15.75" customHeight="1">
      <c r="C599" s="273"/>
    </row>
    <row r="600" spans="3:3" ht="15.75" customHeight="1">
      <c r="C600" s="273"/>
    </row>
    <row r="601" spans="3:3" ht="15.75" customHeight="1">
      <c r="C601" s="273"/>
    </row>
    <row r="602" spans="3:3" ht="15.75" customHeight="1">
      <c r="C602" s="273"/>
    </row>
    <row r="603" spans="3:3" ht="15.75" customHeight="1">
      <c r="C603" s="273"/>
    </row>
    <row r="604" spans="3:3" ht="15.75" customHeight="1">
      <c r="C604" s="273"/>
    </row>
    <row r="605" spans="3:3" ht="15.75" customHeight="1">
      <c r="C605" s="273"/>
    </row>
    <row r="606" spans="3:3" ht="15.75" customHeight="1">
      <c r="C606" s="273"/>
    </row>
    <row r="607" spans="3:3" ht="15.75" customHeight="1">
      <c r="C607" s="273"/>
    </row>
    <row r="608" spans="3:3" ht="15.75" customHeight="1">
      <c r="C608" s="273"/>
    </row>
    <row r="609" spans="3:3" ht="15.75" customHeight="1">
      <c r="C609" s="273"/>
    </row>
    <row r="610" spans="3:3" ht="15.75" customHeight="1">
      <c r="C610" s="273"/>
    </row>
    <row r="611" spans="3:3" ht="15.75" customHeight="1">
      <c r="C611" s="273"/>
    </row>
    <row r="612" spans="3:3" ht="15.75" customHeight="1">
      <c r="C612" s="273"/>
    </row>
    <row r="613" spans="3:3" ht="15.75" customHeight="1">
      <c r="C613" s="273"/>
    </row>
    <row r="614" spans="3:3" ht="15.75" customHeight="1">
      <c r="C614" s="273"/>
    </row>
    <row r="615" spans="3:3" ht="15.75" customHeight="1">
      <c r="C615" s="273"/>
    </row>
    <row r="616" spans="3:3" ht="15.75" customHeight="1">
      <c r="C616" s="273"/>
    </row>
    <row r="617" spans="3:3" ht="15.75" customHeight="1">
      <c r="C617" s="273"/>
    </row>
    <row r="618" spans="3:3" ht="15.75" customHeight="1">
      <c r="C618" s="273"/>
    </row>
    <row r="619" spans="3:3" ht="15.75" customHeight="1">
      <c r="C619" s="273"/>
    </row>
    <row r="620" spans="3:3" ht="15.75" customHeight="1">
      <c r="C620" s="273"/>
    </row>
    <row r="621" spans="3:3" ht="15.75" customHeight="1">
      <c r="C621" s="273"/>
    </row>
    <row r="622" spans="3:3" ht="15.75" customHeight="1">
      <c r="C622" s="273"/>
    </row>
    <row r="623" spans="3:3" ht="15.75" customHeight="1">
      <c r="C623" s="273"/>
    </row>
    <row r="624" spans="3:3" ht="15.75" customHeight="1">
      <c r="C624" s="273"/>
    </row>
    <row r="625" spans="3:3" ht="15.75" customHeight="1">
      <c r="C625" s="273"/>
    </row>
    <row r="626" spans="3:3" ht="15.75" customHeight="1">
      <c r="C626" s="273"/>
    </row>
    <row r="627" spans="3:3" ht="15.75" customHeight="1">
      <c r="C627" s="273"/>
    </row>
    <row r="628" spans="3:3" ht="15.75" customHeight="1">
      <c r="C628" s="273"/>
    </row>
    <row r="629" spans="3:3" ht="15.75" customHeight="1">
      <c r="C629" s="273"/>
    </row>
    <row r="630" spans="3:3" ht="15.75" customHeight="1">
      <c r="C630" s="273"/>
    </row>
    <row r="631" spans="3:3" ht="15.75" customHeight="1">
      <c r="C631" s="273"/>
    </row>
    <row r="632" spans="3:3" ht="15.75" customHeight="1">
      <c r="C632" s="273"/>
    </row>
    <row r="633" spans="3:3" ht="15.75" customHeight="1">
      <c r="C633" s="273"/>
    </row>
    <row r="634" spans="3:3" ht="15.75" customHeight="1">
      <c r="C634" s="273"/>
    </row>
    <row r="635" spans="3:3" ht="15.75" customHeight="1">
      <c r="C635" s="273"/>
    </row>
    <row r="636" spans="3:3" ht="15.75" customHeight="1">
      <c r="C636" s="273"/>
    </row>
    <row r="637" spans="3:3" ht="15.75" customHeight="1">
      <c r="C637" s="273"/>
    </row>
    <row r="638" spans="3:3" ht="15.75" customHeight="1">
      <c r="C638" s="273"/>
    </row>
    <row r="639" spans="3:3" ht="15.75" customHeight="1">
      <c r="C639" s="273"/>
    </row>
    <row r="640" spans="3:3" ht="15.75" customHeight="1">
      <c r="C640" s="273"/>
    </row>
    <row r="641" spans="3:3" ht="15.75" customHeight="1">
      <c r="C641" s="273"/>
    </row>
    <row r="642" spans="3:3" ht="15.75" customHeight="1">
      <c r="C642" s="273"/>
    </row>
    <row r="643" spans="3:3" ht="15.75" customHeight="1">
      <c r="C643" s="273"/>
    </row>
    <row r="644" spans="3:3" ht="15.75" customHeight="1">
      <c r="C644" s="273"/>
    </row>
    <row r="645" spans="3:3" ht="15.75" customHeight="1">
      <c r="C645" s="273"/>
    </row>
    <row r="646" spans="3:3" ht="15.75" customHeight="1">
      <c r="C646" s="273"/>
    </row>
    <row r="647" spans="3:3" ht="15.75" customHeight="1">
      <c r="C647" s="273"/>
    </row>
    <row r="648" spans="3:3" ht="15.75" customHeight="1">
      <c r="C648" s="273"/>
    </row>
    <row r="649" spans="3:3" ht="15.75" customHeight="1">
      <c r="C649" s="273"/>
    </row>
    <row r="650" spans="3:3" ht="15.75" customHeight="1">
      <c r="C650" s="273"/>
    </row>
    <row r="651" spans="3:3" ht="15.75" customHeight="1">
      <c r="C651" s="273"/>
    </row>
    <row r="652" spans="3:3" ht="15.75" customHeight="1">
      <c r="C652" s="273"/>
    </row>
    <row r="653" spans="3:3" ht="15.75" customHeight="1">
      <c r="C653" s="273"/>
    </row>
    <row r="654" spans="3:3" ht="15.75" customHeight="1">
      <c r="C654" s="273"/>
    </row>
    <row r="655" spans="3:3" ht="15.75" customHeight="1">
      <c r="C655" s="273"/>
    </row>
    <row r="656" spans="3:3" ht="15.75" customHeight="1">
      <c r="C656" s="273"/>
    </row>
    <row r="657" spans="3:3" ht="15.75" customHeight="1">
      <c r="C657" s="273"/>
    </row>
    <row r="658" spans="3:3" ht="15.75" customHeight="1">
      <c r="C658" s="273"/>
    </row>
    <row r="659" spans="3:3" ht="15.75" customHeight="1">
      <c r="C659" s="273"/>
    </row>
    <row r="660" spans="3:3" ht="15.75" customHeight="1">
      <c r="C660" s="273"/>
    </row>
    <row r="661" spans="3:3" ht="15.75" customHeight="1">
      <c r="C661" s="273"/>
    </row>
    <row r="662" spans="3:3" ht="15.75" customHeight="1">
      <c r="C662" s="273"/>
    </row>
    <row r="663" spans="3:3" ht="15.75" customHeight="1">
      <c r="C663" s="273"/>
    </row>
    <row r="664" spans="3:3" ht="15.75" customHeight="1">
      <c r="C664" s="273"/>
    </row>
    <row r="665" spans="3:3" ht="15.75" customHeight="1">
      <c r="C665" s="273"/>
    </row>
    <row r="666" spans="3:3" ht="15.75" customHeight="1">
      <c r="C666" s="273"/>
    </row>
    <row r="667" spans="3:3" ht="15.75" customHeight="1">
      <c r="C667" s="273"/>
    </row>
    <row r="668" spans="3:3" ht="15.75" customHeight="1">
      <c r="C668" s="273"/>
    </row>
    <row r="669" spans="3:3" ht="15.75" customHeight="1">
      <c r="C669" s="273"/>
    </row>
    <row r="670" spans="3:3" ht="15.75" customHeight="1">
      <c r="C670" s="273"/>
    </row>
    <row r="671" spans="3:3" ht="15.75" customHeight="1">
      <c r="C671" s="273"/>
    </row>
    <row r="672" spans="3:3" ht="15.75" customHeight="1">
      <c r="C672" s="273"/>
    </row>
    <row r="673" spans="3:3" ht="15.75" customHeight="1">
      <c r="C673" s="273"/>
    </row>
    <row r="674" spans="3:3" ht="15.75" customHeight="1">
      <c r="C674" s="273"/>
    </row>
    <row r="675" spans="3:3" ht="15.75" customHeight="1">
      <c r="C675" s="273"/>
    </row>
    <row r="676" spans="3:3" ht="15.75" customHeight="1">
      <c r="C676" s="273"/>
    </row>
    <row r="677" spans="3:3" ht="15.75" customHeight="1">
      <c r="C677" s="273"/>
    </row>
    <row r="678" spans="3:3" ht="15.75" customHeight="1">
      <c r="C678" s="273"/>
    </row>
    <row r="679" spans="3:3" ht="15.75" customHeight="1">
      <c r="C679" s="273"/>
    </row>
    <row r="680" spans="3:3" ht="15.75" customHeight="1">
      <c r="C680" s="273"/>
    </row>
    <row r="681" spans="3:3" ht="15.75" customHeight="1">
      <c r="C681" s="273"/>
    </row>
    <row r="682" spans="3:3" ht="15.75" customHeight="1">
      <c r="C682" s="273"/>
    </row>
    <row r="683" spans="3:3" ht="15.75" customHeight="1">
      <c r="C683" s="273"/>
    </row>
    <row r="684" spans="3:3" ht="15.75" customHeight="1">
      <c r="C684" s="273"/>
    </row>
    <row r="685" spans="3:3" ht="15.75" customHeight="1">
      <c r="C685" s="273"/>
    </row>
    <row r="686" spans="3:3" ht="15.75" customHeight="1">
      <c r="C686" s="273"/>
    </row>
    <row r="687" spans="3:3" ht="15.75" customHeight="1">
      <c r="C687" s="273"/>
    </row>
    <row r="688" spans="3:3" ht="15.75" customHeight="1">
      <c r="C688" s="273"/>
    </row>
    <row r="689" spans="3:3" ht="15.75" customHeight="1">
      <c r="C689" s="273"/>
    </row>
    <row r="690" spans="3:3" ht="15.75" customHeight="1">
      <c r="C690" s="273"/>
    </row>
    <row r="691" spans="3:3" ht="15.75" customHeight="1">
      <c r="C691" s="273"/>
    </row>
    <row r="692" spans="3:3" ht="15.75" customHeight="1">
      <c r="C692" s="273"/>
    </row>
    <row r="693" spans="3:3" ht="15.75" customHeight="1">
      <c r="C693" s="273"/>
    </row>
    <row r="694" spans="3:3" ht="15.75" customHeight="1">
      <c r="C694" s="273"/>
    </row>
    <row r="695" spans="3:3" ht="15.75" customHeight="1">
      <c r="C695" s="273"/>
    </row>
    <row r="696" spans="3:3" ht="15.75" customHeight="1">
      <c r="C696" s="273"/>
    </row>
    <row r="697" spans="3:3" ht="15.75" customHeight="1">
      <c r="C697" s="273"/>
    </row>
    <row r="698" spans="3:3" ht="15.75" customHeight="1">
      <c r="C698" s="273"/>
    </row>
    <row r="699" spans="3:3" ht="15.75" customHeight="1">
      <c r="C699" s="273"/>
    </row>
    <row r="700" spans="3:3" ht="15.75" customHeight="1">
      <c r="C700" s="273"/>
    </row>
    <row r="701" spans="3:3" ht="15.75" customHeight="1">
      <c r="C701" s="273"/>
    </row>
    <row r="702" spans="3:3" ht="15.75" customHeight="1">
      <c r="C702" s="273"/>
    </row>
    <row r="703" spans="3:3" ht="15.75" customHeight="1">
      <c r="C703" s="273"/>
    </row>
    <row r="704" spans="3:3" ht="15.75" customHeight="1">
      <c r="C704" s="273"/>
    </row>
    <row r="705" spans="3:3" ht="15.75" customHeight="1">
      <c r="C705" s="273"/>
    </row>
    <row r="706" spans="3:3" ht="15.75" customHeight="1">
      <c r="C706" s="273"/>
    </row>
    <row r="707" spans="3:3" ht="15.75" customHeight="1">
      <c r="C707" s="273"/>
    </row>
    <row r="708" spans="3:3" ht="15.75" customHeight="1">
      <c r="C708" s="273"/>
    </row>
    <row r="709" spans="3:3" ht="15.75" customHeight="1">
      <c r="C709" s="273"/>
    </row>
    <row r="710" spans="3:3" ht="15.75" customHeight="1">
      <c r="C710" s="273"/>
    </row>
    <row r="711" spans="3:3" ht="15.75" customHeight="1">
      <c r="C711" s="273"/>
    </row>
    <row r="712" spans="3:3" ht="15.75" customHeight="1">
      <c r="C712" s="273"/>
    </row>
    <row r="713" spans="3:3" ht="15.75" customHeight="1">
      <c r="C713" s="273"/>
    </row>
    <row r="714" spans="3:3" ht="15.75" customHeight="1">
      <c r="C714" s="273"/>
    </row>
    <row r="715" spans="3:3" ht="15.75" customHeight="1">
      <c r="C715" s="273"/>
    </row>
    <row r="716" spans="3:3" ht="15.75" customHeight="1">
      <c r="C716" s="273"/>
    </row>
    <row r="717" spans="3:3" ht="15.75" customHeight="1">
      <c r="C717" s="273"/>
    </row>
    <row r="718" spans="3:3" ht="15.75" customHeight="1">
      <c r="C718" s="273"/>
    </row>
    <row r="719" spans="3:3" ht="15.75" customHeight="1">
      <c r="C719" s="273"/>
    </row>
    <row r="720" spans="3:3" ht="15.75" customHeight="1">
      <c r="C720" s="273"/>
    </row>
    <row r="721" spans="3:3" ht="15.75" customHeight="1">
      <c r="C721" s="273"/>
    </row>
    <row r="722" spans="3:3" ht="15.75" customHeight="1">
      <c r="C722" s="273"/>
    </row>
    <row r="723" spans="3:3" ht="15.75" customHeight="1">
      <c r="C723" s="273"/>
    </row>
    <row r="724" spans="3:3" ht="15.75" customHeight="1">
      <c r="C724" s="273"/>
    </row>
    <row r="725" spans="3:3" ht="15.75" customHeight="1">
      <c r="C725" s="273"/>
    </row>
    <row r="726" spans="3:3" ht="15.75" customHeight="1">
      <c r="C726" s="273"/>
    </row>
    <row r="727" spans="3:3" ht="15.75" customHeight="1">
      <c r="C727" s="273"/>
    </row>
    <row r="728" spans="3:3" ht="15.75" customHeight="1">
      <c r="C728" s="273"/>
    </row>
    <row r="729" spans="3:3" ht="15.75" customHeight="1">
      <c r="C729" s="273"/>
    </row>
    <row r="730" spans="3:3" ht="15.75" customHeight="1">
      <c r="C730" s="273"/>
    </row>
    <row r="731" spans="3:3" ht="15.75" customHeight="1">
      <c r="C731" s="273"/>
    </row>
    <row r="732" spans="3:3" ht="15.75" customHeight="1">
      <c r="C732" s="273"/>
    </row>
    <row r="733" spans="3:3" ht="15.75" customHeight="1">
      <c r="C733" s="273"/>
    </row>
    <row r="734" spans="3:3" ht="15.75" customHeight="1">
      <c r="C734" s="273"/>
    </row>
    <row r="735" spans="3:3" ht="15.75" customHeight="1">
      <c r="C735" s="273"/>
    </row>
    <row r="736" spans="3:3" ht="15.75" customHeight="1">
      <c r="C736" s="273"/>
    </row>
    <row r="737" spans="3:3" ht="15.75" customHeight="1">
      <c r="C737" s="273"/>
    </row>
    <row r="738" spans="3:3" ht="15.75" customHeight="1">
      <c r="C738" s="273"/>
    </row>
    <row r="739" spans="3:3" ht="15.75" customHeight="1">
      <c r="C739" s="273"/>
    </row>
    <row r="740" spans="3:3" ht="15.75" customHeight="1">
      <c r="C740" s="273"/>
    </row>
    <row r="741" spans="3:3" ht="15.75" customHeight="1">
      <c r="C741" s="273"/>
    </row>
    <row r="742" spans="3:3" ht="15.75" customHeight="1">
      <c r="C742" s="273"/>
    </row>
    <row r="743" spans="3:3" ht="15.75" customHeight="1">
      <c r="C743" s="273"/>
    </row>
    <row r="744" spans="3:3" ht="15.75" customHeight="1">
      <c r="C744" s="273"/>
    </row>
    <row r="745" spans="3:3" ht="15.75" customHeight="1">
      <c r="C745" s="273"/>
    </row>
    <row r="746" spans="3:3" ht="15.75" customHeight="1">
      <c r="C746" s="273"/>
    </row>
    <row r="747" spans="3:3" ht="15.75" customHeight="1">
      <c r="C747" s="273"/>
    </row>
    <row r="748" spans="3:3" ht="15.75" customHeight="1">
      <c r="C748" s="273"/>
    </row>
    <row r="749" spans="3:3" ht="15.75" customHeight="1">
      <c r="C749" s="273"/>
    </row>
    <row r="750" spans="3:3" ht="15.75" customHeight="1">
      <c r="C750" s="273"/>
    </row>
    <row r="751" spans="3:3" ht="15.75" customHeight="1">
      <c r="C751" s="273"/>
    </row>
    <row r="752" spans="3:3" ht="15.75" customHeight="1">
      <c r="C752" s="273"/>
    </row>
    <row r="753" spans="3:3" ht="15.75" customHeight="1">
      <c r="C753" s="273"/>
    </row>
    <row r="754" spans="3:3" ht="15.75" customHeight="1">
      <c r="C754" s="273"/>
    </row>
    <row r="755" spans="3:3" ht="15.75" customHeight="1">
      <c r="C755" s="273"/>
    </row>
    <row r="756" spans="3:3" ht="15.75" customHeight="1">
      <c r="C756" s="273"/>
    </row>
    <row r="757" spans="3:3" ht="15.75" customHeight="1">
      <c r="C757" s="273"/>
    </row>
    <row r="758" spans="3:3" ht="15.75" customHeight="1">
      <c r="C758" s="273"/>
    </row>
    <row r="759" spans="3:3" ht="15.75" customHeight="1">
      <c r="C759" s="273"/>
    </row>
    <row r="760" spans="3:3" ht="15.75" customHeight="1">
      <c r="C760" s="273"/>
    </row>
    <row r="761" spans="3:3" ht="15.75" customHeight="1">
      <c r="C761" s="273"/>
    </row>
    <row r="762" spans="3:3" ht="15.75" customHeight="1">
      <c r="C762" s="273"/>
    </row>
    <row r="763" spans="3:3" ht="15.75" customHeight="1">
      <c r="C763" s="273"/>
    </row>
    <row r="764" spans="3:3" ht="15.75" customHeight="1">
      <c r="C764" s="273"/>
    </row>
    <row r="765" spans="3:3" ht="15.75" customHeight="1">
      <c r="C765" s="273"/>
    </row>
    <row r="766" spans="3:3" ht="15.75" customHeight="1">
      <c r="C766" s="273"/>
    </row>
    <row r="767" spans="3:3" ht="15.75" customHeight="1">
      <c r="C767" s="273"/>
    </row>
    <row r="768" spans="3:3" ht="15.75" customHeight="1">
      <c r="C768" s="273"/>
    </row>
    <row r="769" spans="3:3" ht="15.75" customHeight="1">
      <c r="C769" s="273"/>
    </row>
    <row r="770" spans="3:3" ht="15.75" customHeight="1">
      <c r="C770" s="273"/>
    </row>
    <row r="771" spans="3:3" ht="15.75" customHeight="1">
      <c r="C771" s="273"/>
    </row>
    <row r="772" spans="3:3" ht="15.75" customHeight="1">
      <c r="C772" s="273"/>
    </row>
    <row r="773" spans="3:3" ht="15.75" customHeight="1">
      <c r="C773" s="273"/>
    </row>
    <row r="774" spans="3:3" ht="15.75" customHeight="1">
      <c r="C774" s="273"/>
    </row>
    <row r="775" spans="3:3" ht="15.75" customHeight="1">
      <c r="C775" s="273"/>
    </row>
    <row r="776" spans="3:3" ht="15.75" customHeight="1">
      <c r="C776" s="273"/>
    </row>
    <row r="777" spans="3:3" ht="15.75" customHeight="1">
      <c r="C777" s="273"/>
    </row>
    <row r="778" spans="3:3" ht="15.75" customHeight="1">
      <c r="C778" s="273"/>
    </row>
    <row r="779" spans="3:3" ht="15.75" customHeight="1">
      <c r="C779" s="273"/>
    </row>
    <row r="780" spans="3:3" ht="15.75" customHeight="1">
      <c r="C780" s="273"/>
    </row>
    <row r="781" spans="3:3" ht="15.75" customHeight="1">
      <c r="C781" s="273"/>
    </row>
    <row r="782" spans="3:3" ht="15.75" customHeight="1">
      <c r="C782" s="273"/>
    </row>
    <row r="783" spans="3:3" ht="15.75" customHeight="1">
      <c r="C783" s="273"/>
    </row>
    <row r="784" spans="3:3" ht="15.75" customHeight="1">
      <c r="C784" s="273"/>
    </row>
    <row r="785" spans="3:3" ht="15.75" customHeight="1">
      <c r="C785" s="273"/>
    </row>
    <row r="786" spans="3:3" ht="15.75" customHeight="1">
      <c r="C786" s="273"/>
    </row>
    <row r="787" spans="3:3" ht="15.75" customHeight="1">
      <c r="C787" s="273"/>
    </row>
    <row r="788" spans="3:3" ht="15.75" customHeight="1">
      <c r="C788" s="273"/>
    </row>
    <row r="789" spans="3:3" ht="15.75" customHeight="1">
      <c r="C789" s="273"/>
    </row>
    <row r="790" spans="3:3" ht="15.75" customHeight="1">
      <c r="C790" s="273"/>
    </row>
    <row r="791" spans="3:3" ht="15.75" customHeight="1">
      <c r="C791" s="273"/>
    </row>
    <row r="792" spans="3:3" ht="15.75" customHeight="1">
      <c r="C792" s="273"/>
    </row>
    <row r="793" spans="3:3" ht="15.75" customHeight="1">
      <c r="C793" s="273"/>
    </row>
    <row r="794" spans="3:3" ht="15.75" customHeight="1">
      <c r="C794" s="273"/>
    </row>
    <row r="795" spans="3:3" ht="15.75" customHeight="1">
      <c r="C795" s="273"/>
    </row>
    <row r="796" spans="3:3" ht="15.75" customHeight="1">
      <c r="C796" s="273"/>
    </row>
    <row r="797" spans="3:3" ht="15.75" customHeight="1">
      <c r="C797" s="273"/>
    </row>
    <row r="798" spans="3:3" ht="15.75" customHeight="1">
      <c r="C798" s="273"/>
    </row>
    <row r="799" spans="3:3" ht="15.75" customHeight="1">
      <c r="C799" s="273"/>
    </row>
    <row r="800" spans="3:3" ht="15.75" customHeight="1">
      <c r="C800" s="273"/>
    </row>
    <row r="801" spans="3:3" ht="15.75" customHeight="1">
      <c r="C801" s="273"/>
    </row>
    <row r="802" spans="3:3" ht="15.75" customHeight="1">
      <c r="C802" s="273"/>
    </row>
    <row r="803" spans="3:3" ht="15.75" customHeight="1">
      <c r="C803" s="273"/>
    </row>
    <row r="804" spans="3:3" ht="15.75" customHeight="1">
      <c r="C804" s="273"/>
    </row>
    <row r="805" spans="3:3" ht="15.75" customHeight="1">
      <c r="C805" s="273"/>
    </row>
    <row r="806" spans="3:3" ht="15.75" customHeight="1">
      <c r="C806" s="273"/>
    </row>
    <row r="807" spans="3:3" ht="15.75" customHeight="1">
      <c r="C807" s="273"/>
    </row>
    <row r="808" spans="3:3" ht="15.75" customHeight="1">
      <c r="C808" s="273"/>
    </row>
    <row r="809" spans="3:3" ht="15.75" customHeight="1">
      <c r="C809" s="273"/>
    </row>
    <row r="810" spans="3:3" ht="15.75" customHeight="1">
      <c r="C810" s="273"/>
    </row>
    <row r="811" spans="3:3" ht="15.75" customHeight="1">
      <c r="C811" s="273"/>
    </row>
    <row r="812" spans="3:3" ht="15.75" customHeight="1">
      <c r="C812" s="273"/>
    </row>
    <row r="813" spans="3:3" ht="15.75" customHeight="1">
      <c r="C813" s="273"/>
    </row>
    <row r="814" spans="3:3" ht="15.75" customHeight="1">
      <c r="C814" s="273"/>
    </row>
    <row r="815" spans="3:3" ht="15.75" customHeight="1">
      <c r="C815" s="273"/>
    </row>
    <row r="816" spans="3:3" ht="15.75" customHeight="1">
      <c r="C816" s="273"/>
    </row>
    <row r="817" spans="3:3" ht="15.75" customHeight="1">
      <c r="C817" s="273"/>
    </row>
    <row r="818" spans="3:3" ht="15.75" customHeight="1">
      <c r="C818" s="273"/>
    </row>
    <row r="819" spans="3:3" ht="15.75" customHeight="1">
      <c r="C819" s="273"/>
    </row>
    <row r="820" spans="3:3" ht="15.75" customHeight="1">
      <c r="C820" s="273"/>
    </row>
    <row r="821" spans="3:3" ht="15.75" customHeight="1">
      <c r="C821" s="273"/>
    </row>
    <row r="822" spans="3:3" ht="15.75" customHeight="1">
      <c r="C822" s="273"/>
    </row>
    <row r="823" spans="3:3" ht="15.75" customHeight="1">
      <c r="C823" s="273"/>
    </row>
    <row r="824" spans="3:3" ht="15.75" customHeight="1">
      <c r="C824" s="273"/>
    </row>
    <row r="825" spans="3:3" ht="15.75" customHeight="1">
      <c r="C825" s="273"/>
    </row>
    <row r="826" spans="3:3" ht="15.75" customHeight="1">
      <c r="C826" s="273"/>
    </row>
    <row r="827" spans="3:3" ht="15.75" customHeight="1">
      <c r="C827" s="273"/>
    </row>
    <row r="828" spans="3:3" ht="15.75" customHeight="1">
      <c r="C828" s="273"/>
    </row>
    <row r="829" spans="3:3" ht="15.75" customHeight="1">
      <c r="C829" s="273"/>
    </row>
    <row r="830" spans="3:3" ht="15.75" customHeight="1">
      <c r="C830" s="273"/>
    </row>
    <row r="831" spans="3:3" ht="15.75" customHeight="1">
      <c r="C831" s="273"/>
    </row>
    <row r="832" spans="3:3" ht="15.75" customHeight="1">
      <c r="C832" s="273"/>
    </row>
    <row r="833" spans="3:3" ht="15.75" customHeight="1">
      <c r="C833" s="273"/>
    </row>
    <row r="834" spans="3:3" ht="15.75" customHeight="1">
      <c r="C834" s="273"/>
    </row>
    <row r="835" spans="3:3" ht="15.75" customHeight="1">
      <c r="C835" s="273"/>
    </row>
    <row r="836" spans="3:3" ht="15.75" customHeight="1">
      <c r="C836" s="273"/>
    </row>
    <row r="837" spans="3:3" ht="15.75" customHeight="1">
      <c r="C837" s="273"/>
    </row>
    <row r="838" spans="3:3" ht="15.75" customHeight="1">
      <c r="C838" s="273"/>
    </row>
    <row r="839" spans="3:3" ht="15.75" customHeight="1">
      <c r="C839" s="273"/>
    </row>
    <row r="840" spans="3:3" ht="15.75" customHeight="1">
      <c r="C840" s="273"/>
    </row>
    <row r="841" spans="3:3" ht="15.75" customHeight="1">
      <c r="C841" s="273"/>
    </row>
    <row r="842" spans="3:3" ht="15.75" customHeight="1">
      <c r="C842" s="273"/>
    </row>
    <row r="843" spans="3:3" ht="15.75" customHeight="1">
      <c r="C843" s="273"/>
    </row>
    <row r="844" spans="3:3" ht="15.75" customHeight="1">
      <c r="C844" s="273"/>
    </row>
    <row r="845" spans="3:3" ht="15.75" customHeight="1">
      <c r="C845" s="273"/>
    </row>
    <row r="846" spans="3:3" ht="15.75" customHeight="1">
      <c r="C846" s="273"/>
    </row>
    <row r="847" spans="3:3" ht="15.75" customHeight="1">
      <c r="C847" s="273"/>
    </row>
    <row r="848" spans="3:3" ht="15.75" customHeight="1">
      <c r="C848" s="273"/>
    </row>
    <row r="849" spans="3:3" ht="15.75" customHeight="1">
      <c r="C849" s="273"/>
    </row>
    <row r="850" spans="3:3" ht="15.75" customHeight="1">
      <c r="C850" s="273"/>
    </row>
    <row r="851" spans="3:3" ht="15.75" customHeight="1">
      <c r="C851" s="273"/>
    </row>
    <row r="852" spans="3:3" ht="15.75" customHeight="1">
      <c r="C852" s="273"/>
    </row>
    <row r="853" spans="3:3" ht="15.75" customHeight="1">
      <c r="C853" s="273"/>
    </row>
    <row r="854" spans="3:3" ht="15.75" customHeight="1">
      <c r="C854" s="273"/>
    </row>
    <row r="855" spans="3:3" ht="15.75" customHeight="1">
      <c r="C855" s="273"/>
    </row>
    <row r="856" spans="3:3" ht="15.75" customHeight="1">
      <c r="C856" s="273"/>
    </row>
    <row r="857" spans="3:3" ht="15.75" customHeight="1">
      <c r="C857" s="273"/>
    </row>
    <row r="858" spans="3:3" ht="15.75" customHeight="1">
      <c r="C858" s="273"/>
    </row>
    <row r="859" spans="3:3" ht="15.75" customHeight="1">
      <c r="C859" s="273"/>
    </row>
    <row r="860" spans="3:3" ht="15.75" customHeight="1">
      <c r="C860" s="273"/>
    </row>
    <row r="861" spans="3:3" ht="15.75" customHeight="1">
      <c r="C861" s="273"/>
    </row>
    <row r="862" spans="3:3" ht="15.75" customHeight="1">
      <c r="C862" s="273"/>
    </row>
    <row r="863" spans="3:3" ht="15.75" customHeight="1">
      <c r="C863" s="273"/>
    </row>
    <row r="864" spans="3:3" ht="15.75" customHeight="1">
      <c r="C864" s="273"/>
    </row>
    <row r="865" spans="3:3" ht="15.75" customHeight="1">
      <c r="C865" s="273"/>
    </row>
    <row r="866" spans="3:3" ht="15.75" customHeight="1">
      <c r="C866" s="273"/>
    </row>
    <row r="867" spans="3:3" ht="15.75" customHeight="1">
      <c r="C867" s="273"/>
    </row>
    <row r="868" spans="3:3" ht="15.75" customHeight="1">
      <c r="C868" s="273"/>
    </row>
    <row r="869" spans="3:3" ht="15.75" customHeight="1">
      <c r="C869" s="273"/>
    </row>
    <row r="870" spans="3:3" ht="15.75" customHeight="1">
      <c r="C870" s="273"/>
    </row>
    <row r="871" spans="3:3" ht="15.75" customHeight="1">
      <c r="C871" s="273"/>
    </row>
    <row r="872" spans="3:3" ht="15.75" customHeight="1">
      <c r="C872" s="273"/>
    </row>
    <row r="873" spans="3:3" ht="15.75" customHeight="1">
      <c r="C873" s="273"/>
    </row>
    <row r="874" spans="3:3" ht="15.75" customHeight="1">
      <c r="C874" s="273"/>
    </row>
    <row r="875" spans="3:3" ht="15.75" customHeight="1">
      <c r="C875" s="273"/>
    </row>
    <row r="876" spans="3:3" ht="15.75" customHeight="1">
      <c r="C876" s="273"/>
    </row>
    <row r="877" spans="3:3" ht="15.75" customHeight="1">
      <c r="C877" s="273"/>
    </row>
    <row r="878" spans="3:3" ht="15.75" customHeight="1">
      <c r="C878" s="273"/>
    </row>
    <row r="879" spans="3:3" ht="15.75" customHeight="1">
      <c r="C879" s="273"/>
    </row>
    <row r="880" spans="3:3" ht="15.75" customHeight="1">
      <c r="C880" s="273"/>
    </row>
    <row r="881" spans="3:3" ht="15.75" customHeight="1">
      <c r="C881" s="273"/>
    </row>
    <row r="882" spans="3:3" ht="15.75" customHeight="1">
      <c r="C882" s="273"/>
    </row>
    <row r="883" spans="3:3" ht="15.75" customHeight="1">
      <c r="C883" s="273"/>
    </row>
    <row r="884" spans="3:3" ht="15.75" customHeight="1">
      <c r="C884" s="273"/>
    </row>
  </sheetData>
  <mergeCells count="8">
    <mergeCell ref="C59:I59"/>
    <mergeCell ref="J59:X59"/>
    <mergeCell ref="R60:X60"/>
    <mergeCell ref="C1:I1"/>
    <mergeCell ref="J1:U1"/>
    <mergeCell ref="V1:AA1"/>
    <mergeCell ref="AB1:AD1"/>
    <mergeCell ref="AC42:AF42"/>
  </mergeCells>
  <conditionalFormatting sqref="D44:P46">
    <cfRule type="cellIs" dxfId="64" priority="35" operator="lessThan">
      <formula>0</formula>
    </cfRule>
    <cfRule type="cellIs" dxfId="63" priority="34" operator="greaterThan">
      <formula>0</formula>
    </cfRule>
  </conditionalFormatting>
  <conditionalFormatting sqref="O3 O5">
    <cfRule type="cellIs" dxfId="62" priority="29" operator="lessThanOrEqual">
      <formula>0</formula>
    </cfRule>
  </conditionalFormatting>
  <conditionalFormatting sqref="O7 O9 O11 O13 O15 O17 O19 O21 O23 O25 O27 O29 O31 O33:O35 O61:O68">
    <cfRule type="cellIs" dxfId="61" priority="28" operator="greaterThan">
      <formula>0</formula>
    </cfRule>
  </conditionalFormatting>
  <conditionalFormatting sqref="O7:O36 O61:O68">
    <cfRule type="cellIs" dxfId="60" priority="8" operator="greaterThan">
      <formula>0</formula>
    </cfRule>
    <cfRule type="cellIs" dxfId="59" priority="9" operator="lessThanOrEqual">
      <formula>0</formula>
    </cfRule>
  </conditionalFormatting>
  <conditionalFormatting sqref="O3:P3 O5:P5 P7:P36 P61:P68">
    <cfRule type="cellIs" dxfId="58" priority="7" operator="greaterThan">
      <formula>0</formula>
    </cfRule>
  </conditionalFormatting>
  <conditionalFormatting sqref="P3 P5 P7:P36 P61:P68">
    <cfRule type="cellIs" dxfId="57" priority="6" operator="lessThan">
      <formula>0</formula>
    </cfRule>
  </conditionalFormatting>
  <conditionalFormatting sqref="S3:S36 U3:U30">
    <cfRule type="colorScale" priority="30">
      <colorScale>
        <cfvo type="min"/>
        <cfvo type="percentile" val="50"/>
        <cfvo type="max"/>
        <color rgb="FF57BB8A"/>
        <color rgb="FFFFFFFF"/>
        <color rgb="FFE67C73"/>
      </colorScale>
    </cfRule>
  </conditionalFormatting>
  <conditionalFormatting sqref="U3:U36">
    <cfRule type="colorScale" priority="31">
      <colorScale>
        <cfvo type="min"/>
        <cfvo type="max"/>
        <color rgb="FFE67C73"/>
        <color rgb="FFFFFFFF"/>
      </colorScale>
    </cfRule>
  </conditionalFormatting>
  <conditionalFormatting sqref="V3:AA35 D45">
    <cfRule type="cellIs" dxfId="56" priority="37" operator="lessThanOrEqual">
      <formula>0</formula>
    </cfRule>
    <cfRule type="cellIs" dxfId="55" priority="36" operator="greaterThan">
      <formula>0</formula>
    </cfRule>
  </conditionalFormatting>
  <conditionalFormatting sqref="AC3:AD3 AC5:AD5 AC7:AD36">
    <cfRule type="cellIs" dxfId="54" priority="10" operator="equal">
      <formula>"Alcista"</formula>
    </cfRule>
    <cfRule type="cellIs" dxfId="53" priority="11" operator="equal">
      <formula>"Neutral"</formula>
    </cfRule>
    <cfRule type="cellIs" dxfId="52" priority="12" operator="equal">
      <formula>"Bajista"</formula>
    </cfRule>
  </conditionalFormatting>
  <conditionalFormatting sqref="AD23 AD21 AD25 AD27 AD29 AD31 AD33:AD35">
    <cfRule type="colorScale" priority="27">
      <colorScale>
        <cfvo type="min"/>
        <cfvo type="percentile" val="50"/>
        <cfvo type="max"/>
        <color rgb="FF57BB8A"/>
        <color rgb="FFFFFFFF"/>
        <color rgb="FFE67C73"/>
      </colorScale>
    </cfRule>
  </conditionalFormatting>
  <conditionalFormatting sqref="AE3:AE36">
    <cfRule type="cellIs" dxfId="51" priority="17" operator="equal">
      <formula>"Oportunidad CP"</formula>
    </cfRule>
    <cfRule type="cellIs" dxfId="50" priority="18" operator="equal">
      <formula>"Líder global"</formula>
    </cfRule>
    <cfRule type="cellIs" dxfId="49" priority="19" operator="equal">
      <formula>"Atractiva MP"</formula>
    </cfRule>
    <cfRule type="cellIs" dxfId="48" priority="20" operator="equal">
      <formula>"Alternativo"</formula>
    </cfRule>
    <cfRule type="cellIs" dxfId="47" priority="21" operator="equal">
      <formula>"Alta Calidad"</formula>
    </cfRule>
    <cfRule type="cellIs" dxfId="46" priority="16" operator="equal">
      <formula>"Futuro líder"</formula>
    </cfRule>
  </conditionalFormatting>
  <conditionalFormatting sqref="AE44:AE56">
    <cfRule type="colorScale" priority="32">
      <colorScale>
        <cfvo type="min"/>
        <cfvo type="percentile" val="50"/>
        <cfvo type="max"/>
        <color rgb="FFE67C73"/>
        <color rgb="FFFFFFFF"/>
        <color rgb="FF57BB8A"/>
      </colorScale>
    </cfRule>
  </conditionalFormatting>
  <conditionalFormatting sqref="AF44:AF54">
    <cfRule type="colorScale" priority="33">
      <colorScale>
        <cfvo type="min"/>
        <cfvo type="percentile" val="50"/>
        <cfvo type="max"/>
        <color rgb="FFE67C73"/>
        <color rgb="FFFFFFFF"/>
        <color rgb="FF57BB8A"/>
      </colorScale>
    </cfRule>
  </conditionalFormatting>
  <conditionalFormatting sqref="AF3:AG3 AF5:AG5 AF7:AG36">
    <cfRule type="cellIs" dxfId="45" priority="23" operator="equal">
      <formula>"Satellite"</formula>
    </cfRule>
    <cfRule type="cellIs" dxfId="44" priority="22" operator="equal">
      <formula>"Core"</formula>
    </cfRule>
  </conditionalFormatting>
  <conditionalFormatting sqref="AG3 AG5 AG7:AG36">
    <cfRule type="cellIs" dxfId="43" priority="15" operator="equal">
      <formula>"Alta"</formula>
    </cfRule>
    <cfRule type="cellIs" dxfId="42" priority="14" operator="equal">
      <formula>"Media"</formula>
    </cfRule>
    <cfRule type="cellIs" dxfId="41" priority="13" operator="equal">
      <formula>"Baja"</formula>
    </cfRule>
  </conditionalFormatting>
  <conditionalFormatting sqref="AB3 AG3:AI3 AB5 AG5:AI5 AB7:AB36 AC21:AC36 AG7:AI36">
    <cfRule type="cellIs" dxfId="40" priority="24" operator="equal">
      <formula>"Atractivo"</formula>
    </cfRule>
    <cfRule type="cellIs" dxfId="39" priority="25" operator="equal">
      <formula>"Neutral"</formula>
    </cfRule>
    <cfRule type="cellIs" dxfId="38" priority="26" operator="equal">
      <formula>"Esperar"</formula>
    </cfRule>
  </conditionalFormatting>
  <conditionalFormatting sqref="AI21 AI23 AI25 AI27 AI29">
    <cfRule type="containsText" dxfId="37" priority="3" operator="containsText" text="Baja">
      <formula>NOT(ISERROR(SEARCH(("Baja"),(AI21))))</formula>
    </cfRule>
    <cfRule type="containsText" dxfId="36" priority="2" operator="containsText" text="Media">
      <formula>NOT(ISERROR(SEARCH(("Media"),(AI21))))</formula>
    </cfRule>
    <cfRule type="containsText" dxfId="35" priority="1" operator="containsText" text="Alta">
      <formula>NOT(ISERROR(SEARCH(("Alta"),(AI21))))</formula>
    </cfRule>
  </conditionalFormatting>
  <conditionalFormatting sqref="AZ3:BA6 AZ48:BA84">
    <cfRule type="cellIs" dxfId="34" priority="5" operator="greaterThan">
      <formula>0</formula>
    </cfRule>
    <cfRule type="cellIs" dxfId="33" priority="4" operator="lessThan">
      <formula>0</formula>
    </cfRule>
  </conditionalFormatting>
  <pageMargins left="0.7" right="0.7" top="0.75" bottom="0.75" header="0" footer="0"/>
  <pageSetup orientation="landscape"/>
  <ignoredErrors>
    <ignoredError sqref="A21:A23 A25" formula="1"/>
  </ignoredErrors>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C912"/>
  <sheetViews>
    <sheetView workbookViewId="0">
      <pane ySplit="2" topLeftCell="A27" activePane="bottomLeft" state="frozen"/>
      <selection pane="bottomLeft" activeCell="C24" sqref="C24:G44"/>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11.6640625" customWidth="1"/>
    <col min="8" max="14" width="7.88671875" customWidth="1"/>
    <col min="15" max="15" width="9" customWidth="1"/>
    <col min="16" max="16" width="7.109375" customWidth="1"/>
    <col min="17" max="17" width="10.109375" bestFit="1" customWidth="1"/>
    <col min="18" max="19" width="7.6640625" customWidth="1"/>
    <col min="20" max="20" width="6.88671875" customWidth="1"/>
    <col min="21" max="21" width="8.109375" customWidth="1"/>
    <col min="22" max="22" width="10.109375" customWidth="1"/>
    <col min="23" max="25" width="9" customWidth="1"/>
    <col min="27" max="27" width="8.33203125" customWidth="1"/>
    <col min="28" max="28" width="9.44140625" customWidth="1"/>
    <col min="30" max="30" width="59.109375" customWidth="1"/>
    <col min="31" max="31" width="6.33203125" customWidth="1"/>
    <col min="32" max="32" width="8" customWidth="1"/>
    <col min="33" max="33" width="14.44140625" customWidth="1"/>
    <col min="34" max="59" width="8" customWidth="1"/>
  </cols>
  <sheetData>
    <row r="1" spans="1:81" ht="15.75" customHeight="1">
      <c r="A1" s="27"/>
      <c r="B1" s="27"/>
      <c r="C1" s="479" t="s">
        <v>25</v>
      </c>
      <c r="D1" s="480"/>
      <c r="E1" s="480"/>
      <c r="F1" s="480"/>
      <c r="G1" s="481"/>
      <c r="H1" s="482" t="s">
        <v>26</v>
      </c>
      <c r="I1" s="480"/>
      <c r="J1" s="480"/>
      <c r="K1" s="480"/>
      <c r="L1" s="480"/>
      <c r="M1" s="480"/>
      <c r="N1" s="480"/>
      <c r="O1" s="480"/>
      <c r="P1" s="480"/>
      <c r="Q1" s="480"/>
      <c r="R1" s="480"/>
      <c r="S1" s="481"/>
      <c r="T1" s="479" t="s">
        <v>27</v>
      </c>
      <c r="U1" s="480"/>
      <c r="V1" s="480"/>
      <c r="W1" s="480"/>
      <c r="X1" s="480"/>
      <c r="Y1" s="481"/>
      <c r="Z1" s="483" t="s">
        <v>28</v>
      </c>
      <c r="AA1" s="484"/>
      <c r="AB1" s="485"/>
      <c r="AC1" s="33"/>
      <c r="AD1" s="35"/>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row>
    <row r="2" spans="1:81" ht="48">
      <c r="A2" s="36"/>
      <c r="B2" s="37" t="s">
        <v>0</v>
      </c>
      <c r="C2" s="38" t="s">
        <v>1</v>
      </c>
      <c r="D2" s="37" t="s">
        <v>30</v>
      </c>
      <c r="E2" s="37" t="s">
        <v>2</v>
      </c>
      <c r="F2" s="37" t="s">
        <v>31</v>
      </c>
      <c r="G2" s="37" t="s">
        <v>32</v>
      </c>
      <c r="H2" s="39" t="s">
        <v>3</v>
      </c>
      <c r="I2" s="39" t="s">
        <v>35</v>
      </c>
      <c r="J2" s="39" t="s">
        <v>36</v>
      </c>
      <c r="K2" s="39" t="s">
        <v>37</v>
      </c>
      <c r="L2" s="39" t="s">
        <v>38</v>
      </c>
      <c r="M2" s="39" t="s">
        <v>39</v>
      </c>
      <c r="N2" s="39" t="s">
        <v>40</v>
      </c>
      <c r="O2" s="39" t="s">
        <v>41</v>
      </c>
      <c r="P2" s="39" t="s">
        <v>42</v>
      </c>
      <c r="Q2" s="40" t="s">
        <v>43</v>
      </c>
      <c r="R2" s="40" t="s">
        <v>44</v>
      </c>
      <c r="S2" s="40" t="s">
        <v>45</v>
      </c>
      <c r="T2" s="41" t="s">
        <v>4</v>
      </c>
      <c r="U2" s="37" t="s">
        <v>46</v>
      </c>
      <c r="V2" s="37" t="s">
        <v>47</v>
      </c>
      <c r="W2" s="37" t="s">
        <v>48</v>
      </c>
      <c r="X2" s="37" t="s">
        <v>49</v>
      </c>
      <c r="Y2" s="37" t="s">
        <v>50</v>
      </c>
      <c r="Z2" s="42" t="s">
        <v>51</v>
      </c>
      <c r="AA2" s="42" t="s">
        <v>163</v>
      </c>
      <c r="AB2" s="42" t="s">
        <v>164</v>
      </c>
      <c r="AC2" s="42" t="s">
        <v>56</v>
      </c>
      <c r="AD2" s="43" t="s">
        <v>58</v>
      </c>
      <c r="AE2" s="44"/>
      <c r="AF2" s="44"/>
      <c r="AG2" s="44"/>
      <c r="AH2" s="44"/>
      <c r="AI2" s="44"/>
      <c r="AJ2" s="44"/>
      <c r="AK2" s="44"/>
      <c r="AL2" s="44"/>
      <c r="AM2" s="44"/>
      <c r="AN2" s="44"/>
      <c r="AO2" s="44"/>
      <c r="AP2" s="44"/>
      <c r="AQ2" s="44"/>
      <c r="AR2" s="44"/>
      <c r="AS2" s="44"/>
      <c r="AT2" s="44"/>
      <c r="AU2" s="44"/>
      <c r="AV2" s="44"/>
      <c r="AW2" s="44"/>
      <c r="AX2" s="44"/>
      <c r="AY2" s="44"/>
      <c r="AZ2" s="44"/>
      <c r="BA2" s="36"/>
      <c r="BB2" s="36"/>
      <c r="BC2" s="36"/>
      <c r="BD2" s="36"/>
      <c r="BE2" s="36"/>
      <c r="BF2" s="36"/>
      <c r="BG2" s="36"/>
      <c r="BH2" s="36"/>
      <c r="BI2" s="36"/>
      <c r="BJ2" s="36"/>
      <c r="BK2" s="36"/>
      <c r="BL2" s="36"/>
      <c r="BM2" s="36"/>
    </row>
    <row r="3" spans="1:81" ht="14.25" customHeight="1">
      <c r="A3" s="180"/>
      <c r="B3" s="274" t="s">
        <v>165</v>
      </c>
      <c r="C3" s="275"/>
      <c r="D3" s="276"/>
      <c r="E3" s="277"/>
      <c r="F3" s="277"/>
      <c r="G3" s="278"/>
      <c r="H3" s="278"/>
      <c r="I3" s="278"/>
      <c r="J3" s="278"/>
      <c r="K3" s="278"/>
      <c r="L3" s="278"/>
      <c r="M3" s="278"/>
      <c r="N3" s="278"/>
      <c r="O3" s="278"/>
      <c r="P3" s="278"/>
      <c r="Q3" s="278"/>
      <c r="R3" s="278"/>
      <c r="S3" s="278"/>
      <c r="T3" s="278"/>
      <c r="U3" s="278"/>
      <c r="V3" s="278"/>
      <c r="W3" s="278"/>
      <c r="X3" s="278"/>
      <c r="Y3" s="278"/>
      <c r="Z3" s="278"/>
      <c r="AA3" s="278"/>
      <c r="AB3" s="278"/>
      <c r="AC3" s="278"/>
      <c r="AD3" s="278"/>
      <c r="AE3" s="22"/>
      <c r="AF3" s="22"/>
      <c r="AG3" s="22"/>
      <c r="AH3" s="22"/>
      <c r="AI3" s="27"/>
      <c r="AJ3" s="22"/>
      <c r="AK3" s="27"/>
      <c r="AL3" s="22"/>
      <c r="AM3" s="27"/>
      <c r="AN3" s="22"/>
      <c r="AO3" s="27"/>
      <c r="AP3" s="22"/>
      <c r="AQ3" s="27"/>
      <c r="AR3" s="24"/>
      <c r="AS3" s="24"/>
      <c r="AT3" s="24"/>
      <c r="AU3" s="24"/>
      <c r="AX3" s="24"/>
      <c r="BD3" s="24"/>
      <c r="BE3" s="24"/>
      <c r="BF3" s="24"/>
      <c r="BG3" s="24"/>
      <c r="BH3" s="24"/>
      <c r="BI3" s="24"/>
      <c r="BJ3" s="24"/>
      <c r="BK3" s="24"/>
      <c r="BL3" s="24"/>
      <c r="BM3" s="24"/>
    </row>
    <row r="4" spans="1:81" ht="13.2">
      <c r="A4" s="279">
        <v>1</v>
      </c>
      <c r="B4" s="280" t="s">
        <v>166</v>
      </c>
      <c r="C4" s="281" t="str">
        <f ca="1">IFERROR(__xludf.DUMMYFUNCTION("GoogleFinance(B4,""name"")"),"Grupo Financiero Galicia S.A.")</f>
        <v>Grupo Financiero Galicia S.A.</v>
      </c>
      <c r="D4" s="282">
        <f ca="1">IFERROR(__xludf.DUMMYFUNCTION("GoogleFinance(B4,""marketcap"")/1000000"),2732449.565)</f>
        <v>2732449.5649999999</v>
      </c>
      <c r="E4" s="283" t="s">
        <v>13</v>
      </c>
      <c r="F4" s="284" t="s">
        <v>18</v>
      </c>
      <c r="G4" s="285">
        <v>45238</v>
      </c>
      <c r="H4" s="280">
        <f ca="1">IFERROR(__xludf.DUMMYFUNCTION("GOOGLEFINANCE(B4)"),20.56)</f>
        <v>20.56</v>
      </c>
      <c r="I4" s="286">
        <v>11.73</v>
      </c>
      <c r="J4" s="287">
        <f>170.502983802217-80</f>
        <v>90.502983802216988</v>
      </c>
      <c r="K4" s="288">
        <f>J4*I4</f>
        <v>1061.6000000000054</v>
      </c>
      <c r="L4" s="288">
        <f ca="1">J4*H4</f>
        <v>1860.7413469735811</v>
      </c>
      <c r="M4" s="289">
        <f ca="1">L4-K4</f>
        <v>799.14134697357576</v>
      </c>
      <c r="N4" s="290">
        <f ca="1">H4/I4-1</f>
        <v>0.75277067348678584</v>
      </c>
      <c r="O4" s="291">
        <f ca="1">TODAY()-G4</f>
        <v>104</v>
      </c>
      <c r="P4" s="292">
        <v>12</v>
      </c>
      <c r="Q4" s="293">
        <f ca="1">P4/H4-1</f>
        <v>-0.41634241245136183</v>
      </c>
      <c r="R4" s="294">
        <v>36</v>
      </c>
      <c r="S4" s="295">
        <f ca="1">R4/H4-1</f>
        <v>0.75097276264591462</v>
      </c>
      <c r="T4" s="296">
        <v>2.0299999999999999E-2</v>
      </c>
      <c r="U4" s="297">
        <v>8.2105263157894681E-2</v>
      </c>
      <c r="V4" s="298">
        <v>-4.8588616381304961E-2</v>
      </c>
      <c r="W4" s="299">
        <v>0.40341296928327641</v>
      </c>
      <c r="X4" s="299">
        <v>0.36793080505655351</v>
      </c>
      <c r="Y4" s="298">
        <v>0.19050376375217137</v>
      </c>
      <c r="Z4" s="300" t="s">
        <v>74</v>
      </c>
      <c r="AA4" s="301" t="s">
        <v>64</v>
      </c>
      <c r="AB4" s="302" t="s">
        <v>65</v>
      </c>
      <c r="AC4" s="302" t="s">
        <v>167</v>
      </c>
      <c r="AD4" s="303" t="s">
        <v>168</v>
      </c>
      <c r="AE4" s="295"/>
      <c r="AF4" s="295"/>
      <c r="AG4" s="295"/>
      <c r="AH4" s="304" t="str">
        <f ca="1">IFERROR(__xludf.DUMMYFUNCTION("GoogleFinance(B4,""price"",DATE(2024,2,9))"),"Date")</f>
        <v>Date</v>
      </c>
      <c r="AI4" s="305" t="str">
        <f ca="1">IFERROR(__xludf.DUMMYFUNCTION("""COMPUTED_VALUE"""),"Close")</f>
        <v>Close</v>
      </c>
      <c r="AJ4" s="304" t="str">
        <f ca="1">IFERROR(__xludf.DUMMYFUNCTION("GoogleFinance(B4,""price"",DATE(2024,1,31))"),"Date")</f>
        <v>Date</v>
      </c>
      <c r="AK4" s="305" t="str">
        <f ca="1">IFERROR(__xludf.DUMMYFUNCTION("""COMPUTED_VALUE"""),"Close")</f>
        <v>Close</v>
      </c>
      <c r="AL4" s="304" t="str">
        <f ca="1">IFERROR(__xludf.DUMMYFUNCTION("GoogleFinance(B4,""price"",today()-91)"),"#N/A")</f>
        <v>#N/A</v>
      </c>
      <c r="AM4" s="305"/>
      <c r="AN4" s="304" t="str">
        <f ca="1">IFERROR(__xludf.DUMMYFUNCTION("GoogleFinance(B4,""price"",today()-182)"),"#N/A")</f>
        <v>#N/A</v>
      </c>
      <c r="AO4" s="305"/>
      <c r="AP4" s="304" t="str">
        <f ca="1">IFERROR(__xludf.DUMMYFUNCTION("GoogleFinance(B4,""price"",DATE(2023,12,29))"),"Date")</f>
        <v>Date</v>
      </c>
      <c r="AQ4" s="305" t="str">
        <f ca="1">IFERROR(__xludf.DUMMYFUNCTION("""COMPUTED_VALUE"""),"Close")</f>
        <v>Close</v>
      </c>
      <c r="AR4" s="306"/>
      <c r="AS4" s="307"/>
      <c r="AT4" s="308"/>
      <c r="AU4" s="308"/>
      <c r="AV4" s="308"/>
      <c r="AW4" s="308"/>
      <c r="AX4" s="309"/>
      <c r="AY4" s="309"/>
      <c r="AZ4" s="308"/>
      <c r="BA4" s="309"/>
      <c r="BB4" s="309"/>
      <c r="BC4" s="309"/>
      <c r="BD4" s="309"/>
      <c r="BE4" s="309"/>
      <c r="BF4" s="308"/>
      <c r="BG4" s="308"/>
      <c r="BH4" s="308"/>
      <c r="BI4" s="308"/>
      <c r="BJ4" s="308"/>
      <c r="BK4" s="308"/>
      <c r="BL4" s="308"/>
      <c r="BM4" s="308"/>
      <c r="BN4" s="308"/>
      <c r="BO4" s="308"/>
      <c r="BP4" s="309"/>
      <c r="BQ4" s="309"/>
      <c r="BR4" s="309"/>
      <c r="BS4" s="309"/>
      <c r="BT4" s="309"/>
      <c r="BU4" s="309"/>
      <c r="BV4" s="309"/>
      <c r="BW4" s="309"/>
      <c r="BX4" s="309"/>
      <c r="BY4" s="309"/>
      <c r="BZ4" s="309"/>
      <c r="CA4" s="309"/>
      <c r="CB4" s="309"/>
      <c r="CC4" s="309"/>
    </row>
    <row r="5" spans="1:81" ht="13.2" hidden="1">
      <c r="A5" s="45">
        <v>1</v>
      </c>
      <c r="B5" s="310"/>
      <c r="C5" s="311"/>
      <c r="D5" s="310"/>
      <c r="E5" s="310"/>
      <c r="F5" s="310"/>
      <c r="G5" s="310"/>
      <c r="H5" s="312"/>
      <c r="I5" s="312"/>
      <c r="J5" s="312"/>
      <c r="K5" s="312"/>
      <c r="L5" s="312"/>
      <c r="M5" s="54"/>
      <c r="N5" s="313"/>
      <c r="O5" s="312"/>
      <c r="P5" s="312"/>
      <c r="Q5" s="314"/>
      <c r="R5" s="314"/>
      <c r="S5" s="314"/>
      <c r="T5" s="315"/>
      <c r="U5" s="310"/>
      <c r="V5" s="310"/>
      <c r="W5" s="310"/>
      <c r="X5" s="310"/>
      <c r="Y5" s="310"/>
      <c r="Z5" s="316"/>
      <c r="AA5" s="316"/>
      <c r="AB5" s="316"/>
      <c r="AC5" s="316"/>
      <c r="AD5" s="317"/>
      <c r="AE5" s="22"/>
      <c r="AF5" s="22"/>
      <c r="AG5" s="22"/>
      <c r="AH5" s="49">
        <f ca="1">IFERROR(__xludf.DUMMYFUNCTION("""COMPUTED_VALUE"""),45331.6666666666)</f>
        <v>45331.666666666599</v>
      </c>
      <c r="AI5" s="27">
        <f ca="1">IFERROR(__xludf.DUMMYFUNCTION("""COMPUTED_VALUE"""),19)</f>
        <v>19</v>
      </c>
      <c r="AJ5" s="49">
        <f ca="1">IFERROR(__xludf.DUMMYFUNCTION("""COMPUTED_VALUE"""),45322.6666666666)</f>
        <v>45322.666666666599</v>
      </c>
      <c r="AK5" s="27">
        <f ca="1">IFERROR(__xludf.DUMMYFUNCTION("""COMPUTED_VALUE"""),21.61)</f>
        <v>21.61</v>
      </c>
      <c r="AL5" s="49"/>
      <c r="AM5" s="27"/>
      <c r="AN5" s="49"/>
      <c r="AO5" s="27"/>
      <c r="AP5" s="49">
        <f ca="1">IFERROR(__xludf.DUMMYFUNCTION("""COMPUTED_VALUE"""),45289.6666666666)</f>
        <v>45289.666666666599</v>
      </c>
      <c r="AQ5" s="27">
        <f ca="1">IFERROR(__xludf.DUMMYFUNCTION("""COMPUTED_VALUE"""),17.27)</f>
        <v>17.27</v>
      </c>
      <c r="AR5" s="24"/>
      <c r="AS5" s="24"/>
      <c r="AT5" s="24"/>
      <c r="AU5" s="24"/>
      <c r="AV5" s="318"/>
      <c r="AW5" s="318"/>
      <c r="AX5" s="24"/>
      <c r="AY5" s="318"/>
      <c r="AZ5" s="318"/>
      <c r="BA5" s="318"/>
      <c r="BB5" s="318"/>
      <c r="BC5" s="318"/>
      <c r="BD5" s="24"/>
      <c r="BE5" s="24"/>
      <c r="BF5" s="24"/>
      <c r="BG5" s="24"/>
      <c r="BH5" s="24"/>
      <c r="BI5" s="24"/>
      <c r="BJ5" s="24"/>
      <c r="BK5" s="24"/>
      <c r="BL5" s="24"/>
      <c r="BM5" s="24"/>
      <c r="BN5" s="318"/>
      <c r="BO5" s="318"/>
      <c r="BP5" s="318"/>
      <c r="BQ5" s="318"/>
      <c r="BR5" s="318"/>
      <c r="BS5" s="318"/>
      <c r="BT5" s="318"/>
      <c r="BU5" s="318"/>
      <c r="BV5" s="318"/>
      <c r="BW5" s="318"/>
      <c r="BX5" s="318"/>
      <c r="BY5" s="318"/>
      <c r="BZ5" s="318"/>
      <c r="CA5" s="318"/>
      <c r="CB5" s="318"/>
      <c r="CC5" s="318"/>
    </row>
    <row r="6" spans="1:81" ht="13.2">
      <c r="A6" s="319">
        <f t="shared" ref="A6:A12" si="0">A4+1</f>
        <v>2</v>
      </c>
      <c r="B6" s="26" t="s">
        <v>169</v>
      </c>
      <c r="C6" s="90" t="s">
        <v>170</v>
      </c>
      <c r="D6" s="91"/>
      <c r="E6" s="92" t="s">
        <v>56</v>
      </c>
      <c r="F6" s="320" t="s">
        <v>56</v>
      </c>
      <c r="G6" s="321">
        <v>45331</v>
      </c>
      <c r="H6" s="26">
        <v>14.41</v>
      </c>
      <c r="I6" s="97">
        <f>K6/J6</f>
        <v>14.144987499999994</v>
      </c>
      <c r="J6" s="322">
        <f>287.769784172662</f>
        <v>287.76978417266201</v>
      </c>
      <c r="K6" s="323">
        <f>1915+2155.5</f>
        <v>4070.5</v>
      </c>
      <c r="L6" s="323">
        <f>J6*H6</f>
        <v>4146.7625899280592</v>
      </c>
      <c r="M6" s="324">
        <f>L6-K6</f>
        <v>76.262589928059242</v>
      </c>
      <c r="N6" s="325">
        <f>H6/I6-1</f>
        <v>1.8735435432516656E-2</v>
      </c>
      <c r="O6" s="326">
        <f ca="1">TODAY()-G6</f>
        <v>11</v>
      </c>
      <c r="P6" s="327">
        <v>13</v>
      </c>
      <c r="Q6" s="144">
        <f>P6/H6-1</f>
        <v>-9.7848716169326888E-2</v>
      </c>
      <c r="R6" s="48">
        <v>17.600000000000001</v>
      </c>
      <c r="S6" s="143">
        <f>R6/H6-1</f>
        <v>0.22137404580152675</v>
      </c>
      <c r="T6" s="102" t="e">
        <v>#N/A</v>
      </c>
      <c r="U6" s="328" t="e">
        <v>#DIV/0!</v>
      </c>
      <c r="V6" s="329" t="e">
        <v>#DIV/0!</v>
      </c>
      <c r="W6" s="330" t="e">
        <v>#DIV/0!</v>
      </c>
      <c r="X6" s="330" t="e">
        <v>#DIV/0!</v>
      </c>
      <c r="Y6" s="329" t="e">
        <v>#DIV/0!</v>
      </c>
      <c r="Z6" s="144" t="s">
        <v>97</v>
      </c>
      <c r="AA6" s="144" t="s">
        <v>65</v>
      </c>
      <c r="AB6" s="144" t="s">
        <v>84</v>
      </c>
      <c r="AC6" s="144" t="s">
        <v>75</v>
      </c>
      <c r="AD6" s="496" t="s">
        <v>294</v>
      </c>
      <c r="AE6" s="22"/>
      <c r="AF6" s="22"/>
      <c r="AG6" s="22"/>
      <c r="AH6" s="331" t="str">
        <f ca="1">IFERROR(__xludf.DUMMYFUNCTION("GoogleFinance(B6,""price"",DATE(2024,2,9))"),"#N/A")</f>
        <v>#N/A</v>
      </c>
      <c r="AI6" s="332"/>
      <c r="AJ6" s="333" t="str">
        <f ca="1">IFERROR(__xludf.DUMMYFUNCTION("GoogleFinance(B6,""price"",DATE(2024,1,31))"),"#N/A")</f>
        <v>#N/A</v>
      </c>
      <c r="AK6" s="333"/>
      <c r="AL6" s="333" t="str">
        <f ca="1">IFERROR(__xludf.DUMMYFUNCTION("GoogleFinance(B6,""price"",today()-91)"),"#N/A")</f>
        <v>#N/A</v>
      </c>
      <c r="AM6" s="143"/>
      <c r="AN6" s="334" t="str">
        <f ca="1">IFERROR(__xludf.DUMMYFUNCTION("GoogleFinance(B6,""price"",today()-182)"),"#N/A")</f>
        <v>#N/A</v>
      </c>
      <c r="AO6" s="143"/>
      <c r="AP6" s="334" t="str">
        <f ca="1">IFERROR(__xludf.DUMMYFUNCTION("GoogleFinance(B6,""price"",DATE(2023,12,29))"),"#N/A")</f>
        <v>#N/A</v>
      </c>
      <c r="AQ6" s="143"/>
      <c r="AR6" s="335"/>
      <c r="AS6" s="143"/>
      <c r="AT6" s="335"/>
      <c r="AU6" s="143"/>
      <c r="AV6" s="335"/>
      <c r="AW6" s="336"/>
      <c r="AX6" s="336"/>
      <c r="AY6" s="336"/>
      <c r="AZ6" s="336"/>
      <c r="BA6" s="335"/>
      <c r="BB6" s="335"/>
      <c r="BC6" s="336"/>
      <c r="BD6" s="335"/>
      <c r="BE6" s="335"/>
      <c r="BF6" s="335"/>
      <c r="BG6" s="335"/>
      <c r="BH6" s="335"/>
      <c r="BI6" s="336"/>
      <c r="BJ6" s="336"/>
      <c r="BK6" s="336"/>
      <c r="BL6" s="336"/>
      <c r="BM6" s="336"/>
      <c r="BN6" s="336"/>
      <c r="BO6" s="336"/>
      <c r="BP6" s="336"/>
      <c r="BQ6" s="336"/>
      <c r="BR6" s="336"/>
      <c r="BS6" s="335"/>
      <c r="BT6" s="335"/>
      <c r="BU6" s="335"/>
      <c r="BV6" s="335"/>
      <c r="BW6" s="335"/>
      <c r="BX6" s="335"/>
      <c r="BY6" s="335"/>
      <c r="BZ6" s="335"/>
      <c r="CA6" s="335"/>
      <c r="CB6" s="335"/>
      <c r="CC6" s="335"/>
    </row>
    <row r="7" spans="1:81" ht="13.2" hidden="1">
      <c r="A7" s="279">
        <f t="shared" si="0"/>
        <v>2</v>
      </c>
      <c r="B7" s="310"/>
      <c r="C7" s="311"/>
      <c r="D7" s="310"/>
      <c r="E7" s="310"/>
      <c r="F7" s="310"/>
      <c r="G7" s="310"/>
      <c r="H7" s="312"/>
      <c r="I7" s="312"/>
      <c r="J7" s="312"/>
      <c r="K7" s="312"/>
      <c r="L7" s="312"/>
      <c r="M7" s="54"/>
      <c r="N7" s="313"/>
      <c r="O7" s="312"/>
      <c r="P7" s="312"/>
      <c r="Q7" s="314"/>
      <c r="R7" s="314"/>
      <c r="S7" s="314"/>
      <c r="T7" s="315"/>
      <c r="U7" s="310"/>
      <c r="V7" s="310"/>
      <c r="W7" s="310"/>
      <c r="X7" s="310"/>
      <c r="Y7" s="310"/>
      <c r="Z7" s="316"/>
      <c r="AA7" s="316"/>
      <c r="AB7" s="316"/>
      <c r="AC7" s="316"/>
      <c r="AD7" s="317"/>
      <c r="AE7" s="22"/>
      <c r="AF7" s="22"/>
      <c r="AG7" s="22"/>
      <c r="AH7" s="337"/>
      <c r="AI7" s="338"/>
      <c r="AJ7" s="337"/>
      <c r="AK7" s="338"/>
      <c r="AL7" s="337"/>
      <c r="AM7" s="338"/>
      <c r="AN7" s="337"/>
      <c r="AO7" s="338"/>
      <c r="AP7" s="337"/>
      <c r="AQ7" s="338"/>
      <c r="AR7" s="24"/>
      <c r="AS7" s="24"/>
      <c r="AT7" s="24"/>
      <c r="AU7" s="24"/>
      <c r="AV7" s="318"/>
      <c r="AW7" s="318"/>
      <c r="AX7" s="24"/>
      <c r="AY7" s="318"/>
      <c r="AZ7" s="318"/>
      <c r="BA7" s="318"/>
      <c r="BB7" s="318"/>
      <c r="BC7" s="318"/>
      <c r="BD7" s="24"/>
      <c r="BE7" s="24"/>
      <c r="BF7" s="24"/>
      <c r="BG7" s="24"/>
      <c r="BH7" s="24"/>
      <c r="BI7" s="24"/>
      <c r="BJ7" s="24"/>
      <c r="BK7" s="24"/>
      <c r="BL7" s="24"/>
      <c r="BM7" s="24"/>
      <c r="BN7" s="318"/>
      <c r="BO7" s="318"/>
      <c r="BP7" s="318"/>
      <c r="BQ7" s="318"/>
      <c r="BR7" s="318"/>
      <c r="BS7" s="318"/>
      <c r="BT7" s="318"/>
      <c r="BU7" s="318"/>
      <c r="BV7" s="318"/>
      <c r="BW7" s="318"/>
      <c r="BX7" s="318"/>
      <c r="BY7" s="318"/>
      <c r="BZ7" s="318"/>
      <c r="CA7" s="318"/>
      <c r="CB7" s="318"/>
      <c r="CC7" s="318"/>
    </row>
    <row r="8" spans="1:81" ht="13.2">
      <c r="A8" s="279">
        <f t="shared" si="0"/>
        <v>3</v>
      </c>
      <c r="B8" s="1" t="s">
        <v>172</v>
      </c>
      <c r="C8" s="46" t="str">
        <f ca="1">IFERROR(__xludf.DUMMYFUNCTION("GoogleFinance(B8,""name"")"),"ProShares Short Dow30")</f>
        <v>ProShares Short Dow30</v>
      </c>
      <c r="D8" s="47" t="str">
        <f ca="1">IFERROR(__xludf.DUMMYFUNCTION("GoogleFinance(B8,""marketcap"")/1000000"),"#N/A")</f>
        <v>#N/A</v>
      </c>
      <c r="E8" s="48" t="s">
        <v>173</v>
      </c>
      <c r="F8" s="48" t="s">
        <v>174</v>
      </c>
      <c r="G8" s="49">
        <v>45331</v>
      </c>
      <c r="H8" s="1">
        <f ca="1">IFERROR(__xludf.DUMMYFUNCTION("GOOGLEFINANCE(B8)"),29.27)</f>
        <v>29.27</v>
      </c>
      <c r="I8" s="51">
        <v>29.23</v>
      </c>
      <c r="J8" s="52">
        <v>136.84570646595964</v>
      </c>
      <c r="K8" s="53">
        <v>4000</v>
      </c>
      <c r="L8" s="339">
        <f ca="1">J8*H8</f>
        <v>4005.4738282586386</v>
      </c>
      <c r="M8" s="340">
        <f ca="1">L8-K8</f>
        <v>5.4738282586386049</v>
      </c>
      <c r="N8" s="341">
        <f ca="1">H8/I8-1</f>
        <v>1.3684570646594896E-3</v>
      </c>
      <c r="O8" s="342">
        <f ca="1">TODAY()-G8</f>
        <v>11</v>
      </c>
      <c r="P8" s="57">
        <v>28</v>
      </c>
      <c r="Q8" s="144">
        <f ca="1">P8/H8-1</f>
        <v>-4.3389135633754683E-2</v>
      </c>
      <c r="R8" s="48">
        <v>32</v>
      </c>
      <c r="S8" s="22">
        <f ca="1">R8/H8-1</f>
        <v>9.3269559275708902E-2</v>
      </c>
      <c r="T8" s="8">
        <v>4.0999999999999995E-3</v>
      </c>
      <c r="U8" s="328">
        <v>2.054091064703778E-3</v>
      </c>
      <c r="V8" s="329">
        <v>-9.4754653130287858E-3</v>
      </c>
      <c r="W8" s="330">
        <v>-8.6169216359662903E-2</v>
      </c>
      <c r="X8" s="330">
        <v>-0.10049170251997541</v>
      </c>
      <c r="Y8" s="329">
        <v>-1.4478114478114423E-2</v>
      </c>
      <c r="Z8" s="58" t="s">
        <v>97</v>
      </c>
      <c r="AA8" s="59" t="s">
        <v>65</v>
      </c>
      <c r="AB8" s="498" t="s">
        <v>64</v>
      </c>
      <c r="AC8" s="60" t="s">
        <v>75</v>
      </c>
      <c r="AD8" s="497" t="s">
        <v>295</v>
      </c>
      <c r="AE8" s="22"/>
      <c r="AF8" s="22"/>
      <c r="AG8" s="22"/>
      <c r="AH8" s="22" t="str">
        <f ca="1">IFERROR(__xludf.DUMMYFUNCTION("GoogleFinance(B8,""price"",DATE(2024,2,9))"),"Date")</f>
        <v>Date</v>
      </c>
      <c r="AI8" s="27" t="str">
        <f ca="1">IFERROR(__xludf.DUMMYFUNCTION("""COMPUTED_VALUE"""),"Close")</f>
        <v>Close</v>
      </c>
      <c r="AJ8" s="22" t="str">
        <f ca="1">IFERROR(__xludf.DUMMYFUNCTION("GoogleFinance(B8,""price"",DATE(2024,1,31))"),"Date")</f>
        <v>Date</v>
      </c>
      <c r="AK8" s="27" t="str">
        <f ca="1">IFERROR(__xludf.DUMMYFUNCTION("""COMPUTED_VALUE"""),"Close")</f>
        <v>Close</v>
      </c>
      <c r="AL8" s="22" t="str">
        <f ca="1">IFERROR(__xludf.DUMMYFUNCTION("GoogleFinance(B8,""price"",today()-91)"),"#N/A")</f>
        <v>#N/A</v>
      </c>
      <c r="AM8" s="27"/>
      <c r="AN8" s="22" t="str">
        <f ca="1">IFERROR(__xludf.DUMMYFUNCTION("GoogleFinance(B8,""price"",today()-182)"),"#N/A")</f>
        <v>#N/A</v>
      </c>
      <c r="AO8" s="27"/>
      <c r="AP8" s="22" t="str">
        <f ca="1">IFERROR(__xludf.DUMMYFUNCTION("GoogleFinance(B8,""price"",DATE(2023,12,29))"),"Date")</f>
        <v>Date</v>
      </c>
      <c r="AQ8" s="27" t="str">
        <f ca="1">IFERROR(__xludf.DUMMYFUNCTION("""COMPUTED_VALUE"""),"Close")</f>
        <v>Close</v>
      </c>
      <c r="AR8" s="5"/>
      <c r="AS8" s="5"/>
      <c r="AT8" s="5"/>
      <c r="AU8" s="5"/>
      <c r="AX8" s="5"/>
      <c r="BD8" s="5"/>
      <c r="BE8" s="5"/>
      <c r="BF8" s="5"/>
      <c r="BG8" s="5"/>
      <c r="BH8" s="5"/>
      <c r="BI8" s="5"/>
      <c r="BJ8" s="5"/>
      <c r="BK8" s="5"/>
      <c r="BL8" s="5"/>
      <c r="BM8" s="5"/>
    </row>
    <row r="9" spans="1:81" ht="13.2" hidden="1">
      <c r="A9" s="279">
        <f t="shared" si="0"/>
        <v>3</v>
      </c>
      <c r="B9" s="310"/>
      <c r="C9" s="311"/>
      <c r="D9" s="310"/>
      <c r="E9" s="310"/>
      <c r="F9" s="310"/>
      <c r="G9" s="310"/>
      <c r="H9" s="312"/>
      <c r="I9" s="312"/>
      <c r="J9" s="312"/>
      <c r="K9" s="312"/>
      <c r="L9" s="312"/>
      <c r="M9" s="54"/>
      <c r="N9" s="313"/>
      <c r="O9" s="312"/>
      <c r="P9" s="312"/>
      <c r="Q9" s="314"/>
      <c r="R9" s="314"/>
      <c r="S9" s="314"/>
      <c r="T9" s="315"/>
      <c r="U9" s="310"/>
      <c r="V9" s="310"/>
      <c r="W9" s="310"/>
      <c r="X9" s="310"/>
      <c r="Y9" s="310"/>
      <c r="Z9" s="316"/>
      <c r="AA9" s="316"/>
      <c r="AB9" s="316"/>
      <c r="AC9" s="316"/>
      <c r="AD9" s="317"/>
      <c r="AE9" s="22"/>
      <c r="AF9" s="22"/>
      <c r="AG9" s="22"/>
      <c r="AH9" s="337">
        <f ca="1">IFERROR(__xludf.DUMMYFUNCTION("""COMPUTED_VALUE"""),45331.6666666666)</f>
        <v>45331.666666666599</v>
      </c>
      <c r="AI9" s="338">
        <f ca="1">IFERROR(__xludf.DUMMYFUNCTION("""COMPUTED_VALUE"""),29.21)</f>
        <v>29.21</v>
      </c>
      <c r="AJ9" s="337">
        <f ca="1">IFERROR(__xludf.DUMMYFUNCTION("""COMPUTED_VALUE"""),45322.6666666666)</f>
        <v>45322.666666666599</v>
      </c>
      <c r="AK9" s="338">
        <f ca="1">IFERROR(__xludf.DUMMYFUNCTION("""COMPUTED_VALUE"""),29.55)</f>
        <v>29.55</v>
      </c>
      <c r="AL9" s="337"/>
      <c r="AM9" s="338"/>
      <c r="AN9" s="337"/>
      <c r="AO9" s="338"/>
      <c r="AP9" s="337">
        <f ca="1">IFERROR(__xludf.DUMMYFUNCTION("""COMPUTED_VALUE"""),45289.6666666666)</f>
        <v>45289.666666666599</v>
      </c>
      <c r="AQ9" s="338">
        <f ca="1">IFERROR(__xludf.DUMMYFUNCTION("""COMPUTED_VALUE"""),29.7)</f>
        <v>29.7</v>
      </c>
      <c r="AR9" s="24"/>
      <c r="AS9" s="24"/>
      <c r="AT9" s="24"/>
      <c r="AU9" s="24"/>
      <c r="AV9" s="318"/>
      <c r="AW9" s="318"/>
      <c r="AX9" s="24"/>
      <c r="AY9" s="318"/>
      <c r="AZ9" s="318"/>
      <c r="BA9" s="318"/>
      <c r="BB9" s="318"/>
      <c r="BC9" s="318"/>
      <c r="BD9" s="24"/>
      <c r="BE9" s="24"/>
      <c r="BF9" s="24"/>
      <c r="BG9" s="24"/>
      <c r="BH9" s="24"/>
      <c r="BI9" s="24"/>
      <c r="BJ9" s="24"/>
      <c r="BK9" s="24"/>
      <c r="BL9" s="24"/>
      <c r="BM9" s="24"/>
      <c r="BN9" s="318"/>
      <c r="BO9" s="318"/>
      <c r="BP9" s="318"/>
      <c r="BQ9" s="318"/>
      <c r="BR9" s="318"/>
      <c r="BS9" s="318"/>
      <c r="BT9" s="318"/>
      <c r="BU9" s="318"/>
      <c r="BV9" s="318"/>
      <c r="BW9" s="318"/>
      <c r="BX9" s="318"/>
      <c r="BY9" s="318"/>
      <c r="BZ9" s="318"/>
      <c r="CA9" s="318"/>
      <c r="CB9" s="318"/>
      <c r="CC9" s="318"/>
    </row>
    <row r="10" spans="1:81" ht="13.2">
      <c r="A10" s="319">
        <f t="shared" si="0"/>
        <v>4</v>
      </c>
      <c r="B10" s="26" t="s">
        <v>175</v>
      </c>
      <c r="C10" s="90" t="str">
        <f ca="1">IFERROR(__xludf.DUMMYFUNCTION("GoogleFinance(B10,""name"")"),"T-Rex 2x Inverse Tesla Daily Target ETF")</f>
        <v>T-Rex 2x Inverse Tesla Daily Target ETF</v>
      </c>
      <c r="D10" s="91" t="str">
        <f ca="1">IFERROR(__xludf.DUMMYFUNCTION("GoogleFinance(B10,""marketcap"")/1000000"),"#N/A")</f>
        <v>#N/A</v>
      </c>
      <c r="E10" s="92" t="s">
        <v>176</v>
      </c>
      <c r="F10" s="92" t="s">
        <v>174</v>
      </c>
      <c r="G10" s="93">
        <v>45336</v>
      </c>
      <c r="H10" s="26">
        <f ca="1">IFERROR(__xludf.DUMMYFUNCTION("GOOGLEFINANCE(B10)"),32.42)</f>
        <v>32.42</v>
      </c>
      <c r="I10" s="97">
        <f>K10/J10</f>
        <v>35.077903682719544</v>
      </c>
      <c r="J10" s="344">
        <f>1000/38.1+1000/32.5</f>
        <v>57.015949929335761</v>
      </c>
      <c r="K10" s="345">
        <v>2000</v>
      </c>
      <c r="L10" s="323">
        <f ca="1">J10*H10</f>
        <v>1848.4570967090656</v>
      </c>
      <c r="M10" s="324">
        <f ca="1">L10-K10</f>
        <v>-151.54290329093442</v>
      </c>
      <c r="N10" s="325">
        <f ca="1">H10/I10-1</f>
        <v>-7.577145164546728E-2</v>
      </c>
      <c r="O10" s="326">
        <f ca="1">TODAY()-G10</f>
        <v>6</v>
      </c>
      <c r="P10" s="346"/>
      <c r="Q10" s="144"/>
      <c r="R10" s="92">
        <v>46.5</v>
      </c>
      <c r="S10" s="143">
        <f ca="1">R10/H10-1</f>
        <v>0.43429981492905601</v>
      </c>
      <c r="T10" s="102">
        <v>5.8999999999999999E-3</v>
      </c>
      <c r="U10" s="328">
        <v>-7.9761566846437537E-2</v>
      </c>
      <c r="V10" s="329">
        <v>-0.14096449390567034</v>
      </c>
      <c r="W10" s="330">
        <v>0.10875512995896042</v>
      </c>
      <c r="X10" s="330" t="e">
        <v>#DIV/0!</v>
      </c>
      <c r="Y10" s="329">
        <v>0.42693661971830998</v>
      </c>
      <c r="Z10" s="347" t="s">
        <v>97</v>
      </c>
      <c r="AA10" s="348" t="s">
        <v>65</v>
      </c>
      <c r="AB10" s="499" t="s">
        <v>64</v>
      </c>
      <c r="AC10" s="349" t="s">
        <v>75</v>
      </c>
      <c r="AD10" s="496" t="s">
        <v>296</v>
      </c>
      <c r="AE10" s="143"/>
      <c r="AF10" s="143"/>
      <c r="AG10" s="143"/>
      <c r="AH10" s="143" t="str">
        <f ca="1">IFERROR(__xludf.DUMMYFUNCTION("GoogleFinance(B10,""price"",DATE(2024,2,9))"),"Date")</f>
        <v>Date</v>
      </c>
      <c r="AI10" s="108" t="str">
        <f ca="1">IFERROR(__xludf.DUMMYFUNCTION("""COMPUTED_VALUE"""),"Close")</f>
        <v>Close</v>
      </c>
      <c r="AJ10" s="143" t="str">
        <f ca="1">IFERROR(__xludf.DUMMYFUNCTION("GoogleFinance(B10,""price"",DATE(2024,1,31))"),"Date")</f>
        <v>Date</v>
      </c>
      <c r="AK10" s="108" t="str">
        <f ca="1">IFERROR(__xludf.DUMMYFUNCTION("""COMPUTED_VALUE"""),"Close")</f>
        <v>Close</v>
      </c>
      <c r="AL10" s="143" t="str">
        <f ca="1">IFERROR(__xludf.DUMMYFUNCTION("GoogleFinance(B10,""price"",today()-91)"),"#N/A")</f>
        <v>#N/A</v>
      </c>
      <c r="AM10" s="108"/>
      <c r="AN10" s="143" t="str">
        <f ca="1">IFERROR(__xludf.DUMMYFUNCTION("GoogleFinance(B10,""price"",today()-182)"),"#N/A")</f>
        <v>#N/A</v>
      </c>
      <c r="AO10" s="108"/>
      <c r="AP10" s="143" t="str">
        <f ca="1">IFERROR(__xludf.DUMMYFUNCTION("GoogleFinance(B10,""price"",DATE(2023,12,29))"),"Date")</f>
        <v>Date</v>
      </c>
      <c r="AQ10" s="108" t="str">
        <f ca="1">IFERROR(__xludf.DUMMYFUNCTION("""COMPUTED_VALUE"""),"Close")</f>
        <v>Close</v>
      </c>
      <c r="AR10" s="109"/>
      <c r="AS10" s="109"/>
      <c r="AT10" s="109"/>
      <c r="AU10" s="109"/>
      <c r="AV10" s="110"/>
      <c r="AW10" s="110"/>
      <c r="AX10" s="109"/>
      <c r="AY10" s="110"/>
      <c r="AZ10" s="110"/>
      <c r="BA10" s="110"/>
      <c r="BB10" s="110"/>
      <c r="BC10" s="110"/>
      <c r="BD10" s="109"/>
      <c r="BE10" s="109"/>
      <c r="BF10" s="109"/>
      <c r="BG10" s="109"/>
      <c r="BH10" s="109"/>
      <c r="BI10" s="109"/>
      <c r="BJ10" s="109"/>
      <c r="BK10" s="109"/>
      <c r="BL10" s="109"/>
      <c r="BM10" s="109"/>
      <c r="BN10" s="110"/>
      <c r="BO10" s="110"/>
      <c r="BP10" s="110"/>
      <c r="BQ10" s="110"/>
      <c r="BR10" s="110"/>
      <c r="BS10" s="110"/>
      <c r="BT10" s="110"/>
      <c r="BU10" s="110"/>
      <c r="BV10" s="110"/>
      <c r="BW10" s="110"/>
      <c r="BX10" s="110"/>
      <c r="BY10" s="110"/>
      <c r="BZ10" s="110"/>
      <c r="CA10" s="110"/>
      <c r="CB10" s="110"/>
      <c r="CC10" s="110"/>
    </row>
    <row r="11" spans="1:81" ht="13.2" hidden="1">
      <c r="A11" s="279">
        <f t="shared" si="0"/>
        <v>4</v>
      </c>
      <c r="B11" s="310"/>
      <c r="C11" s="311"/>
      <c r="D11" s="310"/>
      <c r="E11" s="310"/>
      <c r="F11" s="310"/>
      <c r="G11" s="310"/>
      <c r="H11" s="312"/>
      <c r="I11" s="312"/>
      <c r="J11" s="312"/>
      <c r="K11" s="312"/>
      <c r="L11" s="312"/>
      <c r="M11" s="54"/>
      <c r="N11" s="313"/>
      <c r="O11" s="312"/>
      <c r="P11" s="312"/>
      <c r="Q11" s="314"/>
      <c r="R11" s="314"/>
      <c r="S11" s="314"/>
      <c r="T11" s="315"/>
      <c r="U11" s="310"/>
      <c r="V11" s="310"/>
      <c r="W11" s="310"/>
      <c r="X11" s="310"/>
      <c r="Y11" s="310"/>
      <c r="Z11" s="316"/>
      <c r="AA11" s="316"/>
      <c r="AB11" s="316"/>
      <c r="AC11" s="316"/>
      <c r="AD11" s="317"/>
      <c r="AE11" s="22"/>
      <c r="AF11" s="22"/>
      <c r="AG11" s="22"/>
      <c r="AH11" s="337">
        <f ca="1">IFERROR(__xludf.DUMMYFUNCTION("""COMPUTED_VALUE"""),45331.6666666666)</f>
        <v>45331.666666666599</v>
      </c>
      <c r="AI11" s="338">
        <f ca="1">IFERROR(__xludf.DUMMYFUNCTION("""COMPUTED_VALUE"""),35.23)</f>
        <v>35.229999999999997</v>
      </c>
      <c r="AJ11" s="337">
        <f ca="1">IFERROR(__xludf.DUMMYFUNCTION("""COMPUTED_VALUE"""),45322.6666666666)</f>
        <v>45322.666666666599</v>
      </c>
      <c r="AK11" s="338">
        <f ca="1">IFERROR(__xludf.DUMMYFUNCTION("""COMPUTED_VALUE"""),37.74)</f>
        <v>37.74</v>
      </c>
      <c r="AL11" s="337"/>
      <c r="AM11" s="338"/>
      <c r="AN11" s="337"/>
      <c r="AO11" s="338"/>
      <c r="AP11" s="337">
        <f ca="1">IFERROR(__xludf.DUMMYFUNCTION("""COMPUTED_VALUE"""),45289.6666666666)</f>
        <v>45289.666666666599</v>
      </c>
      <c r="AQ11" s="338">
        <f ca="1">IFERROR(__xludf.DUMMYFUNCTION("""COMPUTED_VALUE"""),22.72)</f>
        <v>22.72</v>
      </c>
      <c r="AR11" s="24"/>
      <c r="AS11" s="24"/>
      <c r="AT11" s="24"/>
      <c r="AU11" s="24"/>
      <c r="AV11" s="318"/>
      <c r="AW11" s="318"/>
      <c r="AX11" s="24"/>
      <c r="AY11" s="318"/>
      <c r="AZ11" s="318"/>
      <c r="BA11" s="318"/>
      <c r="BB11" s="318"/>
      <c r="BC11" s="318"/>
      <c r="BD11" s="24"/>
      <c r="BE11" s="24"/>
      <c r="BF11" s="24"/>
      <c r="BG11" s="24"/>
      <c r="BH11" s="24"/>
      <c r="BI11" s="24"/>
      <c r="BJ11" s="24"/>
      <c r="BK11" s="24"/>
      <c r="BL11" s="24"/>
      <c r="BM11" s="24"/>
      <c r="BN11" s="318"/>
      <c r="BO11" s="318"/>
      <c r="BP11" s="318"/>
      <c r="BQ11" s="318"/>
      <c r="BR11" s="318"/>
      <c r="BS11" s="318"/>
      <c r="BT11" s="318"/>
      <c r="BU11" s="318"/>
      <c r="BV11" s="318"/>
      <c r="BW11" s="318"/>
      <c r="BX11" s="318"/>
      <c r="BY11" s="318"/>
      <c r="BZ11" s="318"/>
      <c r="CA11" s="318"/>
      <c r="CB11" s="318"/>
      <c r="CC11" s="318"/>
    </row>
    <row r="12" spans="1:81" ht="13.2" hidden="1">
      <c r="A12" s="279">
        <f t="shared" si="0"/>
        <v>5</v>
      </c>
      <c r="B12" s="1" t="s">
        <v>5</v>
      </c>
      <c r="C12" s="46" t="str">
        <f ca="1">IFERROR(__xludf.DUMMYFUNCTION("GoogleFinance(B12,""name"")"),"SPDR S&amp;P 500 ETF Trust")</f>
        <v>SPDR S&amp;P 500 ETF Trust</v>
      </c>
      <c r="D12" s="47">
        <f ca="1">IFERROR(__xludf.DUMMYFUNCTION("GoogleFinance(B12,""marketcap"")/1000000"),450858.184373)</f>
        <v>450858.184373</v>
      </c>
      <c r="E12" s="48" t="s">
        <v>60</v>
      </c>
      <c r="F12" s="48" t="s">
        <v>177</v>
      </c>
      <c r="G12" s="49">
        <v>45309</v>
      </c>
      <c r="H12" s="50">
        <f ca="1">IFERROR(__xludf.DUMMYFUNCTION("GOOGLEFINANCE(B12)"),499.51)</f>
        <v>499.51</v>
      </c>
      <c r="I12" s="51"/>
      <c r="J12" s="52"/>
      <c r="K12" s="53">
        <f>J12*I12</f>
        <v>0</v>
      </c>
      <c r="L12" s="54">
        <f ca="1">H12*J12</f>
        <v>0</v>
      </c>
      <c r="M12" s="54">
        <f ca="1">L12-K12</f>
        <v>0</v>
      </c>
      <c r="N12" s="55"/>
      <c r="O12" s="56">
        <f ca="1">TODAY()-G12</f>
        <v>33</v>
      </c>
      <c r="P12" s="57">
        <v>465</v>
      </c>
      <c r="Q12" s="55">
        <f ca="1">P12/H12-1</f>
        <v>-6.9087705951832779E-2</v>
      </c>
      <c r="R12" s="48">
        <v>482</v>
      </c>
      <c r="S12" s="76">
        <f ca="1">R12/H12-1</f>
        <v>-3.5054353266200877E-2</v>
      </c>
      <c r="T12" s="10">
        <v>-5.0000000000000001E-3</v>
      </c>
      <c r="U12" s="10">
        <v>-3.3719074221867373E-3</v>
      </c>
      <c r="V12" s="10">
        <v>3.4439198144466499E-2</v>
      </c>
      <c r="W12" s="10">
        <v>9.9612556685598541E-2</v>
      </c>
      <c r="X12" s="10">
        <v>0.13695543314972469</v>
      </c>
      <c r="Y12" s="10">
        <v>5.0914140245313488E-2</v>
      </c>
      <c r="Z12" s="58" t="s">
        <v>97</v>
      </c>
      <c r="AA12" s="59" t="s">
        <v>65</v>
      </c>
      <c r="AB12" s="59" t="s">
        <v>84</v>
      </c>
      <c r="AC12" s="60" t="s">
        <v>75</v>
      </c>
      <c r="AD12" s="343" t="s">
        <v>171</v>
      </c>
      <c r="AE12" s="2"/>
      <c r="AF12" s="2"/>
      <c r="AG12" s="2"/>
      <c r="AH12" s="22" t="str">
        <f ca="1">IFERROR(__xludf.DUMMYFUNCTION("GoogleFinance(B12,""price"",DATE(2024,2,9))"),"#N/A")</f>
        <v>#N/A</v>
      </c>
      <c r="AI12" s="27"/>
      <c r="AJ12" s="22" t="str">
        <f ca="1">IFERROR(__xludf.DUMMYFUNCTION("GoogleFinance(B12,""price"",DATE(2024,1,31))"),"#N/A")</f>
        <v>#N/A</v>
      </c>
      <c r="AK12" s="27"/>
      <c r="AL12" s="22" t="str">
        <f ca="1">IFERROR(__xludf.DUMMYFUNCTION("GoogleFinance(B12,""price"",today()-91)"),"#N/A")</f>
        <v>#N/A</v>
      </c>
      <c r="AM12" s="27"/>
      <c r="AN12" s="22" t="str">
        <f ca="1">IFERROR(__xludf.DUMMYFUNCTION("GoogleFinance(B12,""price"",today()-182)"),"#N/A")</f>
        <v>#N/A</v>
      </c>
      <c r="AO12" s="27"/>
      <c r="AP12" s="22" t="str">
        <f ca="1">IFERROR(__xludf.DUMMYFUNCTION("GoogleFinance(B12,""price"",DATE(2023,12,29))"),"#N/A")</f>
        <v>#N/A</v>
      </c>
      <c r="AQ12" s="27"/>
      <c r="AR12" s="5"/>
      <c r="AS12" s="5"/>
      <c r="AT12" s="5"/>
      <c r="AU12" s="5"/>
      <c r="AX12" s="5"/>
      <c r="BD12" s="5"/>
      <c r="BE12" s="5"/>
      <c r="BF12" s="5"/>
      <c r="BG12" s="5"/>
      <c r="BH12" s="5"/>
      <c r="BI12" s="5"/>
      <c r="BJ12" s="5"/>
      <c r="BK12" s="5"/>
      <c r="BL12" s="5"/>
      <c r="BM12" s="5"/>
    </row>
    <row r="13" spans="1:81" ht="13.2" hidden="1">
      <c r="A13" s="45" t="e">
        <f>#REF!+1</f>
        <v>#REF!</v>
      </c>
      <c r="B13" s="310"/>
      <c r="C13" s="311"/>
      <c r="D13" s="310"/>
      <c r="E13" s="310"/>
      <c r="F13" s="310"/>
      <c r="G13" s="310"/>
      <c r="H13" s="312"/>
      <c r="I13" s="312"/>
      <c r="J13" s="312"/>
      <c r="K13" s="312"/>
      <c r="L13" s="312"/>
      <c r="M13" s="54"/>
      <c r="N13" s="313"/>
      <c r="O13" s="312"/>
      <c r="P13" s="312"/>
      <c r="Q13" s="314"/>
      <c r="R13" s="314"/>
      <c r="S13" s="314"/>
      <c r="T13" s="315"/>
      <c r="U13" s="310"/>
      <c r="V13" s="310"/>
      <c r="W13" s="310"/>
      <c r="X13" s="310"/>
      <c r="Y13" s="310"/>
      <c r="Z13" s="316"/>
      <c r="AA13" s="316"/>
      <c r="AB13" s="316"/>
      <c r="AC13" s="316"/>
      <c r="AD13" s="317"/>
      <c r="AE13" s="22"/>
      <c r="AF13" s="22"/>
      <c r="AG13" s="22"/>
      <c r="AH13" s="337"/>
      <c r="AI13" s="338"/>
      <c r="AJ13" s="337"/>
      <c r="AK13" s="338"/>
      <c r="AL13" s="337"/>
      <c r="AM13" s="338"/>
      <c r="AN13" s="337"/>
      <c r="AO13" s="338"/>
      <c r="AP13" s="337"/>
      <c r="AQ13" s="338"/>
      <c r="AR13" s="24"/>
      <c r="AS13" s="24"/>
      <c r="AT13" s="24"/>
      <c r="AU13" s="24"/>
      <c r="AV13" s="318"/>
      <c r="AW13" s="318"/>
      <c r="AX13" s="24"/>
      <c r="AY13" s="318"/>
      <c r="AZ13" s="318"/>
      <c r="BA13" s="318"/>
      <c r="BB13" s="318"/>
      <c r="BC13" s="318"/>
      <c r="BD13" s="24"/>
      <c r="BE13" s="24"/>
      <c r="BF13" s="24"/>
      <c r="BG13" s="24"/>
      <c r="BH13" s="24"/>
      <c r="BI13" s="24"/>
      <c r="BJ13" s="24"/>
      <c r="BK13" s="24"/>
      <c r="BL13" s="24"/>
      <c r="BM13" s="24"/>
      <c r="BN13" s="318"/>
      <c r="BO13" s="318"/>
      <c r="BP13" s="318"/>
      <c r="BQ13" s="318"/>
      <c r="BR13" s="318"/>
      <c r="BS13" s="318"/>
      <c r="BT13" s="318"/>
      <c r="BU13" s="318"/>
      <c r="BV13" s="318"/>
      <c r="BW13" s="318"/>
      <c r="BX13" s="318"/>
      <c r="BY13" s="318"/>
      <c r="BZ13" s="318"/>
      <c r="CA13" s="318"/>
      <c r="CB13" s="318"/>
      <c r="CC13" s="318"/>
    </row>
    <row r="14" spans="1:81" ht="5.25" customHeight="1">
      <c r="A14" s="180"/>
      <c r="B14" s="351"/>
      <c r="C14" s="352"/>
      <c r="D14" s="351"/>
      <c r="E14" s="351"/>
      <c r="F14" s="351"/>
      <c r="G14" s="351"/>
      <c r="H14" s="351"/>
      <c r="I14" s="351"/>
      <c r="J14" s="351"/>
      <c r="K14" s="351"/>
      <c r="L14" s="351"/>
      <c r="M14" s="353"/>
      <c r="N14" s="354"/>
      <c r="O14" s="355"/>
      <c r="P14" s="351"/>
      <c r="Q14" s="356"/>
      <c r="R14" s="356"/>
      <c r="S14" s="356"/>
      <c r="T14" s="355"/>
      <c r="U14" s="351"/>
      <c r="V14" s="351"/>
      <c r="W14" s="351"/>
      <c r="X14" s="351"/>
      <c r="Y14" s="351"/>
      <c r="Z14" s="357"/>
      <c r="AA14" s="357"/>
      <c r="AB14" s="357"/>
      <c r="AC14" s="357"/>
      <c r="AD14" s="358"/>
      <c r="AE14" s="22"/>
      <c r="AF14" s="22"/>
      <c r="AG14" s="22"/>
      <c r="AH14" s="22"/>
      <c r="AI14" s="27"/>
      <c r="AJ14" s="22"/>
      <c r="AK14" s="27"/>
      <c r="AL14" s="22"/>
      <c r="AM14" s="27"/>
      <c r="AN14" s="22"/>
      <c r="AO14" s="27"/>
      <c r="AP14" s="22"/>
      <c r="AQ14" s="27"/>
      <c r="AR14" s="24"/>
      <c r="AS14" s="24"/>
      <c r="AT14" s="24"/>
      <c r="AU14" s="24"/>
      <c r="AX14" s="24"/>
      <c r="BD14" s="24"/>
      <c r="BE14" s="24"/>
      <c r="BF14" s="24"/>
      <c r="BG14" s="24"/>
      <c r="BH14" s="24"/>
      <c r="BI14" s="24"/>
      <c r="BJ14" s="24"/>
      <c r="BK14" s="24"/>
      <c r="BL14" s="24"/>
      <c r="BM14" s="24"/>
    </row>
    <row r="15" spans="1:81" ht="48">
      <c r="A15" s="180"/>
      <c r="B15" s="37" t="s">
        <v>0</v>
      </c>
      <c r="C15" s="38" t="s">
        <v>1</v>
      </c>
      <c r="D15" s="37" t="s">
        <v>30</v>
      </c>
      <c r="E15" s="37" t="s">
        <v>2</v>
      </c>
      <c r="F15" s="37" t="s">
        <v>31</v>
      </c>
      <c r="G15" s="37" t="s">
        <v>32</v>
      </c>
      <c r="H15" s="39" t="s">
        <v>3</v>
      </c>
      <c r="I15" s="39" t="s">
        <v>178</v>
      </c>
      <c r="J15" s="39" t="s">
        <v>36</v>
      </c>
      <c r="K15" s="39" t="s">
        <v>179</v>
      </c>
      <c r="L15" s="39" t="s">
        <v>38</v>
      </c>
      <c r="M15" s="39" t="s">
        <v>39</v>
      </c>
      <c r="N15" s="39" t="s">
        <v>40</v>
      </c>
      <c r="O15" s="39" t="s">
        <v>41</v>
      </c>
      <c r="P15" s="39" t="s">
        <v>42</v>
      </c>
      <c r="Q15" s="40" t="s">
        <v>43</v>
      </c>
      <c r="R15" s="40" t="s">
        <v>44</v>
      </c>
      <c r="S15" s="40" t="s">
        <v>45</v>
      </c>
      <c r="T15" s="41" t="s">
        <v>4</v>
      </c>
      <c r="U15" s="37" t="s">
        <v>46</v>
      </c>
      <c r="V15" s="37" t="s">
        <v>47</v>
      </c>
      <c r="W15" s="37" t="s">
        <v>48</v>
      </c>
      <c r="X15" s="37" t="s">
        <v>49</v>
      </c>
      <c r="Y15" s="37" t="s">
        <v>50</v>
      </c>
      <c r="Z15" s="42" t="s">
        <v>180</v>
      </c>
      <c r="AA15" s="42" t="s">
        <v>163</v>
      </c>
      <c r="AB15" s="42" t="s">
        <v>164</v>
      </c>
      <c r="AC15" s="42" t="s">
        <v>56</v>
      </c>
      <c r="AD15" s="43" t="s">
        <v>58</v>
      </c>
      <c r="AE15" s="22"/>
      <c r="AF15" s="22"/>
      <c r="AG15" s="22"/>
      <c r="AH15" s="22"/>
      <c r="AI15" s="27"/>
      <c r="AJ15" s="22"/>
      <c r="AK15" s="27"/>
      <c r="AL15" s="22"/>
      <c r="AM15" s="27"/>
      <c r="AN15" s="22"/>
      <c r="AO15" s="27"/>
      <c r="AP15" s="22"/>
      <c r="AQ15" s="27"/>
      <c r="AR15" s="24"/>
      <c r="AS15" s="24"/>
      <c r="AT15" s="24"/>
      <c r="AU15" s="24"/>
      <c r="AX15" s="24"/>
      <c r="BD15" s="24"/>
      <c r="BE15" s="24"/>
      <c r="BF15" s="24"/>
      <c r="BG15" s="24"/>
      <c r="BH15" s="24"/>
      <c r="BI15" s="24"/>
      <c r="BJ15" s="24"/>
      <c r="BK15" s="24"/>
      <c r="BL15" s="24"/>
      <c r="BM15" s="24"/>
    </row>
    <row r="16" spans="1:81" ht="13.2">
      <c r="A16" s="180"/>
      <c r="B16" s="359" t="s">
        <v>181</v>
      </c>
      <c r="C16" s="360"/>
      <c r="D16" s="361"/>
      <c r="E16" s="362"/>
      <c r="F16" s="362"/>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22"/>
      <c r="AF16" s="22"/>
      <c r="AG16" s="22"/>
      <c r="AH16" s="22"/>
      <c r="AI16" s="27"/>
      <c r="AJ16" s="22"/>
      <c r="AK16" s="27"/>
      <c r="AL16" s="22"/>
      <c r="AM16" s="27"/>
      <c r="AN16" s="22"/>
      <c r="AO16" s="27"/>
      <c r="AP16" s="22"/>
      <c r="AQ16" s="27"/>
      <c r="AR16" s="24"/>
      <c r="AS16" s="24"/>
      <c r="AT16" s="24"/>
      <c r="AU16" s="24"/>
      <c r="AX16" s="24"/>
      <c r="BD16" s="24"/>
      <c r="BE16" s="24"/>
      <c r="BF16" s="24"/>
      <c r="BG16" s="24"/>
      <c r="BH16" s="24"/>
      <c r="BI16" s="24"/>
      <c r="BJ16" s="24"/>
      <c r="BK16" s="24"/>
      <c r="BL16" s="24"/>
      <c r="BM16" s="24"/>
    </row>
    <row r="17" spans="1:81" ht="13.2">
      <c r="A17" s="45">
        <v>1</v>
      </c>
      <c r="B17" s="1" t="s">
        <v>182</v>
      </c>
      <c r="C17" s="46" t="s">
        <v>183</v>
      </c>
      <c r="D17" s="47">
        <v>41070.531465</v>
      </c>
      <c r="E17" s="48" t="s">
        <v>7</v>
      </c>
      <c r="F17" s="48" t="s">
        <v>7</v>
      </c>
      <c r="G17" s="364">
        <v>45266</v>
      </c>
      <c r="H17" s="365">
        <f ca="1">IFERROR(__xludf.DUMMYFUNCTION("GOOGLEFINANCE(B17)"),65.64)</f>
        <v>65.64</v>
      </c>
      <c r="I17" s="51">
        <v>68.739999999999995</v>
      </c>
      <c r="J17" s="52">
        <v>58.190282222868788</v>
      </c>
      <c r="K17" s="53">
        <v>4000</v>
      </c>
      <c r="L17" s="339">
        <f ca="1">J17*H17</f>
        <v>3819.6101251091072</v>
      </c>
      <c r="M17" s="54">
        <f ca="1">K17-L17</f>
        <v>180.38987489089277</v>
      </c>
      <c r="N17" s="341">
        <f ca="1">I17/H17-1</f>
        <v>4.7227300426569085E-2</v>
      </c>
      <c r="O17" s="342">
        <f ca="1">TODAY()-G17</f>
        <v>76</v>
      </c>
      <c r="P17" s="57">
        <v>82</v>
      </c>
      <c r="Q17" s="55">
        <f ca="1">H17/P17-1</f>
        <v>-0.19951219512195117</v>
      </c>
      <c r="R17" s="48">
        <v>56</v>
      </c>
      <c r="S17" s="76">
        <f ca="1">H17/R17-1</f>
        <v>0.17214285714285715</v>
      </c>
      <c r="T17" s="8">
        <v>-5.5300000000000002E-2</v>
      </c>
      <c r="U17" s="328">
        <v>-1.8540669856459302E-2</v>
      </c>
      <c r="V17" s="329">
        <v>9.69081679741568E-3</v>
      </c>
      <c r="W17" s="330">
        <v>0.10747427028851009</v>
      </c>
      <c r="X17" s="330">
        <v>0.14037526059763716</v>
      </c>
      <c r="Y17" s="329">
        <v>-0.15138978668390424</v>
      </c>
      <c r="Z17" s="58" t="s">
        <v>97</v>
      </c>
      <c r="AA17" s="59" t="s">
        <v>84</v>
      </c>
      <c r="AB17" s="59" t="s">
        <v>84</v>
      </c>
      <c r="AC17" s="60" t="s">
        <v>167</v>
      </c>
      <c r="AD17" s="343" t="s">
        <v>184</v>
      </c>
      <c r="AE17" s="2"/>
      <c r="AF17" s="2"/>
      <c r="AG17" s="2"/>
      <c r="AH17" s="22" t="str">
        <f ca="1">IFERROR(__xludf.DUMMYFUNCTION("GoogleFinance(B17,""price"",DATE(2024,2,9))"),"Date")</f>
        <v>Date</v>
      </c>
      <c r="AI17" s="27" t="str">
        <f ca="1">IFERROR(__xludf.DUMMYFUNCTION("""COMPUTED_VALUE"""),"Close")</f>
        <v>Close</v>
      </c>
      <c r="AJ17" s="22" t="str">
        <f ca="1">IFERROR(__xludf.DUMMYFUNCTION("GoogleFinance(B17,""price"",DATE(2024,1,31))"),"Date")</f>
        <v>Date</v>
      </c>
      <c r="AK17" s="27" t="str">
        <f ca="1">IFERROR(__xludf.DUMMYFUNCTION("""COMPUTED_VALUE"""),"Close")</f>
        <v>Close</v>
      </c>
      <c r="AL17" s="22" t="str">
        <f ca="1">IFERROR(__xludf.DUMMYFUNCTION("GoogleFinance(B17,""price"",today()-91)"),"#N/A")</f>
        <v>#N/A</v>
      </c>
      <c r="AM17" s="27"/>
      <c r="AN17" s="22" t="str">
        <f ca="1">IFERROR(__xludf.DUMMYFUNCTION("GoogleFinance(B17,""price"",today()-182)"),"#N/A")</f>
        <v>#N/A</v>
      </c>
      <c r="AO17" s="27"/>
      <c r="AP17" s="22" t="str">
        <f ca="1">IFERROR(__xludf.DUMMYFUNCTION("GoogleFinance(B17,""price"",DATE(2023,12,29))"),"Date")</f>
        <v>Date</v>
      </c>
      <c r="AQ17" s="27" t="str">
        <f ca="1">IFERROR(__xludf.DUMMYFUNCTION("""COMPUTED_VALUE"""),"Close")</f>
        <v>Close</v>
      </c>
      <c r="AR17" s="5"/>
      <c r="AS17" s="5"/>
      <c r="AT17" s="5"/>
      <c r="AU17" s="5"/>
      <c r="AX17" s="5"/>
      <c r="BD17" s="5"/>
      <c r="BE17" s="5"/>
      <c r="BF17" s="5"/>
      <c r="BG17" s="5"/>
      <c r="BH17" s="5"/>
      <c r="BI17" s="5"/>
      <c r="BJ17" s="5"/>
      <c r="BK17" s="5"/>
      <c r="BL17" s="5"/>
      <c r="BM17" s="5"/>
    </row>
    <row r="18" spans="1:81" ht="13.2" hidden="1">
      <c r="A18" s="366" t="e">
        <f>1+#REF!</f>
        <v>#REF!</v>
      </c>
      <c r="B18" s="21"/>
      <c r="C18" s="367"/>
      <c r="D18" s="368"/>
      <c r="E18" s="23"/>
      <c r="F18" s="23"/>
      <c r="G18" s="369"/>
      <c r="H18" s="370"/>
      <c r="I18" s="371"/>
      <c r="J18" s="372"/>
      <c r="K18" s="373"/>
      <c r="L18" s="339"/>
      <c r="M18" s="339"/>
      <c r="N18" s="138"/>
      <c r="O18" s="342"/>
      <c r="P18" s="23"/>
      <c r="Q18" s="138"/>
      <c r="R18" s="23"/>
      <c r="S18" s="142"/>
      <c r="T18" s="138"/>
      <c r="U18" s="138"/>
      <c r="V18" s="138"/>
      <c r="W18" s="138"/>
      <c r="X18" s="138"/>
      <c r="Y18" s="142"/>
      <c r="Z18" s="135"/>
      <c r="AA18" s="374"/>
      <c r="AB18" s="374"/>
      <c r="AC18" s="135"/>
      <c r="AD18" s="375"/>
      <c r="AE18" s="138"/>
      <c r="AF18" s="138"/>
      <c r="AG18" s="138"/>
      <c r="AH18" s="337">
        <f ca="1">IFERROR(__xludf.DUMMYFUNCTION("""COMPUTED_VALUE"""),45331.6666666666)</f>
        <v>45331.666666666599</v>
      </c>
      <c r="AI18" s="338">
        <f ca="1">IFERROR(__xludf.DUMMYFUNCTION("""COMPUTED_VALUE"""),66.88)</f>
        <v>66.88</v>
      </c>
      <c r="AJ18" s="337">
        <f ca="1">IFERROR(__xludf.DUMMYFUNCTION("""COMPUTED_VALUE"""),45322.6666666666)</f>
        <v>45322.666666666599</v>
      </c>
      <c r="AK18" s="338">
        <f ca="1">IFERROR(__xludf.DUMMYFUNCTION("""COMPUTED_VALUE"""),65.01)</f>
        <v>65.010000000000005</v>
      </c>
      <c r="AL18" s="337"/>
      <c r="AM18" s="338"/>
      <c r="AN18" s="337"/>
      <c r="AO18" s="338"/>
      <c r="AP18" s="337">
        <f ca="1">IFERROR(__xludf.DUMMYFUNCTION("""COMPUTED_VALUE"""),45289.6666666666)</f>
        <v>45289.666666666599</v>
      </c>
      <c r="AQ18" s="338">
        <f ca="1">IFERROR(__xludf.DUMMYFUNCTION("""COMPUTED_VALUE"""),77.35)</f>
        <v>77.349999999999994</v>
      </c>
      <c r="AR18" s="135"/>
      <c r="AS18" s="135"/>
      <c r="AT18" s="135" t="s">
        <v>71</v>
      </c>
      <c r="AU18" s="376">
        <v>4.65E-2</v>
      </c>
      <c r="AV18" s="377">
        <v>-1.0200000000000001E-2</v>
      </c>
      <c r="AW18" s="147"/>
      <c r="AX18" s="135"/>
      <c r="AY18" s="147"/>
      <c r="AZ18" s="147"/>
      <c r="BA18" s="147"/>
      <c r="BB18" s="147"/>
      <c r="BC18" s="147"/>
      <c r="BD18" s="135"/>
      <c r="BE18" s="135"/>
      <c r="BF18" s="135"/>
      <c r="BG18" s="135"/>
      <c r="BH18" s="135"/>
      <c r="BI18" s="135"/>
      <c r="BJ18" s="135"/>
      <c r="BK18" s="135"/>
      <c r="BL18" s="135"/>
      <c r="BM18" s="135"/>
      <c r="BN18" s="147"/>
      <c r="BO18" s="147"/>
      <c r="BP18" s="147"/>
      <c r="BQ18" s="147"/>
      <c r="BR18" s="147"/>
      <c r="BS18" s="147"/>
      <c r="BT18" s="147"/>
      <c r="BU18" s="147"/>
      <c r="BV18" s="147"/>
      <c r="BW18" s="147"/>
      <c r="BX18" s="147"/>
      <c r="BY18" s="147"/>
      <c r="BZ18" s="147"/>
      <c r="CA18" s="147"/>
      <c r="CB18" s="147"/>
      <c r="CC18" s="147"/>
    </row>
    <row r="19" spans="1:81" ht="13.2">
      <c r="A19" s="134">
        <v>2</v>
      </c>
      <c r="B19" s="26" t="s">
        <v>185</v>
      </c>
      <c r="C19" s="90" t="str">
        <f ca="1">IFERROR(__xludf.DUMMYFUNCTION("GoogleFinance(B19,""name"")"),"First Solar Inc")</f>
        <v>First Solar Inc</v>
      </c>
      <c r="D19" s="91">
        <f ca="1">IFERROR(__xludf.DUMMYFUNCTION("GoogleFinance(B19,""marketcap"")/1000000"),16771.868947)</f>
        <v>16771.868946999999</v>
      </c>
      <c r="E19" s="92" t="s">
        <v>7</v>
      </c>
      <c r="F19" s="92" t="s">
        <v>22</v>
      </c>
      <c r="G19" s="378">
        <v>45338</v>
      </c>
      <c r="H19" s="379">
        <f ca="1">IFERROR(__xludf.DUMMYFUNCTION("GOOGLEFINANCE(B19)"),156.98)</f>
        <v>156.97999999999999</v>
      </c>
      <c r="I19" s="97">
        <v>156.6</v>
      </c>
      <c r="J19" s="344">
        <f>3000/I19</f>
        <v>19.157088122605366</v>
      </c>
      <c r="K19" s="345">
        <v>3000</v>
      </c>
      <c r="L19" s="323">
        <f ca="1">J19*H19</f>
        <v>3007.2796934865901</v>
      </c>
      <c r="M19" s="380">
        <f ca="1">K19-L19</f>
        <v>-7.2796934865900766</v>
      </c>
      <c r="N19" s="325">
        <f ca="1">I19/H19-1</f>
        <v>-2.4206905338259865E-3</v>
      </c>
      <c r="O19" s="326">
        <f ca="1">TODAY()-G19</f>
        <v>4</v>
      </c>
      <c r="P19" s="346">
        <v>171</v>
      </c>
      <c r="Q19" s="55">
        <f ca="1">H19/P19-1</f>
        <v>-8.1988304093567277E-2</v>
      </c>
      <c r="R19" s="92">
        <v>110</v>
      </c>
      <c r="S19" s="76">
        <f ca="1">H19/R19-1</f>
        <v>0.42709090909090897</v>
      </c>
      <c r="T19" s="102">
        <v>-1.7600000000000001E-2</v>
      </c>
      <c r="U19" s="328">
        <v>3.617161716171613E-2</v>
      </c>
      <c r="V19" s="329">
        <v>7.3000683526999177E-2</v>
      </c>
      <c r="W19" s="330">
        <v>-1.4501851968108492E-2</v>
      </c>
      <c r="X19" s="330">
        <v>-0.13604843148046231</v>
      </c>
      <c r="Y19" s="329">
        <v>-8.8808915718597725E-2</v>
      </c>
      <c r="Z19" s="347" t="s">
        <v>97</v>
      </c>
      <c r="AA19" s="348" t="s">
        <v>84</v>
      </c>
      <c r="AB19" s="348" t="s">
        <v>84</v>
      </c>
      <c r="AC19" s="349" t="s">
        <v>167</v>
      </c>
      <c r="AD19" s="350" t="s">
        <v>184</v>
      </c>
      <c r="AE19" s="94"/>
      <c r="AF19" s="94"/>
      <c r="AG19" s="94"/>
      <c r="AH19" s="143" t="str">
        <f ca="1">IFERROR(__xludf.DUMMYFUNCTION("GoogleFinance(B19,""price"",DATE(2024,2,9))"),"Date")</f>
        <v>Date</v>
      </c>
      <c r="AI19" s="108" t="str">
        <f ca="1">IFERROR(__xludf.DUMMYFUNCTION("""COMPUTED_VALUE"""),"Close")</f>
        <v>Close</v>
      </c>
      <c r="AJ19" s="143" t="str">
        <f ca="1">IFERROR(__xludf.DUMMYFUNCTION("GoogleFinance(B19,""price"",DATE(2024,1,31))"),"Date")</f>
        <v>Date</v>
      </c>
      <c r="AK19" s="108" t="str">
        <f ca="1">IFERROR(__xludf.DUMMYFUNCTION("""COMPUTED_VALUE"""),"Close")</f>
        <v>Close</v>
      </c>
      <c r="AL19" s="143" t="str">
        <f ca="1">IFERROR(__xludf.DUMMYFUNCTION("GoogleFinance(B19,""price"",today()-91)"),"#N/A")</f>
        <v>#N/A</v>
      </c>
      <c r="AM19" s="108"/>
      <c r="AN19" s="143" t="str">
        <f ca="1">IFERROR(__xludf.DUMMYFUNCTION("GoogleFinance(B19,""price"",today()-182)"),"#N/A")</f>
        <v>#N/A</v>
      </c>
      <c r="AO19" s="108"/>
      <c r="AP19" s="143" t="str">
        <f ca="1">IFERROR(__xludf.DUMMYFUNCTION("GoogleFinance(B19,""price"",DATE(2023,12,29))"),"Date")</f>
        <v>Date</v>
      </c>
      <c r="AQ19" s="108" t="str">
        <f ca="1">IFERROR(__xludf.DUMMYFUNCTION("""COMPUTED_VALUE"""),"Close")</f>
        <v>Close</v>
      </c>
      <c r="AR19" s="109"/>
      <c r="AS19" s="109"/>
      <c r="AT19" s="109"/>
      <c r="AU19" s="109"/>
      <c r="AV19" s="110"/>
      <c r="AW19" s="110"/>
      <c r="AX19" s="109"/>
      <c r="AY19" s="110"/>
      <c r="AZ19" s="110"/>
      <c r="BA19" s="110"/>
      <c r="BB19" s="110"/>
      <c r="BC19" s="110"/>
      <c r="BD19" s="109"/>
      <c r="BE19" s="109"/>
      <c r="BF19" s="109"/>
      <c r="BG19" s="109"/>
      <c r="BH19" s="109"/>
      <c r="BI19" s="109"/>
      <c r="BJ19" s="109"/>
      <c r="BK19" s="109"/>
      <c r="BL19" s="109"/>
      <c r="BM19" s="109"/>
      <c r="BN19" s="110"/>
      <c r="BO19" s="110"/>
      <c r="BP19" s="110"/>
      <c r="BQ19" s="110"/>
      <c r="BR19" s="110"/>
      <c r="BS19" s="110"/>
      <c r="BT19" s="110"/>
      <c r="BU19" s="110"/>
      <c r="BV19" s="110"/>
      <c r="BW19" s="110"/>
      <c r="BX19" s="110"/>
      <c r="BY19" s="110"/>
      <c r="BZ19" s="110"/>
      <c r="CA19" s="110"/>
      <c r="CB19" s="110"/>
      <c r="CC19" s="110"/>
    </row>
    <row r="20" spans="1:81" ht="13.2" hidden="1">
      <c r="A20" s="366" t="e">
        <f>1+#REF!</f>
        <v>#REF!</v>
      </c>
      <c r="B20" s="21"/>
      <c r="C20" s="367"/>
      <c r="D20" s="368"/>
      <c r="E20" s="23"/>
      <c r="F20" s="23"/>
      <c r="G20" s="369"/>
      <c r="H20" s="366"/>
      <c r="I20" s="371"/>
      <c r="J20" s="372"/>
      <c r="K20" s="373"/>
      <c r="L20" s="339"/>
      <c r="M20" s="339"/>
      <c r="N20" s="138"/>
      <c r="O20" s="342"/>
      <c r="P20" s="23"/>
      <c r="Q20" s="138"/>
      <c r="R20" s="23"/>
      <c r="S20" s="142"/>
      <c r="T20" s="138"/>
      <c r="U20" s="138"/>
      <c r="V20" s="138"/>
      <c r="W20" s="138"/>
      <c r="X20" s="138"/>
      <c r="Y20" s="142"/>
      <c r="Z20" s="135"/>
      <c r="AA20" s="374"/>
      <c r="AB20" s="374"/>
      <c r="AC20" s="135"/>
      <c r="AD20" s="375"/>
      <c r="AE20" s="138"/>
      <c r="AF20" s="138"/>
      <c r="AG20" s="138"/>
      <c r="AH20" s="337">
        <f ca="1">IFERROR(__xludf.DUMMYFUNCTION("""COMPUTED_VALUE"""),45331.6666666666)</f>
        <v>45331.666666666599</v>
      </c>
      <c r="AI20" s="338">
        <f ca="1">IFERROR(__xludf.DUMMYFUNCTION("""COMPUTED_VALUE"""),151.5)</f>
        <v>151.5</v>
      </c>
      <c r="AJ20" s="337">
        <f ca="1">IFERROR(__xludf.DUMMYFUNCTION("""COMPUTED_VALUE"""),45322.6666666666)</f>
        <v>45322.666666666599</v>
      </c>
      <c r="AK20" s="338">
        <f ca="1">IFERROR(__xludf.DUMMYFUNCTION("""COMPUTED_VALUE"""),146.3)</f>
        <v>146.30000000000001</v>
      </c>
      <c r="AL20" s="337"/>
      <c r="AM20" s="338"/>
      <c r="AN20" s="337"/>
      <c r="AO20" s="338"/>
      <c r="AP20" s="337">
        <f ca="1">IFERROR(__xludf.DUMMYFUNCTION("""COMPUTED_VALUE"""),45289.6666666666)</f>
        <v>45289.666666666599</v>
      </c>
      <c r="AQ20" s="338">
        <f ca="1">IFERROR(__xludf.DUMMYFUNCTION("""COMPUTED_VALUE"""),172.28)</f>
        <v>172.28</v>
      </c>
      <c r="AR20" s="135"/>
      <c r="AS20" s="135"/>
      <c r="AT20" s="135" t="s">
        <v>71</v>
      </c>
      <c r="AU20" s="376">
        <v>4.65E-2</v>
      </c>
      <c r="AV20" s="377">
        <v>-1.0200000000000001E-2</v>
      </c>
      <c r="AW20" s="147"/>
      <c r="AX20" s="135"/>
      <c r="AY20" s="147"/>
      <c r="AZ20" s="147"/>
      <c r="BA20" s="147"/>
      <c r="BB20" s="147"/>
      <c r="BC20" s="147"/>
      <c r="BD20" s="135"/>
      <c r="BE20" s="135"/>
      <c r="BF20" s="135"/>
      <c r="BG20" s="135"/>
      <c r="BH20" s="135"/>
      <c r="BI20" s="135"/>
      <c r="BJ20" s="135"/>
      <c r="BK20" s="135"/>
      <c r="BL20" s="135"/>
      <c r="BM20" s="135"/>
      <c r="BN20" s="147"/>
      <c r="BO20" s="147"/>
      <c r="BP20" s="147"/>
      <c r="BQ20" s="147"/>
      <c r="BR20" s="147"/>
      <c r="BS20" s="147"/>
      <c r="BT20" s="147"/>
      <c r="BU20" s="147"/>
      <c r="BV20" s="147"/>
      <c r="BW20" s="147"/>
      <c r="BX20" s="147"/>
      <c r="BY20" s="147"/>
      <c r="BZ20" s="147"/>
      <c r="CA20" s="147"/>
      <c r="CB20" s="147"/>
      <c r="CC20" s="147"/>
    </row>
    <row r="21" spans="1:81" ht="6.75" customHeight="1">
      <c r="A21" s="381"/>
      <c r="B21" s="381"/>
      <c r="C21" s="382"/>
      <c r="D21" s="383"/>
      <c r="E21" s="384"/>
      <c r="F21" s="385"/>
      <c r="G21" s="385"/>
      <c r="H21" s="386"/>
      <c r="I21" s="381"/>
      <c r="J21" s="381"/>
      <c r="K21" s="381"/>
      <c r="L21" s="381"/>
      <c r="M21" s="381"/>
      <c r="N21" s="381"/>
      <c r="O21" s="387"/>
      <c r="P21" s="386"/>
      <c r="Q21" s="381"/>
      <c r="R21" s="381"/>
      <c r="S21" s="388"/>
      <c r="T21" s="389"/>
      <c r="U21" s="390"/>
      <c r="V21" s="390"/>
      <c r="W21" s="390"/>
      <c r="X21" s="390"/>
      <c r="Y21" s="390"/>
      <c r="Z21" s="391"/>
      <c r="AA21" s="392"/>
      <c r="AB21" s="392"/>
      <c r="AC21" s="392"/>
      <c r="AD21" s="392"/>
      <c r="AE21" s="2"/>
      <c r="AF21" s="2"/>
      <c r="AG21" s="2"/>
      <c r="AH21" s="6"/>
      <c r="AI21" s="4"/>
      <c r="AJ21" s="49"/>
      <c r="AK21" s="4"/>
      <c r="AL21" s="49"/>
      <c r="AM21" s="4"/>
      <c r="AN21" s="49"/>
      <c r="AO21" s="4"/>
      <c r="AP21" s="6"/>
      <c r="AQ21" s="4"/>
      <c r="AR21" s="5"/>
      <c r="AS21" s="5"/>
      <c r="AT21" s="5"/>
      <c r="AU21" s="5"/>
      <c r="AV21" s="5"/>
      <c r="AW21" s="5"/>
      <c r="AX21" s="5"/>
      <c r="AY21" s="5"/>
      <c r="AZ21" s="5"/>
      <c r="BA21" s="5"/>
      <c r="BB21" s="5"/>
      <c r="BC21" s="5"/>
      <c r="BD21" s="5"/>
      <c r="BE21" s="5"/>
      <c r="BF21" s="5"/>
      <c r="BG21" s="5"/>
      <c r="BH21" s="5"/>
      <c r="BI21" s="5"/>
      <c r="BJ21" s="5"/>
      <c r="BK21" s="5"/>
      <c r="BL21" s="5"/>
      <c r="BM21" s="5"/>
    </row>
    <row r="22" spans="1:81" ht="15.75" customHeight="1">
      <c r="A22" s="218"/>
      <c r="B22" s="218"/>
      <c r="C22" s="218"/>
      <c r="D22" s="218"/>
      <c r="E22" s="218"/>
      <c r="F22" s="218"/>
      <c r="G22" s="219"/>
      <c r="H22" s="393" t="s">
        <v>26</v>
      </c>
      <c r="I22" s="394"/>
      <c r="J22" s="394"/>
      <c r="K22" s="395">
        <f ca="1">SUM(K4:K12)+SUM(L17:L19)</f>
        <v>17958.989818595703</v>
      </c>
      <c r="L22" s="395">
        <f ca="1">SUM(L4:L12)+SUM(K17:K19)</f>
        <v>18861.434861869344</v>
      </c>
      <c r="M22" s="396">
        <f ca="1">SUM(M4:M12)+SUM(M17:M19)</f>
        <v>902.44504327364189</v>
      </c>
      <c r="N22" s="397">
        <f ca="1">L22/K22-1</f>
        <v>5.0250323230274452E-2</v>
      </c>
      <c r="O22" s="398">
        <f ca="1">AVERAGE(O4:O12,O17:O18)</f>
        <v>40.166666666666664</v>
      </c>
      <c r="P22" s="224"/>
      <c r="Q22" s="109"/>
      <c r="R22" s="109"/>
      <c r="S22" s="109"/>
      <c r="T22" s="109"/>
      <c r="U22" s="106"/>
      <c r="V22" s="106"/>
      <c r="W22" s="106"/>
      <c r="X22" s="106"/>
      <c r="Y22" s="106"/>
      <c r="Z22" s="3"/>
      <c r="AA22" s="3"/>
      <c r="AB22" s="3"/>
      <c r="AC22" s="3"/>
      <c r="AD22" s="3"/>
      <c r="AE22" s="2"/>
      <c r="AF22" s="2"/>
      <c r="AG22" s="2"/>
      <c r="AH22" s="3"/>
      <c r="AI22" s="26"/>
      <c r="AJ22" s="26"/>
      <c r="AK22" s="26"/>
      <c r="AL22" s="26"/>
      <c r="AM22" s="26"/>
      <c r="AN22" s="26"/>
      <c r="AO22" s="26"/>
      <c r="AP22" s="26"/>
      <c r="AQ22" s="26"/>
      <c r="AR22" s="26"/>
      <c r="AS22" s="26"/>
      <c r="AT22" s="5"/>
      <c r="AU22" s="5"/>
      <c r="AV22" s="5"/>
      <c r="AW22" s="5"/>
      <c r="AX22" s="5"/>
      <c r="AY22" s="5"/>
      <c r="AZ22" s="5"/>
      <c r="BA22" s="26"/>
      <c r="BB22" s="26"/>
      <c r="BC22" s="26"/>
      <c r="BD22" s="26"/>
      <c r="BE22" s="26"/>
      <c r="BF22" s="26"/>
      <c r="BG22" s="26"/>
      <c r="BH22" s="26"/>
      <c r="BI22" s="26"/>
      <c r="BJ22" s="26"/>
      <c r="BK22" s="26"/>
      <c r="BL22" s="26"/>
      <c r="BM22" s="26"/>
      <c r="BN22" s="26"/>
      <c r="BO22" s="26"/>
      <c r="BP22" s="26"/>
      <c r="BQ22" s="26"/>
      <c r="BR22" s="26"/>
      <c r="BS22" s="26"/>
      <c r="BT22" s="26"/>
      <c r="BU22" s="26"/>
      <c r="BV22" s="26"/>
      <c r="BW22" s="208"/>
      <c r="BX22" s="208"/>
      <c r="BY22" s="208"/>
      <c r="BZ22" s="208"/>
      <c r="CA22" s="208"/>
      <c r="CB22" s="208"/>
      <c r="CC22" s="208"/>
    </row>
    <row r="23" spans="1:81" ht="15.75" customHeight="1">
      <c r="A23" s="218"/>
      <c r="B23" s="218"/>
      <c r="C23" s="218"/>
      <c r="D23" s="218"/>
      <c r="E23" s="218"/>
      <c r="F23" s="218"/>
      <c r="G23" s="218"/>
      <c r="H23" s="209"/>
      <c r="I23" s="209"/>
      <c r="J23" s="209"/>
      <c r="K23" s="209"/>
      <c r="L23" s="209"/>
      <c r="M23" s="215"/>
      <c r="N23" s="215"/>
      <c r="O23" s="216"/>
      <c r="P23" s="109"/>
      <c r="Q23" s="109"/>
      <c r="R23" s="109"/>
      <c r="S23" s="109"/>
      <c r="T23" s="109"/>
      <c r="U23" s="106"/>
      <c r="V23" s="106"/>
      <c r="W23" s="106"/>
      <c r="X23" s="106"/>
      <c r="Y23" s="106"/>
      <c r="Z23" s="3"/>
      <c r="AA23" s="3"/>
      <c r="AB23" s="3"/>
      <c r="AC23" s="3"/>
      <c r="AD23" s="3"/>
      <c r="AE23" s="3"/>
      <c r="AF23" s="3"/>
      <c r="AG23" s="3"/>
      <c r="AH23" s="109" t="s">
        <v>141</v>
      </c>
      <c r="AI23" s="106"/>
      <c r="AJ23" s="109" t="s">
        <v>142</v>
      </c>
      <c r="AK23" s="106"/>
      <c r="AL23" s="109" t="s">
        <v>143</v>
      </c>
      <c r="AM23" s="110"/>
      <c r="AN23" s="109" t="s">
        <v>144</v>
      </c>
      <c r="AO23" s="110"/>
      <c r="AP23" s="109" t="s">
        <v>145</v>
      </c>
      <c r="AQ23" s="110"/>
      <c r="AR23" s="26" t="s">
        <v>50</v>
      </c>
      <c r="AS23" s="106"/>
      <c r="AT23" s="5"/>
      <c r="AU23" s="5"/>
      <c r="AV23" s="5"/>
      <c r="AW23" s="5"/>
      <c r="AX23" s="5"/>
      <c r="AY23" s="5"/>
      <c r="AZ23" s="5"/>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399"/>
      <c r="BX23" s="399"/>
      <c r="BY23" s="399"/>
      <c r="BZ23" s="399"/>
      <c r="CA23" s="399"/>
      <c r="CB23" s="399"/>
      <c r="CC23" s="399"/>
    </row>
    <row r="24" spans="1:81" ht="15.75" customHeight="1">
      <c r="A24" s="218"/>
      <c r="B24" s="218"/>
      <c r="C24" s="479" t="s">
        <v>186</v>
      </c>
      <c r="D24" s="480"/>
      <c r="E24" s="480"/>
      <c r="F24" s="480"/>
      <c r="G24" s="481"/>
      <c r="H24" s="218"/>
      <c r="I24" s="109"/>
      <c r="J24" s="109"/>
      <c r="K24" s="109"/>
      <c r="L24" s="55"/>
      <c r="M24" s="109"/>
      <c r="N24" s="109"/>
      <c r="O24" s="109"/>
      <c r="P24" s="109"/>
      <c r="Q24" s="109"/>
      <c r="R24" s="109"/>
      <c r="S24" s="109"/>
      <c r="T24" s="109"/>
      <c r="U24" s="106"/>
      <c r="V24" s="106"/>
      <c r="W24" s="106"/>
      <c r="X24" s="106"/>
      <c r="Y24" s="106"/>
      <c r="Z24" s="3"/>
      <c r="AA24" s="3"/>
      <c r="AB24" s="3"/>
      <c r="AC24" s="3"/>
      <c r="AD24" s="3"/>
      <c r="AE24" s="3"/>
      <c r="AF24" s="244" t="s">
        <v>5</v>
      </c>
      <c r="AG24" s="245" t="s">
        <v>4</v>
      </c>
      <c r="AH24" s="2" t="str">
        <f ca="1">IFERROR(__xludf.DUMMYFUNCTION("GoogleFinance(AF24,""price"",today()-7)"),"#N/A")</f>
        <v>#N/A</v>
      </c>
      <c r="AI24" s="27"/>
      <c r="AJ24" s="49" t="str">
        <f ca="1">IFERROR(__xludf.DUMMYFUNCTION("GoogleFinance(AF24,""price"",today()-31)"),"#N/A")</f>
        <v>#N/A</v>
      </c>
      <c r="AK24" s="27"/>
      <c r="AL24" s="49" t="str">
        <f ca="1">IFERROR(__xludf.DUMMYFUNCTION("GoogleFinance(AF24,""price"",today()-91)"),"#N/A")</f>
        <v>#N/A</v>
      </c>
      <c r="AM24" s="27"/>
      <c r="AN24" s="49" t="str">
        <f ca="1">IFERROR(__xludf.DUMMYFUNCTION("GoogleFinance(AF24,""price"",today()-182)"),"#N/A")</f>
        <v>#N/A</v>
      </c>
      <c r="AO24" s="27"/>
      <c r="AP24" s="49" t="str">
        <f ca="1">IFERROR(__xludf.DUMMYFUNCTION("GoogleFinance(AF24,""price"",today()-364)"),"#N/A")</f>
        <v>#N/A</v>
      </c>
      <c r="AQ24" s="27"/>
      <c r="AR24" s="49" t="str">
        <f ca="1">IFERROR(__xludf.DUMMYFUNCTION("GoogleFinance(AF24,""price"",DATE(2023,12,29))"),"#N/A")</f>
        <v>#N/A</v>
      </c>
      <c r="AS24" s="27"/>
      <c r="AT24" s="5"/>
      <c r="AU24" s="5"/>
      <c r="AV24" s="5"/>
      <c r="AW24" s="5"/>
      <c r="AX24" s="5"/>
      <c r="AY24" s="5"/>
      <c r="AZ24" s="5"/>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399"/>
      <c r="BX24" s="399"/>
      <c r="BY24" s="399"/>
      <c r="BZ24" s="399"/>
      <c r="CA24" s="399"/>
      <c r="CB24" s="399"/>
      <c r="CC24" s="399"/>
    </row>
    <row r="25" spans="1:81" ht="15.75" customHeight="1">
      <c r="A25" s="218"/>
      <c r="B25" s="218"/>
      <c r="C25" s="244"/>
      <c r="D25" s="7"/>
      <c r="E25" s="3"/>
      <c r="F25" s="3"/>
      <c r="G25" s="3"/>
      <c r="H25" s="3"/>
      <c r="I25" s="218"/>
      <c r="J25" s="218"/>
      <c r="K25" s="218"/>
      <c r="L25" s="218"/>
      <c r="M25" s="109"/>
      <c r="N25" s="109"/>
      <c r="O25" s="109"/>
      <c r="P25" s="109"/>
      <c r="Q25" s="109"/>
      <c r="R25" s="109"/>
      <c r="S25" s="109"/>
      <c r="T25" s="109"/>
      <c r="U25" s="106"/>
      <c r="V25" s="106"/>
      <c r="W25" s="106"/>
      <c r="X25" s="106"/>
      <c r="Y25" s="106"/>
      <c r="Z25" s="106"/>
      <c r="AA25" s="106"/>
      <c r="AB25" s="106"/>
      <c r="AC25" s="106"/>
      <c r="AD25" s="3"/>
      <c r="AE25" s="3"/>
      <c r="AF25" s="3"/>
      <c r="AG25" s="45">
        <f ca="1">IFERROR(__xludf.DUMMYFUNCTION("GOOGLEFINANCE(AF24)"),499.51)</f>
        <v>499.51</v>
      </c>
      <c r="AH25" s="49"/>
      <c r="AI25" s="27"/>
      <c r="AJ25" s="49"/>
      <c r="AK25" s="27"/>
      <c r="AL25" s="49"/>
      <c r="AM25" s="27"/>
      <c r="AN25" s="49"/>
      <c r="AO25" s="27"/>
      <c r="AP25" s="49"/>
      <c r="AQ25" s="27"/>
      <c r="AR25" s="49"/>
      <c r="AS25" s="27"/>
      <c r="AT25" s="5"/>
      <c r="AU25" s="5"/>
      <c r="AV25" s="5"/>
      <c r="AW25" s="5"/>
      <c r="AX25" s="5"/>
      <c r="AY25" s="5"/>
      <c r="AZ25" s="5"/>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399"/>
      <c r="BX25" s="399"/>
      <c r="BY25" s="399"/>
      <c r="BZ25" s="399"/>
      <c r="CA25" s="399"/>
      <c r="CB25" s="399"/>
      <c r="CC25" s="399"/>
    </row>
    <row r="26" spans="1:81" ht="15.75" customHeight="1">
      <c r="A26" s="218"/>
      <c r="B26" s="218"/>
      <c r="C26" s="400" t="s">
        <v>155</v>
      </c>
      <c r="D26" s="30">
        <f>N64</f>
        <v>3.2993971763285224E-2</v>
      </c>
      <c r="E26" s="3"/>
      <c r="F26" s="3"/>
      <c r="G26" s="3"/>
      <c r="H26" s="3"/>
      <c r="I26" s="209"/>
      <c r="J26" s="216"/>
      <c r="K26" s="216"/>
      <c r="L26" s="109"/>
      <c r="M26" s="109"/>
      <c r="N26" s="109"/>
      <c r="O26" s="109"/>
      <c r="P26" s="109"/>
      <c r="Q26" s="109"/>
      <c r="R26" s="109"/>
      <c r="S26" s="109"/>
      <c r="T26" s="109"/>
      <c r="U26" s="106"/>
      <c r="V26" s="106"/>
      <c r="W26" s="106"/>
      <c r="X26" s="106"/>
      <c r="Y26" s="106"/>
      <c r="Z26" s="106"/>
      <c r="AA26" s="106"/>
      <c r="AB26" s="106"/>
      <c r="AC26" s="106"/>
      <c r="AD26" s="3"/>
      <c r="AE26" s="3"/>
      <c r="AF26" s="3"/>
      <c r="AG26" s="3"/>
      <c r="AH26" s="3"/>
      <c r="AI26" s="401"/>
      <c r="AJ26" s="106"/>
      <c r="AK26" s="401"/>
      <c r="AL26" s="106"/>
      <c r="AM26" s="401"/>
      <c r="AN26" s="106"/>
      <c r="AO26" s="401"/>
      <c r="AP26" s="26"/>
      <c r="AQ26" s="401"/>
      <c r="AR26" s="26"/>
      <c r="AS26" s="401"/>
      <c r="AT26" s="5"/>
      <c r="AU26" s="5"/>
      <c r="AV26" s="5"/>
      <c r="AW26" s="5"/>
      <c r="AX26" s="5"/>
      <c r="AY26" s="5"/>
      <c r="AZ26" s="5"/>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399"/>
      <c r="BX26" s="399"/>
      <c r="BY26" s="399"/>
      <c r="BZ26" s="399"/>
      <c r="CA26" s="399"/>
      <c r="CB26" s="399"/>
      <c r="CC26" s="399"/>
    </row>
    <row r="27" spans="1:81" ht="15.75" customHeight="1">
      <c r="A27" s="218"/>
      <c r="B27" s="218"/>
      <c r="C27" s="400" t="s">
        <v>26</v>
      </c>
      <c r="D27" s="32">
        <f ca="1">N22</f>
        <v>5.0250323230274452E-2</v>
      </c>
      <c r="E27" s="3"/>
      <c r="F27" s="3"/>
      <c r="G27" s="5"/>
      <c r="H27" s="3"/>
      <c r="I27" s="209"/>
      <c r="J27" s="216"/>
      <c r="K27" s="216"/>
      <c r="L27" s="109"/>
      <c r="M27" s="109"/>
      <c r="N27" s="109"/>
      <c r="O27" s="109"/>
      <c r="P27" s="109"/>
      <c r="Q27" s="109"/>
      <c r="R27" s="109"/>
      <c r="S27" s="109"/>
      <c r="T27" s="109"/>
      <c r="U27" s="106"/>
      <c r="V27" s="106"/>
      <c r="W27" s="106"/>
      <c r="X27" s="106"/>
      <c r="Y27" s="106"/>
      <c r="Z27" s="106"/>
      <c r="AA27" s="106"/>
      <c r="AB27" s="106"/>
      <c r="AC27" s="106"/>
      <c r="AD27" s="3"/>
      <c r="AE27" s="3"/>
      <c r="AF27" s="3"/>
      <c r="AG27" s="3"/>
      <c r="AH27" s="3"/>
      <c r="AI27" s="401"/>
      <c r="AJ27" s="106"/>
      <c r="AK27" s="401"/>
      <c r="AL27" s="106"/>
      <c r="AM27" s="401"/>
      <c r="AN27" s="106"/>
      <c r="AO27" s="401"/>
      <c r="AP27" s="26"/>
      <c r="AQ27" s="401"/>
      <c r="AR27" s="26"/>
      <c r="AS27" s="401"/>
      <c r="AT27" s="5"/>
      <c r="AU27" s="5"/>
      <c r="AV27" s="5"/>
      <c r="AW27" s="5"/>
      <c r="AX27" s="5"/>
      <c r="AY27" s="5"/>
      <c r="AZ27" s="5"/>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399"/>
      <c r="BX27" s="399"/>
      <c r="BY27" s="399"/>
      <c r="BZ27" s="399"/>
      <c r="CA27" s="399"/>
      <c r="CB27" s="399"/>
      <c r="CC27" s="399"/>
    </row>
    <row r="28" spans="1:81" ht="15.75" customHeight="1">
      <c r="A28" s="218"/>
      <c r="B28" s="218"/>
      <c r="C28" s="402" t="s">
        <v>187</v>
      </c>
      <c r="D28" s="32">
        <f ca="1">(M22+M64)/100000</f>
        <v>6.7977648906163576E-2</v>
      </c>
      <c r="F28" s="3"/>
      <c r="G28" s="3"/>
      <c r="H28" s="3"/>
      <c r="I28" s="209"/>
      <c r="J28" s="216"/>
      <c r="K28" s="216"/>
      <c r="L28" s="109"/>
      <c r="M28" s="109"/>
      <c r="N28" s="109"/>
      <c r="O28" s="109"/>
      <c r="P28" s="109"/>
      <c r="Q28" s="109"/>
      <c r="R28" s="109"/>
      <c r="S28" s="109"/>
      <c r="T28" s="109"/>
      <c r="U28" s="106"/>
      <c r="V28" s="106"/>
      <c r="W28" s="106"/>
      <c r="X28" s="106"/>
      <c r="Y28" s="106"/>
      <c r="Z28" s="106"/>
      <c r="AA28" s="106"/>
      <c r="AB28" s="106"/>
      <c r="AC28" s="106"/>
      <c r="AD28" s="3"/>
      <c r="AE28" s="3"/>
      <c r="AF28" s="3"/>
      <c r="AG28" s="3"/>
      <c r="AH28" s="3"/>
      <c r="AI28" s="401"/>
      <c r="AJ28" s="106"/>
      <c r="AK28" s="401"/>
      <c r="AL28" s="106"/>
      <c r="AM28" s="401"/>
      <c r="AN28" s="106"/>
      <c r="AO28" s="401"/>
      <c r="AP28" s="26"/>
      <c r="AQ28" s="401"/>
      <c r="AR28" s="26"/>
      <c r="AS28" s="401"/>
      <c r="AT28" s="5"/>
      <c r="AU28" s="5"/>
      <c r="AV28" s="5"/>
      <c r="AW28" s="5"/>
      <c r="AX28" s="5"/>
      <c r="AY28" s="5"/>
      <c r="AZ28" s="5"/>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399"/>
      <c r="BX28" s="399"/>
      <c r="BY28" s="399"/>
      <c r="BZ28" s="399"/>
      <c r="CA28" s="399"/>
      <c r="CB28" s="399"/>
      <c r="CC28" s="399"/>
    </row>
    <row r="29" spans="1:81" ht="15.75" customHeight="1">
      <c r="A29" s="218"/>
      <c r="B29" s="218"/>
      <c r="C29" s="244" t="s">
        <v>60</v>
      </c>
      <c r="D29" s="30" t="e">
        <f>#REF!</f>
        <v>#REF!</v>
      </c>
      <c r="E29" s="3"/>
      <c r="F29" s="3"/>
      <c r="G29" s="3"/>
      <c r="H29" s="3"/>
      <c r="I29" s="209"/>
      <c r="J29" s="216"/>
      <c r="K29" s="216"/>
      <c r="L29" s="109"/>
      <c r="M29" s="109"/>
      <c r="N29" s="109"/>
      <c r="O29" s="109"/>
      <c r="P29" s="109"/>
      <c r="Q29" s="109"/>
      <c r="R29" s="109"/>
      <c r="S29" s="109"/>
      <c r="T29" s="109"/>
      <c r="U29" s="106"/>
      <c r="V29" s="106"/>
      <c r="W29" s="106"/>
      <c r="X29" s="106"/>
      <c r="Y29" s="106"/>
      <c r="Z29" s="106"/>
      <c r="AA29" s="106"/>
      <c r="AB29" s="106"/>
      <c r="AC29" s="106"/>
      <c r="AD29" s="3"/>
      <c r="AE29" s="3"/>
      <c r="AF29" s="231"/>
      <c r="AG29" s="231"/>
      <c r="AH29" s="231"/>
      <c r="AI29" s="401"/>
      <c r="AJ29" s="403"/>
      <c r="AK29" s="401"/>
      <c r="AL29" s="106"/>
      <c r="AM29" s="401"/>
      <c r="AN29" s="106"/>
      <c r="AO29" s="401"/>
      <c r="AP29" s="26"/>
      <c r="AQ29" s="401"/>
      <c r="AR29" s="26"/>
      <c r="AS29" s="401"/>
      <c r="AT29" s="5"/>
      <c r="AU29" s="5"/>
      <c r="AV29" s="5"/>
      <c r="AW29" s="5"/>
      <c r="AX29" s="5"/>
      <c r="AY29" s="5"/>
      <c r="AZ29" s="5"/>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399"/>
      <c r="BX29" s="399"/>
      <c r="BY29" s="399"/>
      <c r="BZ29" s="399"/>
      <c r="CA29" s="399"/>
      <c r="CB29" s="399"/>
      <c r="CC29" s="399"/>
    </row>
    <row r="30" spans="1:81" ht="15.75" customHeight="1">
      <c r="A30" s="218"/>
      <c r="B30" s="218"/>
      <c r="C30" s="7"/>
      <c r="D30" s="7"/>
      <c r="E30" s="7"/>
      <c r="F30" s="7"/>
      <c r="G30" s="7"/>
      <c r="H30" s="209"/>
      <c r="I30" s="209"/>
      <c r="J30" s="216"/>
      <c r="K30" s="216"/>
      <c r="L30" s="109"/>
      <c r="M30" s="109"/>
      <c r="N30" s="109"/>
      <c r="O30" s="109"/>
      <c r="P30" s="109"/>
      <c r="Q30" s="109"/>
      <c r="R30" s="109"/>
      <c r="S30" s="109"/>
      <c r="T30" s="109"/>
      <c r="U30" s="106"/>
      <c r="V30" s="106"/>
      <c r="W30" s="106"/>
      <c r="X30" s="106"/>
      <c r="Y30" s="106"/>
      <c r="Z30" s="106"/>
      <c r="AA30" s="106"/>
      <c r="AB30" s="106"/>
      <c r="AC30" s="106"/>
      <c r="AD30" s="3"/>
      <c r="AE30" s="15"/>
      <c r="AF30" s="15"/>
      <c r="AG30" s="479" t="s">
        <v>188</v>
      </c>
      <c r="AH30" s="480"/>
      <c r="AI30" s="480"/>
      <c r="AJ30" s="480"/>
      <c r="AK30" s="481"/>
      <c r="AL30" s="404"/>
      <c r="AM30" s="401"/>
      <c r="AN30" s="106"/>
      <c r="AO30" s="401"/>
      <c r="AP30" s="26"/>
      <c r="AQ30" s="401"/>
      <c r="AR30" s="26"/>
      <c r="AS30" s="401"/>
      <c r="AT30" s="5"/>
      <c r="AU30" s="5"/>
      <c r="AV30" s="5"/>
      <c r="AW30" s="5"/>
      <c r="AX30" s="5"/>
      <c r="AY30" s="5"/>
      <c r="AZ30" s="5"/>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399"/>
      <c r="BX30" s="399"/>
      <c r="BY30" s="399"/>
      <c r="BZ30" s="399"/>
      <c r="CA30" s="399"/>
      <c r="CB30" s="399"/>
      <c r="CC30" s="399"/>
    </row>
    <row r="31" spans="1:81" ht="15.75" customHeight="1">
      <c r="A31" s="218"/>
      <c r="B31" s="218"/>
      <c r="C31" s="405" t="s">
        <v>27</v>
      </c>
      <c r="D31" s="7"/>
      <c r="E31" s="406" t="s">
        <v>189</v>
      </c>
      <c r="F31" s="407" t="s">
        <v>190</v>
      </c>
      <c r="G31" s="244"/>
      <c r="H31" s="209"/>
      <c r="I31" s="209"/>
      <c r="J31" s="216"/>
      <c r="K31" s="216"/>
      <c r="L31" s="109"/>
      <c r="M31" s="109"/>
      <c r="N31" s="109"/>
      <c r="O31" s="109"/>
      <c r="P31" s="109"/>
      <c r="Q31" s="109"/>
      <c r="R31" s="109"/>
      <c r="S31" s="109"/>
      <c r="T31" s="109"/>
      <c r="U31" s="106"/>
      <c r="V31" s="106"/>
      <c r="W31" s="106"/>
      <c r="X31" s="106"/>
      <c r="Y31" s="106"/>
      <c r="Z31" s="106"/>
      <c r="AA31" s="106"/>
      <c r="AB31" s="106"/>
      <c r="AC31" s="106"/>
      <c r="AD31" s="3"/>
      <c r="AE31" s="3"/>
      <c r="AF31" s="408"/>
      <c r="AG31" s="409" t="s">
        <v>191</v>
      </c>
      <c r="AH31" s="410" t="s">
        <v>192</v>
      </c>
      <c r="AI31" s="410" t="s">
        <v>193</v>
      </c>
      <c r="AJ31" s="410" t="s">
        <v>194</v>
      </c>
      <c r="AK31" s="410" t="s">
        <v>195</v>
      </c>
      <c r="AL31" s="106"/>
      <c r="AM31" s="401"/>
      <c r="AN31" s="106"/>
      <c r="AO31" s="401"/>
      <c r="AP31" s="26"/>
      <c r="AQ31" s="401"/>
      <c r="AR31" s="26"/>
      <c r="AS31" s="401"/>
      <c r="AT31" s="5"/>
      <c r="AU31" s="5"/>
      <c r="AV31" s="5"/>
      <c r="AW31" s="5"/>
      <c r="AX31" s="5"/>
      <c r="AY31" s="5"/>
      <c r="AZ31" s="5"/>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399"/>
      <c r="BX31" s="399"/>
      <c r="BY31" s="399"/>
      <c r="BZ31" s="399"/>
      <c r="CA31" s="399"/>
      <c r="CB31" s="399"/>
      <c r="CC31" s="399"/>
    </row>
    <row r="32" spans="1:81" ht="15.75" customHeight="1">
      <c r="A32" s="218"/>
      <c r="B32" s="218"/>
      <c r="C32" s="411"/>
      <c r="D32" s="412" t="s">
        <v>196</v>
      </c>
      <c r="E32" s="413">
        <f>AVERAGE(N52:N54,N56,N58)</f>
        <v>-5.6499890337824876E-2</v>
      </c>
      <c r="F32" s="414">
        <f ca="1">AVERAGE(N10,N19)</f>
        <v>-3.9096071089646633E-2</v>
      </c>
      <c r="G32" s="7"/>
      <c r="H32" s="209"/>
      <c r="I32" s="209"/>
      <c r="J32" s="216"/>
      <c r="K32" s="216"/>
      <c r="L32" s="109"/>
      <c r="M32" s="109"/>
      <c r="N32" s="109"/>
      <c r="O32" s="109"/>
      <c r="P32" s="109"/>
      <c r="Q32" s="109"/>
      <c r="R32" s="109"/>
      <c r="S32" s="109"/>
      <c r="T32" s="109"/>
      <c r="U32" s="106"/>
      <c r="V32" s="106"/>
      <c r="W32" s="106"/>
      <c r="X32" s="106"/>
      <c r="Y32" s="106"/>
      <c r="Z32" s="106"/>
      <c r="AA32" s="106"/>
      <c r="AB32" s="106"/>
      <c r="AC32" s="106"/>
      <c r="AD32" s="3"/>
      <c r="AE32" s="3"/>
      <c r="AF32" s="415">
        <v>2023</v>
      </c>
      <c r="AG32" s="45">
        <v>103</v>
      </c>
      <c r="AH32" s="416">
        <v>0.47</v>
      </c>
      <c r="AI32" s="45" t="s">
        <v>197</v>
      </c>
      <c r="AJ32" s="45" t="s">
        <v>198</v>
      </c>
      <c r="AK32" s="45" t="s">
        <v>199</v>
      </c>
      <c r="AL32" s="106"/>
      <c r="AM32" s="401"/>
      <c r="AN32" s="106"/>
      <c r="AO32" s="401"/>
      <c r="AP32" s="26"/>
      <c r="AQ32" s="401"/>
      <c r="AR32" s="26"/>
      <c r="AS32" s="401"/>
      <c r="AT32" s="5"/>
      <c r="AU32" s="5"/>
      <c r="AV32" s="5"/>
      <c r="AW32" s="5"/>
      <c r="AX32" s="5"/>
      <c r="AY32" s="5"/>
      <c r="AZ32" s="5"/>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399"/>
      <c r="BX32" s="399"/>
      <c r="BY32" s="399"/>
      <c r="BZ32" s="399"/>
      <c r="CA32" s="399"/>
      <c r="CB32" s="399"/>
      <c r="CC32" s="399"/>
    </row>
    <row r="33" spans="1:81" ht="15.75" customHeight="1">
      <c r="A33" s="218"/>
      <c r="B33" s="218"/>
      <c r="C33" s="411"/>
      <c r="D33" s="417" t="s">
        <v>200</v>
      </c>
      <c r="E33" s="32">
        <f>AVERAGE(N50:N51,N55,N57,N59,N60,N61,N62)</f>
        <v>0.17247152767524151</v>
      </c>
      <c r="F33" s="418">
        <f ca="1">AVERAGE(N4:N8,N17)</f>
        <v>0.20502546660263277</v>
      </c>
      <c r="G33" s="7"/>
      <c r="H33" s="209"/>
      <c r="I33" s="209"/>
      <c r="J33" s="216"/>
      <c r="K33" s="216"/>
      <c r="L33" s="109"/>
      <c r="M33" s="109"/>
      <c r="N33" s="109"/>
      <c r="O33" s="109"/>
      <c r="P33" s="109"/>
      <c r="Q33" s="109"/>
      <c r="R33" s="109"/>
      <c r="S33" s="109"/>
      <c r="T33" s="109"/>
      <c r="U33" s="106"/>
      <c r="V33" s="106"/>
      <c r="W33" s="106"/>
      <c r="X33" s="106"/>
      <c r="Y33" s="106"/>
      <c r="Z33" s="106"/>
      <c r="AA33" s="106"/>
      <c r="AB33" s="106"/>
      <c r="AC33" s="106"/>
      <c r="AD33" s="3"/>
      <c r="AE33" s="3"/>
      <c r="AF33" s="415">
        <v>2022</v>
      </c>
      <c r="AG33" s="45">
        <v>101</v>
      </c>
      <c r="AH33" s="416">
        <v>0.51</v>
      </c>
      <c r="AI33" s="45" t="s">
        <v>201</v>
      </c>
      <c r="AJ33" s="45" t="s">
        <v>202</v>
      </c>
      <c r="AK33" s="45" t="s">
        <v>203</v>
      </c>
      <c r="AL33" s="106"/>
      <c r="AM33" s="401"/>
      <c r="AN33" s="106"/>
      <c r="AO33" s="401"/>
      <c r="AP33" s="26"/>
      <c r="AQ33" s="401"/>
      <c r="AR33" s="26"/>
      <c r="AS33" s="401"/>
      <c r="AT33" s="5"/>
      <c r="AU33" s="5"/>
      <c r="AV33" s="5"/>
      <c r="AW33" s="5"/>
      <c r="AX33" s="5"/>
      <c r="AY33" s="5"/>
      <c r="AZ33" s="5"/>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399"/>
      <c r="BX33" s="399"/>
      <c r="BY33" s="399"/>
      <c r="BZ33" s="399"/>
      <c r="CA33" s="399"/>
      <c r="CB33" s="399"/>
      <c r="CC33" s="399"/>
    </row>
    <row r="34" spans="1:81" ht="15.75" customHeight="1">
      <c r="A34" s="218"/>
      <c r="B34" s="218"/>
      <c r="C34" s="419" t="s">
        <v>204</v>
      </c>
      <c r="D34" s="420"/>
      <c r="E34" s="500" t="s">
        <v>205</v>
      </c>
      <c r="F34" s="500" t="s">
        <v>206</v>
      </c>
      <c r="G34" s="7"/>
      <c r="H34" s="209"/>
      <c r="I34" s="209"/>
      <c r="J34" s="216"/>
      <c r="K34" s="216"/>
      <c r="L34" s="109"/>
      <c r="M34" s="109"/>
      <c r="N34" s="109"/>
      <c r="O34" s="109"/>
      <c r="P34" s="109"/>
      <c r="Q34" s="109"/>
      <c r="R34" s="109"/>
      <c r="S34" s="109"/>
      <c r="T34" s="109"/>
      <c r="U34" s="106"/>
      <c r="V34" s="106"/>
      <c r="W34" s="106"/>
      <c r="X34" s="106"/>
      <c r="Y34" s="106"/>
      <c r="Z34" s="106"/>
      <c r="AA34" s="106"/>
      <c r="AB34" s="106"/>
      <c r="AC34" s="106"/>
      <c r="AD34" s="3"/>
      <c r="AE34" s="3"/>
      <c r="AF34" s="415">
        <v>2021</v>
      </c>
      <c r="AG34" s="45">
        <v>107</v>
      </c>
      <c r="AH34" s="416">
        <v>0.62</v>
      </c>
      <c r="AI34" s="45" t="s">
        <v>198</v>
      </c>
      <c r="AJ34" s="45" t="s">
        <v>207</v>
      </c>
      <c r="AK34" s="45" t="s">
        <v>208</v>
      </c>
      <c r="AL34" s="106"/>
      <c r="AM34" s="401"/>
      <c r="AN34" s="106"/>
      <c r="AO34" s="401"/>
      <c r="AP34" s="26"/>
      <c r="AQ34" s="401"/>
      <c r="AR34" s="26"/>
      <c r="AS34" s="401"/>
      <c r="AT34" s="5"/>
      <c r="AU34" s="5"/>
      <c r="AV34" s="5"/>
      <c r="AW34" s="5"/>
      <c r="AX34" s="5"/>
      <c r="AY34" s="5"/>
      <c r="AZ34" s="5"/>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399"/>
      <c r="BX34" s="399"/>
      <c r="BY34" s="399"/>
      <c r="BZ34" s="399"/>
      <c r="CA34" s="399"/>
      <c r="CB34" s="399"/>
      <c r="CC34" s="399"/>
    </row>
    <row r="35" spans="1:81" ht="15.75" customHeight="1">
      <c r="A35" s="218"/>
      <c r="B35" s="219"/>
      <c r="C35" s="422"/>
      <c r="D35" s="7"/>
      <c r="E35" s="7"/>
      <c r="F35" s="7"/>
      <c r="G35" s="7"/>
      <c r="H35" s="209"/>
      <c r="I35" s="209"/>
      <c r="J35" s="216"/>
      <c r="K35" s="216"/>
      <c r="L35" s="109"/>
      <c r="M35" s="109"/>
      <c r="N35" s="109"/>
      <c r="O35" s="109"/>
      <c r="P35" s="109"/>
      <c r="Q35" s="109"/>
      <c r="R35" s="109"/>
      <c r="S35" s="109"/>
      <c r="T35" s="109"/>
      <c r="U35" s="106"/>
      <c r="V35" s="106"/>
      <c r="W35" s="106"/>
      <c r="X35" s="106"/>
      <c r="Y35" s="106"/>
      <c r="Z35" s="106"/>
      <c r="AA35" s="106"/>
      <c r="AB35" s="106"/>
      <c r="AC35" s="106"/>
      <c r="AD35" s="3"/>
      <c r="AE35" s="3"/>
      <c r="AF35" s="423">
        <v>2020</v>
      </c>
      <c r="AG35" s="45">
        <v>127</v>
      </c>
      <c r="AH35" s="416">
        <v>0.56000000000000005</v>
      </c>
      <c r="AI35" s="45" t="s">
        <v>209</v>
      </c>
      <c r="AJ35" s="45" t="s">
        <v>210</v>
      </c>
      <c r="AK35" s="45" t="s">
        <v>211</v>
      </c>
      <c r="AL35" s="106"/>
      <c r="AM35" s="401"/>
      <c r="AN35" s="106"/>
      <c r="AO35" s="401"/>
      <c r="AP35" s="26"/>
      <c r="AQ35" s="401"/>
      <c r="AR35" s="26"/>
      <c r="AS35" s="401"/>
      <c r="AT35" s="5"/>
      <c r="AU35" s="5"/>
      <c r="AV35" s="5"/>
      <c r="AW35" s="5"/>
      <c r="AX35" s="5"/>
      <c r="AY35" s="5"/>
      <c r="AZ35" s="5"/>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399"/>
      <c r="BX35" s="399"/>
      <c r="BY35" s="399"/>
      <c r="BZ35" s="399"/>
      <c r="CA35" s="399"/>
      <c r="CB35" s="399"/>
      <c r="CC35" s="399"/>
    </row>
    <row r="36" spans="1:81" ht="15.75" customHeight="1">
      <c r="A36" s="218"/>
      <c r="B36" s="218"/>
      <c r="C36" s="424" t="s">
        <v>212</v>
      </c>
      <c r="D36" s="7"/>
      <c r="E36" s="407" t="s">
        <v>189</v>
      </c>
      <c r="F36" s="407" t="s">
        <v>190</v>
      </c>
      <c r="G36" s="7"/>
      <c r="H36" s="209"/>
      <c r="I36" s="209"/>
      <c r="J36" s="216"/>
      <c r="K36" s="216"/>
      <c r="L36" s="109"/>
      <c r="M36" s="109"/>
      <c r="N36" s="109"/>
      <c r="O36" s="109"/>
      <c r="P36" s="109"/>
      <c r="Q36" s="109"/>
      <c r="R36" s="109"/>
      <c r="S36" s="109"/>
      <c r="T36" s="109"/>
      <c r="U36" s="106"/>
      <c r="V36" s="106"/>
      <c r="W36" s="106"/>
      <c r="X36" s="106"/>
      <c r="Y36" s="106"/>
      <c r="Z36" s="106"/>
      <c r="AA36" s="106"/>
      <c r="AB36" s="106"/>
      <c r="AC36" s="106"/>
      <c r="AD36" s="3"/>
      <c r="AE36" s="3"/>
      <c r="AF36" s="423">
        <v>2019</v>
      </c>
      <c r="AG36" s="45">
        <v>120</v>
      </c>
      <c r="AH36" s="416">
        <v>0.68</v>
      </c>
      <c r="AI36" s="45" t="s">
        <v>213</v>
      </c>
      <c r="AJ36" s="45" t="s">
        <v>214</v>
      </c>
      <c r="AK36" s="45" t="s">
        <v>215</v>
      </c>
      <c r="AL36" s="106"/>
      <c r="AM36" s="401"/>
      <c r="AN36" s="106"/>
      <c r="AO36" s="401"/>
      <c r="AP36" s="26"/>
      <c r="AQ36" s="401"/>
      <c r="AR36" s="26"/>
      <c r="AS36" s="401"/>
      <c r="AT36" s="5"/>
      <c r="AU36" s="5"/>
      <c r="AV36" s="5"/>
      <c r="AW36" s="5"/>
      <c r="AX36" s="5"/>
      <c r="AY36" s="5"/>
      <c r="AZ36" s="5"/>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399"/>
      <c r="BX36" s="399"/>
      <c r="BY36" s="399"/>
      <c r="BZ36" s="399"/>
      <c r="CA36" s="399"/>
      <c r="CB36" s="399"/>
      <c r="CC36" s="399"/>
    </row>
    <row r="37" spans="1:81" ht="15.75" customHeight="1">
      <c r="A37" s="218"/>
      <c r="B37" s="218"/>
      <c r="C37" s="411"/>
      <c r="D37" s="412" t="s">
        <v>216</v>
      </c>
      <c r="E37" s="425">
        <v>5</v>
      </c>
      <c r="F37" s="426">
        <v>2</v>
      </c>
      <c r="G37" s="427">
        <f>E37+F37</f>
        <v>7</v>
      </c>
      <c r="H37" s="209"/>
      <c r="I37" s="209"/>
      <c r="J37" s="216"/>
      <c r="K37" s="216"/>
      <c r="L37" s="109"/>
      <c r="M37" s="109"/>
      <c r="N37" s="109"/>
      <c r="O37" s="109"/>
      <c r="P37" s="109"/>
      <c r="Q37" s="109"/>
      <c r="R37" s="109"/>
      <c r="S37" s="109"/>
      <c r="T37" s="109"/>
      <c r="U37" s="106"/>
      <c r="V37" s="106"/>
      <c r="W37" s="106"/>
      <c r="X37" s="106"/>
      <c r="Y37" s="106"/>
      <c r="Z37" s="106"/>
      <c r="AA37" s="106"/>
      <c r="AB37" s="106"/>
      <c r="AC37" s="106"/>
      <c r="AD37" s="3"/>
      <c r="AE37" s="3"/>
      <c r="AF37" s="423">
        <v>2018</v>
      </c>
      <c r="AG37" s="45">
        <v>135</v>
      </c>
      <c r="AH37" s="416">
        <v>0.63</v>
      </c>
      <c r="AI37" s="45" t="s">
        <v>217</v>
      </c>
      <c r="AJ37" s="7"/>
      <c r="AK37" s="7"/>
      <c r="AL37" s="106"/>
      <c r="AM37" s="401"/>
      <c r="AN37" s="106"/>
      <c r="AO37" s="401"/>
      <c r="AP37" s="26"/>
      <c r="AQ37" s="401"/>
      <c r="AR37" s="26"/>
      <c r="AS37" s="401"/>
      <c r="AT37" s="5"/>
      <c r="AU37" s="5"/>
      <c r="AV37" s="5"/>
      <c r="AW37" s="5"/>
      <c r="AX37" s="5"/>
      <c r="AY37" s="5"/>
      <c r="AZ37" s="5"/>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399"/>
      <c r="BX37" s="399"/>
      <c r="BY37" s="399"/>
      <c r="BZ37" s="399"/>
      <c r="CA37" s="399"/>
      <c r="CB37" s="399"/>
      <c r="CC37" s="399"/>
    </row>
    <row r="38" spans="1:81" ht="15.75" customHeight="1">
      <c r="A38" s="218"/>
      <c r="B38" s="218"/>
      <c r="C38" s="428"/>
      <c r="D38" s="417" t="s">
        <v>218</v>
      </c>
      <c r="E38" s="429">
        <v>8</v>
      </c>
      <c r="F38" s="430">
        <v>4</v>
      </c>
      <c r="G38" s="427">
        <f>F38+E38</f>
        <v>12</v>
      </c>
      <c r="H38" s="209"/>
      <c r="I38" s="209"/>
      <c r="J38" s="216"/>
      <c r="K38" s="216"/>
      <c r="L38" s="109"/>
      <c r="M38" s="109"/>
      <c r="N38" s="109"/>
      <c r="O38" s="109"/>
      <c r="P38" s="109"/>
      <c r="Q38" s="109"/>
      <c r="R38" s="109"/>
      <c r="S38" s="109"/>
      <c r="T38" s="109"/>
      <c r="U38" s="106"/>
      <c r="V38" s="106"/>
      <c r="W38" s="106"/>
      <c r="X38" s="106"/>
      <c r="Y38" s="106"/>
      <c r="Z38" s="106"/>
      <c r="AA38" s="106"/>
      <c r="AB38" s="106"/>
      <c r="AC38" s="106"/>
      <c r="AD38" s="3"/>
      <c r="AE38" s="3"/>
      <c r="AF38" s="423">
        <v>2017</v>
      </c>
      <c r="AG38" s="45">
        <v>143</v>
      </c>
      <c r="AH38" s="416">
        <v>0.72</v>
      </c>
      <c r="AI38" s="45" t="s">
        <v>219</v>
      </c>
      <c r="AJ38" s="7"/>
      <c r="AK38" s="7"/>
      <c r="AL38" s="106"/>
      <c r="AM38" s="401"/>
      <c r="AN38" s="106"/>
      <c r="AO38" s="401"/>
      <c r="AP38" s="26"/>
      <c r="AQ38" s="401"/>
      <c r="AR38" s="26"/>
      <c r="AS38" s="401"/>
      <c r="AT38" s="5"/>
      <c r="AU38" s="5"/>
      <c r="AV38" s="5"/>
      <c r="AW38" s="5"/>
      <c r="AX38" s="5"/>
      <c r="AY38" s="5"/>
      <c r="AZ38" s="5"/>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399"/>
      <c r="BX38" s="399"/>
      <c r="BY38" s="399"/>
      <c r="BZ38" s="399"/>
      <c r="CA38" s="399"/>
      <c r="CB38" s="399"/>
      <c r="CC38" s="399"/>
    </row>
    <row r="39" spans="1:81" ht="15.75" customHeight="1">
      <c r="A39" s="218"/>
      <c r="B39" s="218"/>
      <c r="C39" s="422"/>
      <c r="D39" s="7"/>
      <c r="E39" s="421">
        <f>E38+E37</f>
        <v>13</v>
      </c>
      <c r="F39" s="421">
        <f>F37+F38</f>
        <v>6</v>
      </c>
      <c r="G39" s="431">
        <f>G38+G37</f>
        <v>19</v>
      </c>
      <c r="H39" s="209"/>
      <c r="I39" s="209"/>
      <c r="J39" s="216"/>
      <c r="K39" s="216"/>
      <c r="L39" s="109"/>
      <c r="M39" s="109"/>
      <c r="N39" s="109"/>
      <c r="O39" s="109"/>
      <c r="P39" s="109"/>
      <c r="Q39" s="109"/>
      <c r="R39" s="109"/>
      <c r="S39" s="109"/>
      <c r="T39" s="109"/>
      <c r="U39" s="106"/>
      <c r="V39" s="106"/>
      <c r="W39" s="106"/>
      <c r="X39" s="106"/>
      <c r="Y39" s="106"/>
      <c r="Z39" s="106"/>
      <c r="AA39" s="106"/>
      <c r="AB39" s="106"/>
      <c r="AC39" s="106"/>
      <c r="AD39" s="3"/>
      <c r="AE39" s="3"/>
      <c r="AF39" s="3"/>
      <c r="AG39" s="3"/>
      <c r="AH39" s="3"/>
      <c r="AI39" s="401"/>
      <c r="AJ39" s="106"/>
      <c r="AK39" s="401"/>
      <c r="AL39" s="106"/>
      <c r="AM39" s="401"/>
      <c r="AN39" s="106"/>
      <c r="AO39" s="401"/>
      <c r="AP39" s="26"/>
      <c r="AQ39" s="401"/>
      <c r="AR39" s="26"/>
      <c r="AS39" s="401"/>
      <c r="AT39" s="5"/>
      <c r="AU39" s="5"/>
      <c r="AV39" s="5"/>
      <c r="AW39" s="5"/>
      <c r="AX39" s="5"/>
      <c r="AY39" s="5"/>
      <c r="AZ39" s="5"/>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399"/>
      <c r="BX39" s="399"/>
      <c r="BY39" s="399"/>
      <c r="BZ39" s="399"/>
      <c r="CA39" s="399"/>
      <c r="CB39" s="399"/>
      <c r="CC39" s="399"/>
    </row>
    <row r="40" spans="1:81" ht="15.75" customHeight="1">
      <c r="A40" s="218"/>
      <c r="B40" s="218"/>
      <c r="C40" s="422"/>
      <c r="D40" s="7"/>
      <c r="E40" s="7"/>
      <c r="F40" s="7"/>
      <c r="G40" s="7"/>
      <c r="H40" s="209"/>
      <c r="I40" s="209"/>
      <c r="J40" s="216"/>
      <c r="K40" s="216"/>
      <c r="L40" s="109"/>
      <c r="M40" s="109"/>
      <c r="N40" s="109"/>
      <c r="O40" s="109"/>
      <c r="P40" s="109"/>
      <c r="Q40" s="109"/>
      <c r="R40" s="109"/>
      <c r="S40" s="109"/>
      <c r="T40" s="109"/>
      <c r="U40" s="106"/>
      <c r="V40" s="106"/>
      <c r="W40" s="106"/>
      <c r="X40" s="106"/>
      <c r="Y40" s="106"/>
      <c r="Z40" s="106"/>
      <c r="AA40" s="106"/>
      <c r="AB40" s="106"/>
      <c r="AC40" s="106"/>
      <c r="AD40" s="3"/>
      <c r="AE40" s="3"/>
      <c r="AF40" s="3"/>
      <c r="AG40" s="3"/>
      <c r="AH40" s="3"/>
      <c r="AI40" s="401"/>
      <c r="AJ40" s="106"/>
      <c r="AK40" s="401"/>
      <c r="AL40" s="106"/>
      <c r="AM40" s="401"/>
      <c r="AN40" s="106"/>
      <c r="AO40" s="401"/>
      <c r="AP40" s="26"/>
      <c r="AQ40" s="401"/>
      <c r="AR40" s="26"/>
      <c r="AS40" s="401"/>
      <c r="AT40" s="5"/>
      <c r="AU40" s="5"/>
      <c r="AV40" s="5"/>
      <c r="AW40" s="5"/>
      <c r="AX40" s="5"/>
      <c r="AY40" s="5"/>
      <c r="AZ40" s="5"/>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399"/>
      <c r="BX40" s="399"/>
      <c r="BY40" s="399"/>
      <c r="BZ40" s="399"/>
      <c r="CA40" s="399"/>
      <c r="CB40" s="399"/>
      <c r="CC40" s="399"/>
    </row>
    <row r="41" spans="1:81" ht="15.75" customHeight="1">
      <c r="A41" s="218"/>
      <c r="B41" s="218"/>
      <c r="C41" s="424" t="s">
        <v>220</v>
      </c>
      <c r="D41" s="7"/>
      <c r="E41" s="407" t="s">
        <v>189</v>
      </c>
      <c r="F41" s="407" t="s">
        <v>190</v>
      </c>
      <c r="G41" s="7"/>
      <c r="H41" s="209"/>
      <c r="I41" s="209"/>
      <c r="J41" s="216"/>
      <c r="K41" s="216"/>
      <c r="L41" s="109"/>
      <c r="M41" s="109"/>
      <c r="N41" s="109"/>
      <c r="O41" s="109"/>
      <c r="P41" s="109"/>
      <c r="Q41" s="109"/>
      <c r="R41" s="109"/>
      <c r="S41" s="109"/>
      <c r="T41" s="109"/>
      <c r="U41" s="106"/>
      <c r="V41" s="106"/>
      <c r="W41" s="106"/>
      <c r="X41" s="106"/>
      <c r="Y41" s="106"/>
      <c r="Z41" s="106"/>
      <c r="AA41" s="106"/>
      <c r="AB41" s="106"/>
      <c r="AC41" s="106"/>
      <c r="AD41" s="3"/>
      <c r="AE41" s="3"/>
      <c r="AF41" s="3"/>
      <c r="AG41" s="3"/>
      <c r="AH41" s="3"/>
      <c r="AI41" s="401"/>
      <c r="AJ41" s="106"/>
      <c r="AK41" s="401"/>
      <c r="AL41" s="106"/>
      <c r="AM41" s="401"/>
      <c r="AN41" s="106"/>
      <c r="AO41" s="401"/>
      <c r="AP41" s="26"/>
      <c r="AQ41" s="401"/>
      <c r="AR41" s="26"/>
      <c r="AS41" s="401"/>
      <c r="AT41" s="5"/>
      <c r="AU41" s="5"/>
      <c r="AV41" s="5"/>
      <c r="AW41" s="5"/>
      <c r="AX41" s="5"/>
      <c r="AY41" s="5"/>
      <c r="AZ41" s="5"/>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399"/>
      <c r="BX41" s="399"/>
      <c r="BY41" s="399"/>
      <c r="BZ41" s="399"/>
      <c r="CA41" s="399"/>
      <c r="CB41" s="399"/>
      <c r="CC41" s="399"/>
    </row>
    <row r="42" spans="1:81" ht="15.75" customHeight="1">
      <c r="A42" s="218"/>
      <c r="B42" s="218"/>
      <c r="C42" s="432"/>
      <c r="D42" s="433" t="s">
        <v>216</v>
      </c>
      <c r="E42" s="434">
        <f>E37/G39</f>
        <v>0.26315789473684209</v>
      </c>
      <c r="F42" s="435">
        <f>F37/G39</f>
        <v>0.10526315789473684</v>
      </c>
      <c r="G42" s="436">
        <f>E42+F42</f>
        <v>0.36842105263157893</v>
      </c>
      <c r="H42" s="209"/>
      <c r="I42" s="209"/>
      <c r="J42" s="216"/>
      <c r="K42" s="216"/>
      <c r="L42" s="109"/>
      <c r="M42" s="109"/>
      <c r="N42" s="109"/>
      <c r="O42" s="109"/>
      <c r="P42" s="109"/>
      <c r="Q42" s="109"/>
      <c r="R42" s="109"/>
      <c r="S42" s="109"/>
      <c r="T42" s="109"/>
      <c r="U42" s="106"/>
      <c r="V42" s="106"/>
      <c r="W42" s="106"/>
      <c r="X42" s="106"/>
      <c r="Y42" s="106"/>
      <c r="Z42" s="106"/>
      <c r="AA42" s="106"/>
      <c r="AB42" s="106"/>
      <c r="AC42" s="106"/>
      <c r="AD42" s="3"/>
      <c r="AE42" s="3"/>
      <c r="AF42" s="3"/>
      <c r="AG42" s="3"/>
      <c r="AH42" s="3"/>
      <c r="AI42" s="401"/>
      <c r="AJ42" s="106"/>
      <c r="AK42" s="401"/>
      <c r="AL42" s="106"/>
      <c r="AM42" s="401"/>
      <c r="AN42" s="106"/>
      <c r="AO42" s="401"/>
      <c r="AP42" s="26"/>
      <c r="AQ42" s="401"/>
      <c r="AR42" s="26"/>
      <c r="AS42" s="401"/>
      <c r="AT42" s="5"/>
      <c r="AU42" s="5"/>
      <c r="AV42" s="5"/>
      <c r="AW42" s="5"/>
      <c r="AX42" s="5"/>
      <c r="AY42" s="5"/>
      <c r="AZ42" s="5"/>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399"/>
      <c r="BX42" s="399"/>
      <c r="BY42" s="399"/>
      <c r="BZ42" s="399"/>
      <c r="CA42" s="399"/>
      <c r="CB42" s="399"/>
      <c r="CC42" s="399"/>
    </row>
    <row r="43" spans="1:81" ht="15.75" customHeight="1">
      <c r="A43" s="218"/>
      <c r="B43" s="218"/>
      <c r="C43" s="432"/>
      <c r="D43" s="417" t="s">
        <v>218</v>
      </c>
      <c r="E43" s="437">
        <f>E38/G39</f>
        <v>0.42105263157894735</v>
      </c>
      <c r="F43" s="438">
        <f>F38/G39</f>
        <v>0.21052631578947367</v>
      </c>
      <c r="G43" s="436">
        <f>F43+E43</f>
        <v>0.63157894736842102</v>
      </c>
      <c r="H43" s="209"/>
      <c r="I43" s="209"/>
      <c r="J43" s="216"/>
      <c r="K43" s="216"/>
      <c r="L43" s="109"/>
      <c r="M43" s="109"/>
      <c r="N43" s="109"/>
      <c r="O43" s="109"/>
      <c r="P43" s="109"/>
      <c r="Q43" s="109"/>
      <c r="R43" s="109"/>
      <c r="S43" s="109"/>
      <c r="T43" s="109"/>
      <c r="U43" s="106"/>
      <c r="V43" s="106"/>
      <c r="W43" s="106"/>
      <c r="X43" s="106"/>
      <c r="Y43" s="106"/>
      <c r="Z43" s="106"/>
      <c r="AA43" s="106"/>
      <c r="AB43" s="106"/>
      <c r="AC43" s="106"/>
      <c r="AD43" s="3"/>
      <c r="AE43" s="3"/>
      <c r="AF43" s="3"/>
      <c r="AG43" s="3"/>
      <c r="AH43" s="3"/>
      <c r="AI43" s="401"/>
      <c r="AJ43" s="106"/>
      <c r="AK43" s="401"/>
      <c r="AL43" s="106"/>
      <c r="AM43" s="401"/>
      <c r="AN43" s="106"/>
      <c r="AO43" s="401"/>
      <c r="AP43" s="26"/>
      <c r="AQ43" s="401"/>
      <c r="AR43" s="26"/>
      <c r="AS43" s="401"/>
      <c r="AT43" s="5"/>
      <c r="AU43" s="5"/>
      <c r="AV43" s="5"/>
      <c r="AW43" s="5"/>
      <c r="AX43" s="5"/>
      <c r="AY43" s="5"/>
      <c r="AZ43" s="5"/>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399"/>
      <c r="BX43" s="399"/>
      <c r="BY43" s="399"/>
      <c r="BZ43" s="399"/>
      <c r="CA43" s="399"/>
      <c r="CB43" s="399"/>
      <c r="CC43" s="399"/>
    </row>
    <row r="44" spans="1:81" ht="15.75" customHeight="1">
      <c r="A44" s="218"/>
      <c r="B44" s="218"/>
      <c r="C44" s="439"/>
      <c r="D44" s="439"/>
      <c r="E44" s="440">
        <f>E43+E42</f>
        <v>0.68421052631578938</v>
      </c>
      <c r="F44" s="440">
        <f>F42+F43</f>
        <v>0.31578947368421051</v>
      </c>
      <c r="G44" s="439"/>
      <c r="H44" s="209"/>
      <c r="I44" s="209"/>
      <c r="J44" s="216"/>
      <c r="K44" s="216"/>
      <c r="L44" s="109"/>
      <c r="M44" s="109"/>
      <c r="N44" s="109"/>
      <c r="O44" s="109"/>
      <c r="P44" s="109"/>
      <c r="Q44" s="109"/>
      <c r="R44" s="109"/>
      <c r="S44" s="109"/>
      <c r="T44" s="109"/>
      <c r="U44" s="106"/>
      <c r="V44" s="106"/>
      <c r="W44" s="106"/>
      <c r="X44" s="106"/>
      <c r="Y44" s="106"/>
      <c r="Z44" s="106"/>
      <c r="AA44" s="106"/>
      <c r="AB44" s="106"/>
      <c r="AC44" s="106"/>
      <c r="AD44" s="3"/>
      <c r="AE44" s="3"/>
      <c r="AF44" s="3"/>
      <c r="AG44" s="3"/>
      <c r="AH44" s="3"/>
      <c r="AI44" s="401"/>
      <c r="AJ44" s="106"/>
      <c r="AK44" s="401"/>
      <c r="AL44" s="106"/>
      <c r="AM44" s="401"/>
      <c r="AN44" s="106"/>
      <c r="AO44" s="401"/>
      <c r="AP44" s="26"/>
      <c r="AQ44" s="401"/>
      <c r="AR44" s="26"/>
      <c r="AS44" s="401"/>
      <c r="AT44" s="5"/>
      <c r="AU44" s="5"/>
      <c r="AV44" s="5"/>
      <c r="AW44" s="5"/>
      <c r="AX44" s="5"/>
      <c r="AY44" s="5"/>
      <c r="AZ44" s="5"/>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399"/>
      <c r="BX44" s="399"/>
      <c r="BY44" s="399"/>
      <c r="BZ44" s="399"/>
      <c r="CA44" s="399"/>
      <c r="CB44" s="399"/>
      <c r="CC44" s="399"/>
    </row>
    <row r="45" spans="1:81" ht="15.75" customHeight="1">
      <c r="A45" s="218"/>
      <c r="B45" s="218"/>
      <c r="C45" s="233"/>
      <c r="D45" s="233"/>
      <c r="E45" s="233"/>
      <c r="F45" s="233"/>
      <c r="G45" s="233"/>
      <c r="H45" s="209"/>
      <c r="I45" s="209"/>
      <c r="J45" s="216"/>
      <c r="K45" s="216"/>
      <c r="L45" s="109"/>
      <c r="M45" s="109"/>
      <c r="N45" s="109"/>
      <c r="O45" s="109"/>
      <c r="P45" s="109"/>
      <c r="Q45" s="109"/>
      <c r="R45" s="109"/>
      <c r="S45" s="109"/>
      <c r="T45" s="109"/>
      <c r="U45" s="106"/>
      <c r="V45" s="106"/>
      <c r="W45" s="106"/>
      <c r="X45" s="106"/>
      <c r="Y45" s="106"/>
      <c r="Z45" s="106"/>
      <c r="AA45" s="106"/>
      <c r="AB45" s="106"/>
      <c r="AC45" s="106"/>
      <c r="AD45" s="3"/>
      <c r="AE45" s="3"/>
      <c r="AF45" s="3"/>
      <c r="AG45" s="3"/>
      <c r="AH45" s="3"/>
      <c r="AI45" s="401"/>
      <c r="AJ45" s="106"/>
      <c r="AK45" s="401"/>
      <c r="AL45" s="106"/>
      <c r="AM45" s="401"/>
      <c r="AN45" s="106"/>
      <c r="AO45" s="401"/>
      <c r="AP45" s="26"/>
      <c r="AQ45" s="401"/>
      <c r="AR45" s="26"/>
      <c r="AS45" s="401"/>
      <c r="AT45" s="5"/>
      <c r="AU45" s="5"/>
      <c r="AV45" s="5"/>
      <c r="AW45" s="5"/>
      <c r="AX45" s="5"/>
      <c r="AY45" s="5"/>
      <c r="AZ45" s="5"/>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399"/>
      <c r="BX45" s="399"/>
      <c r="BY45" s="399"/>
      <c r="BZ45" s="399"/>
      <c r="CA45" s="399"/>
      <c r="CB45" s="399"/>
      <c r="CC45" s="399"/>
    </row>
    <row r="46" spans="1:81" ht="15.75" customHeight="1">
      <c r="A46" s="4"/>
      <c r="B46" s="233"/>
      <c r="C46" s="233"/>
      <c r="D46" s="233"/>
      <c r="E46" s="233"/>
      <c r="F46" s="233"/>
      <c r="G46" s="233"/>
      <c r="H46" s="3"/>
      <c r="I46" s="109"/>
      <c r="J46" s="3"/>
      <c r="K46" s="3"/>
      <c r="L46" s="3"/>
      <c r="M46" s="3"/>
      <c r="N46" s="3"/>
      <c r="O46" s="3"/>
      <c r="P46" s="3"/>
      <c r="Q46" s="3"/>
      <c r="R46" s="3"/>
      <c r="S46" s="3"/>
      <c r="T46" s="3"/>
      <c r="U46" s="3"/>
      <c r="V46" s="3"/>
      <c r="W46" s="3"/>
      <c r="X46" s="3"/>
      <c r="Y46" s="3"/>
      <c r="Z46" s="3"/>
      <c r="AA46" s="3"/>
      <c r="AB46" s="3"/>
      <c r="AC46" s="3"/>
      <c r="AD46" s="3"/>
      <c r="AE46" s="5"/>
      <c r="AF46" s="5"/>
      <c r="AG46" s="3"/>
      <c r="AH46" s="3"/>
      <c r="AI46" s="106"/>
      <c r="AJ46" s="106"/>
      <c r="AK46" s="106"/>
      <c r="AL46" s="106"/>
      <c r="AM46" s="106"/>
      <c r="AN46" s="106"/>
      <c r="AO46" s="106"/>
      <c r="AP46" s="26"/>
      <c r="AQ46" s="106"/>
      <c r="AR46" s="26"/>
      <c r="AS46" s="26"/>
      <c r="AT46" s="26"/>
      <c r="AU46" s="26"/>
      <c r="AV46" s="26"/>
      <c r="AW46" s="26"/>
      <c r="AX46" s="26"/>
      <c r="AY46" s="26"/>
      <c r="AZ46" s="5"/>
      <c r="BA46" s="5"/>
      <c r="BB46" s="5"/>
      <c r="BC46" s="5"/>
      <c r="BD46" s="5"/>
      <c r="BE46" s="5"/>
      <c r="BF46" s="5"/>
      <c r="BG46" s="5"/>
      <c r="BH46" s="5"/>
      <c r="BI46" s="5"/>
      <c r="BJ46" s="5"/>
      <c r="BK46" s="5"/>
      <c r="BL46" s="5"/>
      <c r="BM46" s="5"/>
      <c r="BN46" s="5"/>
      <c r="BO46" s="5"/>
      <c r="BP46" s="5"/>
      <c r="BQ46" s="5"/>
      <c r="BR46" s="5"/>
      <c r="BS46" s="5"/>
      <c r="BT46" s="5"/>
      <c r="BU46" s="5"/>
      <c r="BV46" s="5"/>
      <c r="BW46" s="24"/>
      <c r="BX46" s="24"/>
      <c r="BY46" s="24"/>
      <c r="BZ46" s="24"/>
      <c r="CA46" s="24"/>
      <c r="CB46" s="24"/>
      <c r="CC46" s="24"/>
    </row>
    <row r="47" spans="1:81" ht="15.75" customHeight="1">
      <c r="A47" s="4"/>
      <c r="B47" s="256" t="s">
        <v>154</v>
      </c>
      <c r="C47" s="257"/>
      <c r="D47" s="257"/>
      <c r="E47" s="257"/>
      <c r="F47" s="257"/>
      <c r="G47" s="257"/>
      <c r="H47" s="231"/>
      <c r="I47" s="259"/>
      <c r="J47" s="231"/>
      <c r="K47" s="231"/>
      <c r="L47" s="231"/>
      <c r="M47" s="231"/>
      <c r="N47" s="231"/>
      <c r="O47" s="231"/>
      <c r="P47" s="231"/>
      <c r="Q47" s="231"/>
      <c r="R47" s="231"/>
      <c r="S47" s="231"/>
      <c r="T47" s="231"/>
      <c r="U47" s="231"/>
      <c r="V47" s="231"/>
      <c r="W47" s="3"/>
      <c r="X47" s="3"/>
      <c r="Y47" s="3"/>
      <c r="Z47" s="3"/>
      <c r="AA47" s="3"/>
      <c r="AB47" s="3"/>
      <c r="AC47" s="3"/>
      <c r="AD47" s="3"/>
      <c r="AE47" s="5"/>
      <c r="AF47" s="5"/>
      <c r="AG47" s="3"/>
      <c r="AH47" s="3"/>
      <c r="AI47" s="106"/>
      <c r="AJ47" s="106"/>
      <c r="AK47" s="106"/>
      <c r="AL47" s="106"/>
      <c r="AM47" s="106"/>
      <c r="AN47" s="106"/>
      <c r="AO47" s="106"/>
      <c r="AP47" s="26"/>
      <c r="AQ47" s="106"/>
      <c r="AR47" s="26"/>
      <c r="AS47" s="26"/>
      <c r="AT47" s="26"/>
      <c r="AU47" s="26"/>
      <c r="AV47" s="26"/>
      <c r="AW47" s="26"/>
      <c r="AX47" s="26"/>
      <c r="AY47" s="26"/>
      <c r="AZ47" s="5"/>
      <c r="BA47" s="5"/>
      <c r="BB47" s="5"/>
      <c r="BC47" s="5"/>
      <c r="BD47" s="5"/>
      <c r="BE47" s="5"/>
      <c r="BF47" s="5"/>
      <c r="BG47" s="5"/>
      <c r="BH47" s="5"/>
      <c r="BI47" s="5"/>
      <c r="BJ47" s="5"/>
      <c r="BK47" s="5"/>
      <c r="BL47" s="5"/>
      <c r="BM47" s="5"/>
      <c r="BN47" s="5"/>
      <c r="BO47" s="5"/>
      <c r="BP47" s="5"/>
      <c r="BQ47" s="5"/>
      <c r="BR47" s="5"/>
      <c r="BS47" s="5"/>
      <c r="BT47" s="5"/>
      <c r="BU47" s="5"/>
      <c r="BV47" s="5"/>
      <c r="BW47" s="24"/>
      <c r="BX47" s="24"/>
      <c r="BY47" s="24"/>
      <c r="BZ47" s="24"/>
      <c r="CA47" s="24"/>
      <c r="CB47" s="24"/>
      <c r="CC47" s="24"/>
    </row>
    <row r="48" spans="1:81" ht="15.75" customHeight="1">
      <c r="A48" s="64"/>
      <c r="B48" s="64"/>
      <c r="C48" s="479" t="s">
        <v>25</v>
      </c>
      <c r="D48" s="480"/>
      <c r="E48" s="480"/>
      <c r="F48" s="480"/>
      <c r="G48" s="481"/>
      <c r="H48" s="486" t="s">
        <v>155</v>
      </c>
      <c r="I48" s="487"/>
      <c r="J48" s="487"/>
      <c r="K48" s="487"/>
      <c r="L48" s="487"/>
      <c r="M48" s="487"/>
      <c r="N48" s="487"/>
      <c r="O48" s="487"/>
      <c r="P48" s="487"/>
      <c r="Q48" s="487"/>
      <c r="R48" s="487"/>
      <c r="S48" s="487"/>
      <c r="T48" s="487"/>
      <c r="U48" s="487"/>
      <c r="V48" s="488"/>
      <c r="W48" s="3"/>
      <c r="X48" s="3"/>
      <c r="Y48" s="3"/>
      <c r="Z48" s="3"/>
      <c r="AA48" s="3"/>
      <c r="AB48" s="3"/>
      <c r="AC48" s="3"/>
      <c r="AD48" s="5"/>
      <c r="AE48" s="5"/>
      <c r="AF48" s="5"/>
      <c r="AG48" s="3"/>
      <c r="AH48" s="3"/>
      <c r="AI48" s="106"/>
      <c r="AJ48" s="106"/>
      <c r="AK48" s="106"/>
      <c r="AL48" s="106"/>
      <c r="AM48" s="106"/>
      <c r="AN48" s="106"/>
      <c r="AO48" s="106"/>
      <c r="AP48" s="26"/>
      <c r="AQ48" s="106"/>
      <c r="AR48" s="26"/>
      <c r="AS48" s="26"/>
      <c r="AT48" s="26"/>
      <c r="AU48" s="26"/>
      <c r="AV48" s="26"/>
      <c r="AW48" s="26"/>
      <c r="AX48" s="26"/>
      <c r="AY48" s="26"/>
      <c r="AZ48" s="5"/>
      <c r="BA48" s="5"/>
      <c r="BB48" s="5"/>
      <c r="BC48" s="5"/>
      <c r="BD48" s="5"/>
      <c r="BE48" s="5"/>
      <c r="BF48" s="5"/>
      <c r="BG48" s="5"/>
      <c r="BH48" s="5"/>
      <c r="BI48" s="5"/>
      <c r="BJ48" s="5"/>
      <c r="BK48" s="5"/>
      <c r="BL48" s="5"/>
      <c r="BM48" s="5"/>
      <c r="BN48" s="5"/>
      <c r="BO48" s="5"/>
      <c r="BP48" s="5"/>
      <c r="BQ48" s="5"/>
      <c r="BR48" s="5"/>
      <c r="BS48" s="5"/>
      <c r="BT48" s="5"/>
      <c r="BU48" s="5"/>
      <c r="BV48" s="5"/>
      <c r="BW48" s="24"/>
      <c r="BX48" s="24"/>
      <c r="BY48" s="24"/>
      <c r="BZ48" s="24"/>
      <c r="CA48" s="24"/>
      <c r="CB48" s="24"/>
      <c r="CC48" s="24"/>
    </row>
    <row r="49" spans="1:81" ht="48">
      <c r="A49" s="36"/>
      <c r="B49" s="37" t="s">
        <v>0</v>
      </c>
      <c r="C49" s="38" t="s">
        <v>1</v>
      </c>
      <c r="D49" s="37" t="s">
        <v>30</v>
      </c>
      <c r="E49" s="37" t="s">
        <v>2</v>
      </c>
      <c r="F49" s="37" t="s">
        <v>31</v>
      </c>
      <c r="G49" s="37" t="s">
        <v>32</v>
      </c>
      <c r="H49" s="261" t="s">
        <v>157</v>
      </c>
      <c r="I49" s="39" t="s">
        <v>35</v>
      </c>
      <c r="J49" s="39" t="s">
        <v>36</v>
      </c>
      <c r="K49" s="39" t="s">
        <v>37</v>
      </c>
      <c r="L49" s="262" t="s">
        <v>158</v>
      </c>
      <c r="M49" s="39" t="s">
        <v>39</v>
      </c>
      <c r="N49" s="39" t="s">
        <v>40</v>
      </c>
      <c r="O49" s="39" t="s">
        <v>41</v>
      </c>
      <c r="P49" s="39" t="s">
        <v>221</v>
      </c>
      <c r="Q49" s="263" t="s">
        <v>222</v>
      </c>
      <c r="R49" s="263" t="s">
        <v>159</v>
      </c>
      <c r="S49" s="441"/>
      <c r="T49" s="441"/>
      <c r="U49" s="441"/>
      <c r="V49" s="441"/>
      <c r="W49" s="442"/>
      <c r="X49" s="3"/>
      <c r="Y49" s="3"/>
      <c r="Z49" s="3"/>
      <c r="AA49" s="3"/>
      <c r="AB49" s="3"/>
      <c r="AC49" s="3"/>
      <c r="AD49" s="44"/>
      <c r="AE49" s="44"/>
      <c r="AF49" s="44"/>
      <c r="AG49" s="44"/>
      <c r="AH49" s="44"/>
      <c r="AI49" s="44"/>
      <c r="AJ49" s="44"/>
      <c r="AK49" s="44"/>
      <c r="AL49" s="44"/>
      <c r="AM49" s="44"/>
      <c r="AN49" s="44"/>
      <c r="AO49" s="44"/>
      <c r="AP49" s="44"/>
      <c r="AQ49" s="44"/>
      <c r="AR49" s="44"/>
      <c r="AS49" s="44"/>
      <c r="AT49" s="44"/>
      <c r="AU49" s="44"/>
      <c r="AV49" s="44"/>
      <c r="AW49" s="44"/>
      <c r="AX49" s="44"/>
      <c r="AY49" s="44"/>
      <c r="AZ49" s="36"/>
      <c r="BA49" s="36"/>
      <c r="BB49" s="36"/>
      <c r="BC49" s="36"/>
      <c r="BD49" s="36"/>
      <c r="BE49" s="36"/>
      <c r="BF49" s="36"/>
      <c r="BG49" s="36"/>
      <c r="BH49" s="36"/>
      <c r="BI49" s="36"/>
      <c r="BJ49" s="36"/>
      <c r="BK49" s="36"/>
      <c r="BL49" s="36"/>
      <c r="BM49" s="36"/>
    </row>
    <row r="50" spans="1:81" ht="15.75" customHeight="1">
      <c r="A50" s="45">
        <f>A48+1</f>
        <v>1</v>
      </c>
      <c r="B50" s="1" t="s">
        <v>5</v>
      </c>
      <c r="C50" s="46" t="str">
        <f ca="1">IFERROR(__xludf.DUMMYFUNCTION("GoogleFinance(B50,""name"")"),"SPDR S&amp;P 500 ETF Trust")</f>
        <v>SPDR S&amp;P 500 ETF Trust</v>
      </c>
      <c r="D50" s="47">
        <f ca="1">IFERROR(__xludf.DUMMYFUNCTION("GoogleFinance(B50,""marketcap"")/1000000"),450858.184373)</f>
        <v>450858.184373</v>
      </c>
      <c r="E50" s="48" t="s">
        <v>60</v>
      </c>
      <c r="F50" s="48" t="s">
        <v>177</v>
      </c>
      <c r="G50" s="49">
        <v>45296</v>
      </c>
      <c r="H50" s="50">
        <v>473.88</v>
      </c>
      <c r="I50" s="51">
        <v>467.3</v>
      </c>
      <c r="J50" s="52">
        <v>9</v>
      </c>
      <c r="K50" s="53">
        <f t="shared" ref="K50:K51" si="1">J50*I50</f>
        <v>4205.7</v>
      </c>
      <c r="L50" s="54">
        <f t="shared" ref="L50:L51" si="2">H50*J50</f>
        <v>4264.92</v>
      </c>
      <c r="M50" s="54">
        <f t="shared" ref="M50:M62" si="3">L50-K50</f>
        <v>59.220000000000255</v>
      </c>
      <c r="N50" s="55">
        <f t="shared" ref="N50:N51" si="4">H50/I50-1</f>
        <v>1.4080890220415032E-2</v>
      </c>
      <c r="O50" s="56">
        <f t="shared" ref="O50:O61" si="5">Q50-G50</f>
        <v>4</v>
      </c>
      <c r="P50" s="443" t="s">
        <v>223</v>
      </c>
      <c r="Q50" s="49">
        <v>45300</v>
      </c>
      <c r="R50" s="27" t="s">
        <v>161</v>
      </c>
      <c r="S50" s="27"/>
      <c r="T50" s="27"/>
      <c r="U50" s="27"/>
      <c r="V50" s="27"/>
      <c r="W50" s="27"/>
      <c r="X50" s="3"/>
      <c r="Y50" s="3"/>
      <c r="Z50" s="3"/>
      <c r="AA50" s="3"/>
      <c r="AB50" s="3"/>
      <c r="AC50" s="27"/>
      <c r="AD50" s="27"/>
      <c r="AE50" s="27"/>
      <c r="AF50" s="27"/>
      <c r="AG50" s="25"/>
      <c r="AH50" s="25"/>
      <c r="AI50" s="401"/>
      <c r="AJ50" s="401"/>
      <c r="AK50" s="401"/>
      <c r="AL50" s="401"/>
      <c r="AM50" s="401"/>
      <c r="AN50" s="401"/>
      <c r="AO50" s="401"/>
      <c r="AP50" s="208"/>
      <c r="AQ50" s="401"/>
      <c r="AR50" s="208"/>
      <c r="AS50" s="208"/>
      <c r="AT50" s="208"/>
      <c r="AU50" s="208"/>
      <c r="AV50" s="208"/>
      <c r="AW50" s="208"/>
      <c r="AX50" s="208"/>
      <c r="AY50" s="208"/>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row>
    <row r="51" spans="1:81" ht="15.75" customHeight="1">
      <c r="A51" s="366">
        <f t="shared" ref="A51:A62" si="6">A50+1</f>
        <v>2</v>
      </c>
      <c r="B51" s="1" t="s">
        <v>5</v>
      </c>
      <c r="C51" s="46" t="str">
        <f ca="1">IFERROR(__xludf.DUMMYFUNCTION("GoogleFinance(B51,""name"")"),"SPDR S&amp;P 500 ETF Trust")</f>
        <v>SPDR S&amp;P 500 ETF Trust</v>
      </c>
      <c r="D51" s="47">
        <f ca="1">IFERROR(__xludf.DUMMYFUNCTION("GoogleFinance(B51,""marketcap"")/1000000"),450858.184373)</f>
        <v>450858.184373</v>
      </c>
      <c r="E51" s="48" t="s">
        <v>60</v>
      </c>
      <c r="F51" s="48" t="s">
        <v>177</v>
      </c>
      <c r="G51" s="49">
        <v>45296</v>
      </c>
      <c r="H51" s="50">
        <v>476.2</v>
      </c>
      <c r="I51" s="51">
        <v>467.3</v>
      </c>
      <c r="J51" s="52">
        <f>149.8-9</f>
        <v>140.80000000000001</v>
      </c>
      <c r="K51" s="53">
        <f t="shared" si="1"/>
        <v>65795.840000000011</v>
      </c>
      <c r="L51" s="54">
        <f t="shared" si="2"/>
        <v>67048.960000000006</v>
      </c>
      <c r="M51" s="54">
        <f t="shared" si="3"/>
        <v>1253.1199999999953</v>
      </c>
      <c r="N51" s="55">
        <f t="shared" si="4"/>
        <v>1.9045580997218092E-2</v>
      </c>
      <c r="O51" s="56">
        <f t="shared" si="5"/>
        <v>5</v>
      </c>
      <c r="P51" s="443" t="s">
        <v>223</v>
      </c>
      <c r="Q51" s="49">
        <v>45301</v>
      </c>
      <c r="R51" s="27" t="s">
        <v>161</v>
      </c>
      <c r="S51" s="27"/>
      <c r="T51" s="27"/>
      <c r="U51" s="27"/>
      <c r="V51" s="27"/>
      <c r="W51" s="27"/>
      <c r="X51" s="3"/>
      <c r="Y51" s="3"/>
      <c r="Z51" s="3"/>
      <c r="AA51" s="3"/>
      <c r="AB51" s="3"/>
      <c r="AC51" s="27"/>
      <c r="AD51" s="27"/>
      <c r="AE51" s="27"/>
      <c r="AF51" s="27"/>
      <c r="AG51" s="25"/>
      <c r="AH51" s="25"/>
      <c r="AI51" s="401"/>
      <c r="AJ51" s="401"/>
      <c r="AK51" s="401"/>
      <c r="AL51" s="401"/>
      <c r="AM51" s="401"/>
      <c r="AN51" s="401"/>
      <c r="AO51" s="401"/>
      <c r="AP51" s="208"/>
      <c r="AQ51" s="401"/>
      <c r="AR51" s="208"/>
      <c r="AS51" s="208"/>
      <c r="AT51" s="208"/>
      <c r="AU51" s="208"/>
      <c r="AV51" s="208"/>
      <c r="AW51" s="208"/>
      <c r="AX51" s="208"/>
      <c r="AY51" s="208"/>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row>
    <row r="52" spans="1:81" ht="15.75" customHeight="1">
      <c r="A52" s="366">
        <f t="shared" si="6"/>
        <v>3</v>
      </c>
      <c r="B52" s="1" t="s">
        <v>224</v>
      </c>
      <c r="C52" s="46" t="str">
        <f ca="1">IFERROR(__xludf.DUMMYFUNCTION("GoogleFinance(B52,""name"")"),"Netflix Inc")</f>
        <v>Netflix Inc</v>
      </c>
      <c r="D52" s="47">
        <f ca="1">IFERROR(__xludf.DUMMYFUNCTION("GoogleFinance(B52,""marketcap"")/1000000"),252709.915307)</f>
        <v>252709.91530699999</v>
      </c>
      <c r="E52" s="48" t="s">
        <v>12</v>
      </c>
      <c r="F52" s="48" t="s">
        <v>93</v>
      </c>
      <c r="G52" s="49">
        <v>45260</v>
      </c>
      <c r="H52" s="50">
        <v>495</v>
      </c>
      <c r="I52" s="51">
        <v>472.5</v>
      </c>
      <c r="J52" s="52">
        <f>4000/I52</f>
        <v>8.4656084656084651</v>
      </c>
      <c r="K52" s="53">
        <f t="shared" ref="K52:K54" si="7">J52*H52</f>
        <v>4190.4761904761899</v>
      </c>
      <c r="L52" s="54">
        <f t="shared" ref="L52:L54" si="8">J52*I52</f>
        <v>4000</v>
      </c>
      <c r="M52" s="54">
        <f t="shared" si="3"/>
        <v>-190.47619047618991</v>
      </c>
      <c r="N52" s="55">
        <f t="shared" ref="N52:N54" si="9">I52/H52-1</f>
        <v>-4.5454545454545414E-2</v>
      </c>
      <c r="O52" s="56">
        <f t="shared" si="5"/>
        <v>42</v>
      </c>
      <c r="P52" s="443" t="s">
        <v>225</v>
      </c>
      <c r="Q52" s="49">
        <v>45302</v>
      </c>
      <c r="R52" s="27" t="s">
        <v>42</v>
      </c>
      <c r="S52" s="27"/>
      <c r="T52" s="27"/>
      <c r="U52" s="27"/>
      <c r="V52" s="27"/>
      <c r="W52" s="27"/>
      <c r="X52" s="3"/>
      <c r="Y52" s="3"/>
      <c r="Z52" s="3"/>
      <c r="AA52" s="3"/>
      <c r="AB52" s="3"/>
      <c r="AC52" s="27"/>
      <c r="AD52" s="27"/>
      <c r="AE52" s="27"/>
      <c r="AF52" s="27"/>
      <c r="AG52" s="25"/>
      <c r="AH52" s="25"/>
      <c r="AI52" s="401"/>
      <c r="AJ52" s="401"/>
      <c r="AK52" s="401"/>
      <c r="AL52" s="401"/>
      <c r="AM52" s="401"/>
      <c r="AN52" s="401"/>
      <c r="AO52" s="401"/>
      <c r="AP52" s="208"/>
      <c r="AQ52" s="401"/>
      <c r="AR52" s="208"/>
      <c r="AS52" s="208"/>
      <c r="AT52" s="208"/>
      <c r="AU52" s="208"/>
      <c r="AV52" s="208"/>
      <c r="AW52" s="208"/>
      <c r="AX52" s="208"/>
      <c r="AY52" s="208"/>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row>
    <row r="53" spans="1:81" ht="15.75" customHeight="1">
      <c r="A53" s="366">
        <f t="shared" si="6"/>
        <v>4</v>
      </c>
      <c r="B53" s="1" t="s">
        <v>226</v>
      </c>
      <c r="C53" s="46" t="str">
        <f ca="1">IFERROR(__xludf.DUMMYFUNCTION("GoogleFinance(B53,""name"")"),"Taiwan Semiconductor Mfg. Co. Ltd.")</f>
        <v>Taiwan Semiconductor Mfg. Co. Ltd.</v>
      </c>
      <c r="D53" s="47">
        <f ca="1">IFERROR(__xludf.DUMMYFUNCTION("GoogleFinance(B53,""marketcap"")/1000000"),17581936.68)</f>
        <v>17581936.68</v>
      </c>
      <c r="E53" s="48" t="s">
        <v>7</v>
      </c>
      <c r="F53" s="48" t="s">
        <v>19</v>
      </c>
      <c r="G53" s="49">
        <v>45300</v>
      </c>
      <c r="H53" s="50">
        <v>106</v>
      </c>
      <c r="I53" s="51">
        <v>101.76</v>
      </c>
      <c r="J53" s="52">
        <f t="shared" ref="J53:J54" si="10">2000/I53</f>
        <v>19.654088050314463</v>
      </c>
      <c r="K53" s="53">
        <f t="shared" si="7"/>
        <v>2083.333333333333</v>
      </c>
      <c r="L53" s="54">
        <f t="shared" si="8"/>
        <v>2000</v>
      </c>
      <c r="M53" s="54">
        <f t="shared" si="3"/>
        <v>-83.33333333333303</v>
      </c>
      <c r="N53" s="55">
        <f t="shared" si="9"/>
        <v>-3.9999999999999925E-2</v>
      </c>
      <c r="O53" s="56">
        <f t="shared" si="5"/>
        <v>9</v>
      </c>
      <c r="P53" s="443" t="s">
        <v>225</v>
      </c>
      <c r="Q53" s="49">
        <v>45309</v>
      </c>
      <c r="R53" s="27" t="s">
        <v>42</v>
      </c>
      <c r="S53" s="27"/>
      <c r="T53" s="27"/>
      <c r="U53" s="27"/>
      <c r="V53" s="27"/>
      <c r="W53" s="27"/>
      <c r="X53" s="3"/>
      <c r="Y53" s="3"/>
      <c r="Z53" s="3"/>
      <c r="AA53" s="3"/>
      <c r="AB53" s="3"/>
      <c r="AC53" s="27"/>
      <c r="AD53" s="27"/>
      <c r="AE53" s="27"/>
      <c r="AF53" s="27"/>
      <c r="AG53" s="25"/>
      <c r="AH53" s="25"/>
      <c r="AI53" s="401"/>
      <c r="AJ53" s="401"/>
      <c r="AK53" s="401"/>
      <c r="AL53" s="401"/>
      <c r="AM53" s="401"/>
      <c r="AN53" s="401"/>
      <c r="AO53" s="401"/>
      <c r="AP53" s="208"/>
      <c r="AQ53" s="401"/>
      <c r="AR53" s="208"/>
      <c r="AS53" s="208"/>
      <c r="AT53" s="208"/>
      <c r="AU53" s="208"/>
      <c r="AV53" s="208"/>
      <c r="AW53" s="208"/>
      <c r="AX53" s="208"/>
      <c r="AY53" s="208"/>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row>
    <row r="54" spans="1:81" ht="15.75" customHeight="1">
      <c r="A54" s="366">
        <f t="shared" si="6"/>
        <v>5</v>
      </c>
      <c r="B54" s="1" t="s">
        <v>227</v>
      </c>
      <c r="C54" s="46" t="str">
        <f ca="1">IFERROR(__xludf.DUMMYFUNCTION("GoogleFinance(B54,""name"")"),"Lam Research Corporation")</f>
        <v>Lam Research Corporation</v>
      </c>
      <c r="D54" s="47">
        <f ca="1">IFERROR(__xludf.DUMMYFUNCTION("GoogleFinance(B54,""marketcap"")/1000000"),121405.31493)</f>
        <v>121405.31492999999</v>
      </c>
      <c r="E54" s="48" t="s">
        <v>7</v>
      </c>
      <c r="F54" s="48" t="s">
        <v>19</v>
      </c>
      <c r="G54" s="49">
        <v>45300</v>
      </c>
      <c r="H54" s="50">
        <v>801.5</v>
      </c>
      <c r="I54" s="51">
        <v>754.23</v>
      </c>
      <c r="J54" s="52">
        <f t="shared" si="10"/>
        <v>2.6517110165334183</v>
      </c>
      <c r="K54" s="53">
        <f t="shared" si="7"/>
        <v>2125.3463797515346</v>
      </c>
      <c r="L54" s="54">
        <f t="shared" si="8"/>
        <v>2000.0000000000002</v>
      </c>
      <c r="M54" s="54">
        <f t="shared" si="3"/>
        <v>-125.34637975153441</v>
      </c>
      <c r="N54" s="55">
        <f t="shared" si="9"/>
        <v>-5.8976918278228263E-2</v>
      </c>
      <c r="O54" s="56">
        <f t="shared" si="5"/>
        <v>10</v>
      </c>
      <c r="P54" s="443" t="s">
        <v>225</v>
      </c>
      <c r="Q54" s="49">
        <v>45310</v>
      </c>
      <c r="R54" s="27" t="s">
        <v>42</v>
      </c>
      <c r="S54" s="27"/>
      <c r="T54" s="27"/>
      <c r="U54" s="27"/>
      <c r="V54" s="27"/>
      <c r="W54" s="27"/>
      <c r="X54" s="3"/>
      <c r="Y54" s="3"/>
      <c r="Z54" s="3"/>
      <c r="AA54" s="3"/>
      <c r="AB54" s="3"/>
      <c r="AC54" s="27"/>
      <c r="AD54" s="27"/>
      <c r="AE54" s="27"/>
      <c r="AF54" s="27"/>
      <c r="AG54" s="25"/>
      <c r="AH54" s="25"/>
      <c r="AI54" s="401"/>
      <c r="AJ54" s="401"/>
      <c r="AK54" s="401"/>
      <c r="AL54" s="401"/>
      <c r="AM54" s="401"/>
      <c r="AN54" s="401"/>
      <c r="AO54" s="401"/>
      <c r="AP54" s="208"/>
      <c r="AQ54" s="401"/>
      <c r="AR54" s="208"/>
      <c r="AS54" s="208"/>
      <c r="AT54" s="208"/>
      <c r="AU54" s="208"/>
      <c r="AV54" s="208"/>
      <c r="AW54" s="208"/>
      <c r="AX54" s="208"/>
      <c r="AY54" s="208"/>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row>
    <row r="55" spans="1:81" ht="15.75" customHeight="1">
      <c r="A55" s="366">
        <f t="shared" si="6"/>
        <v>6</v>
      </c>
      <c r="B55" s="1" t="s">
        <v>228</v>
      </c>
      <c r="C55" s="46" t="str">
        <f ca="1">IFERROR(__xludf.DUMMYFUNCTION("GoogleFinance(B55,""name"")"),"ProShares Short Bitcoin Strategy ETF")</f>
        <v>ProShares Short Bitcoin Strategy ETF</v>
      </c>
      <c r="D55" s="47" t="str">
        <f ca="1">IFERROR(__xludf.DUMMYFUNCTION("GoogleFinance(B55,""marketcap"")/1000000"),"#N/A")</f>
        <v>#N/A</v>
      </c>
      <c r="E55" s="48" t="s">
        <v>7</v>
      </c>
      <c r="F55" s="48" t="s">
        <v>121</v>
      </c>
      <c r="G55" s="49">
        <v>45307</v>
      </c>
      <c r="H55" s="50">
        <v>13.62</v>
      </c>
      <c r="I55" s="51">
        <v>12.68</v>
      </c>
      <c r="J55" s="52">
        <v>170</v>
      </c>
      <c r="K55" s="53">
        <f>J55*I55</f>
        <v>2155.6</v>
      </c>
      <c r="L55" s="54">
        <f t="shared" ref="L55:L59" si="11">H55*J55</f>
        <v>2315.4</v>
      </c>
      <c r="M55" s="54">
        <f t="shared" si="3"/>
        <v>159.80000000000018</v>
      </c>
      <c r="N55" s="55">
        <f t="shared" ref="N55:N62" si="12">H55/I55-1</f>
        <v>7.4132492113564652E-2</v>
      </c>
      <c r="O55" s="56">
        <f t="shared" si="5"/>
        <v>3</v>
      </c>
      <c r="P55" s="443" t="s">
        <v>223</v>
      </c>
      <c r="Q55" s="49">
        <v>45310</v>
      </c>
      <c r="R55" s="27" t="s">
        <v>161</v>
      </c>
      <c r="S55" s="27"/>
      <c r="T55" s="27"/>
      <c r="U55" s="27"/>
      <c r="V55" s="27"/>
      <c r="W55" s="27"/>
      <c r="X55" s="3"/>
      <c r="Y55" s="3"/>
      <c r="Z55" s="3"/>
      <c r="AA55" s="3"/>
      <c r="AB55" s="3"/>
      <c r="AC55" s="27"/>
      <c r="AD55" s="27"/>
      <c r="AE55" s="27"/>
      <c r="AF55" s="27"/>
      <c r="AG55" s="25"/>
      <c r="AH55" s="25"/>
      <c r="AI55" s="401"/>
      <c r="AJ55" s="401"/>
      <c r="AK55" s="401"/>
      <c r="AL55" s="401"/>
      <c r="AM55" s="401"/>
      <c r="AN55" s="401"/>
      <c r="AO55" s="401"/>
      <c r="AP55" s="208"/>
      <c r="AQ55" s="401"/>
      <c r="AR55" s="208"/>
      <c r="AS55" s="208"/>
      <c r="AT55" s="208"/>
      <c r="AU55" s="208"/>
      <c r="AV55" s="208"/>
      <c r="AW55" s="208"/>
      <c r="AX55" s="208"/>
      <c r="AY55" s="208"/>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row>
    <row r="56" spans="1:81" ht="15.75" customHeight="1">
      <c r="A56" s="366">
        <f t="shared" si="6"/>
        <v>7</v>
      </c>
      <c r="B56" s="1" t="s">
        <v>229</v>
      </c>
      <c r="C56" s="46" t="str">
        <f ca="1">IFERROR(__xludf.DUMMYFUNCTION("GoogleFinance(B56,""name"")"),"Tesla Inc")</f>
        <v>Tesla Inc</v>
      </c>
      <c r="D56" s="47">
        <f ca="1">IFERROR(__xludf.DUMMYFUNCTION("GoogleFinance(B56,""marketcap"")/1000000"),626537.316937)</f>
        <v>626537.31693700003</v>
      </c>
      <c r="E56" s="48" t="s">
        <v>9</v>
      </c>
      <c r="F56" s="48" t="s">
        <v>230</v>
      </c>
      <c r="G56" s="49">
        <v>45310</v>
      </c>
      <c r="H56" s="50">
        <v>193</v>
      </c>
      <c r="I56" s="51">
        <v>210.8</v>
      </c>
      <c r="J56" s="52">
        <f>4000/I56</f>
        <v>18.975332068311193</v>
      </c>
      <c r="K56" s="53">
        <f>4000</f>
        <v>4000</v>
      </c>
      <c r="L56" s="54">
        <f t="shared" si="11"/>
        <v>3662.23908918406</v>
      </c>
      <c r="M56" s="54">
        <f t="shared" si="3"/>
        <v>-337.76091081593995</v>
      </c>
      <c r="N56" s="55">
        <f t="shared" si="12"/>
        <v>-8.4440227703984849E-2</v>
      </c>
      <c r="O56" s="56">
        <f t="shared" si="5"/>
        <v>6</v>
      </c>
      <c r="P56" s="443" t="s">
        <v>223</v>
      </c>
      <c r="Q56" s="49">
        <v>45316</v>
      </c>
      <c r="R56" s="27" t="s">
        <v>42</v>
      </c>
      <c r="S56" s="27"/>
      <c r="T56" s="27"/>
      <c r="U56" s="27"/>
      <c r="V56" s="27"/>
      <c r="W56" s="27"/>
      <c r="X56" s="3"/>
      <c r="Y56" s="3"/>
      <c r="Z56" s="3"/>
      <c r="AA56" s="3"/>
      <c r="AB56" s="3"/>
      <c r="AC56" s="27"/>
      <c r="AD56" s="27"/>
      <c r="AE56" s="27"/>
      <c r="AF56" s="27"/>
      <c r="AG56" s="25"/>
      <c r="AH56" s="25"/>
      <c r="AI56" s="401"/>
      <c r="AJ56" s="401"/>
      <c r="AK56" s="401"/>
      <c r="AL56" s="401"/>
      <c r="AM56" s="401"/>
      <c r="AN56" s="401"/>
      <c r="AO56" s="401"/>
      <c r="AP56" s="208"/>
      <c r="AQ56" s="401"/>
      <c r="AR56" s="208"/>
      <c r="AS56" s="208"/>
      <c r="AT56" s="208"/>
      <c r="AU56" s="208"/>
      <c r="AV56" s="208"/>
      <c r="AW56" s="208"/>
      <c r="AX56" s="208"/>
      <c r="AY56" s="208"/>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row>
    <row r="57" spans="1:81" ht="15.75" customHeight="1">
      <c r="A57" s="366">
        <f t="shared" si="6"/>
        <v>8</v>
      </c>
      <c r="B57" s="1" t="s">
        <v>5</v>
      </c>
      <c r="C57" s="46" t="str">
        <f ca="1">IFERROR(__xludf.DUMMYFUNCTION("GoogleFinance(B57,""name"")"),"SPDR S&amp;P 500 ETF Trust")</f>
        <v>SPDR S&amp;P 500 ETF Trust</v>
      </c>
      <c r="D57" s="47">
        <f ca="1">IFERROR(__xludf.DUMMYFUNCTION("GoogleFinance(B57,""marketcap"")/1000000"),450858.184373)</f>
        <v>450858.184373</v>
      </c>
      <c r="E57" s="48" t="s">
        <v>60</v>
      </c>
      <c r="F57" s="48" t="s">
        <v>177</v>
      </c>
      <c r="G57" s="49">
        <v>45309</v>
      </c>
      <c r="H57" s="50">
        <v>493.23</v>
      </c>
      <c r="I57" s="51">
        <v>473.25</v>
      </c>
      <c r="J57" s="52">
        <v>140</v>
      </c>
      <c r="K57" s="53">
        <f>J57*I57</f>
        <v>66255</v>
      </c>
      <c r="L57" s="54">
        <f t="shared" si="11"/>
        <v>69052.2</v>
      </c>
      <c r="M57" s="54">
        <f t="shared" si="3"/>
        <v>2797.1999999999971</v>
      </c>
      <c r="N57" s="55">
        <f t="shared" si="12"/>
        <v>4.2218700475435744E-2</v>
      </c>
      <c r="O57" s="56">
        <f t="shared" si="5"/>
        <v>18</v>
      </c>
      <c r="P57" s="443" t="s">
        <v>223</v>
      </c>
      <c r="Q57" s="49">
        <v>45327</v>
      </c>
      <c r="R57" s="27" t="s">
        <v>161</v>
      </c>
      <c r="S57" s="27"/>
      <c r="T57" s="27"/>
      <c r="U57" s="27"/>
      <c r="V57" s="27"/>
      <c r="W57" s="27"/>
      <c r="X57" s="3"/>
      <c r="Y57" s="3"/>
      <c r="Z57" s="3"/>
      <c r="AA57" s="3"/>
      <c r="AB57" s="3"/>
      <c r="AC57" s="27"/>
      <c r="AD57" s="27"/>
      <c r="AE57" s="27"/>
      <c r="AF57" s="27"/>
      <c r="AG57" s="25"/>
      <c r="AH57" s="25"/>
      <c r="AI57" s="401"/>
      <c r="AJ57" s="401"/>
      <c r="AK57" s="401"/>
      <c r="AL57" s="401"/>
      <c r="AM57" s="401"/>
      <c r="AN57" s="401"/>
      <c r="AO57" s="401"/>
      <c r="AP57" s="208"/>
      <c r="AQ57" s="401"/>
      <c r="AR57" s="208"/>
      <c r="AS57" s="208"/>
      <c r="AT57" s="208"/>
      <c r="AU57" s="208"/>
      <c r="AV57" s="208"/>
      <c r="AW57" s="208"/>
      <c r="AX57" s="208"/>
      <c r="AY57" s="208"/>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row>
    <row r="58" spans="1:81" ht="15.75" customHeight="1">
      <c r="A58" s="366">
        <f t="shared" si="6"/>
        <v>9</v>
      </c>
      <c r="B58" s="280" t="s">
        <v>228</v>
      </c>
      <c r="C58" s="281" t="str">
        <f ca="1">IFERROR(__xludf.DUMMYFUNCTION("GoogleFinance(B58,""name"")"),"ProShares Short Bitcoin Strategy ETF")</f>
        <v>ProShares Short Bitcoin Strategy ETF</v>
      </c>
      <c r="D58" s="282" t="str">
        <f ca="1">IFERROR(__xludf.DUMMYFUNCTION("GoogleFinance(B58,""marketcap"")/1000000"),"#N/A")</f>
        <v>#N/A</v>
      </c>
      <c r="E58" s="444" t="s">
        <v>231</v>
      </c>
      <c r="F58" s="444"/>
      <c r="G58" s="445">
        <v>45307</v>
      </c>
      <c r="H58" s="446">
        <v>12</v>
      </c>
      <c r="I58" s="447">
        <v>12.68</v>
      </c>
      <c r="J58" s="448">
        <f>3000/I58-170</f>
        <v>66.593059936908531</v>
      </c>
      <c r="K58" s="449">
        <f>3000-2156</f>
        <v>844</v>
      </c>
      <c r="L58" s="450">
        <f t="shared" si="11"/>
        <v>799.11671924290238</v>
      </c>
      <c r="M58" s="450">
        <f t="shared" si="3"/>
        <v>-44.883280757097623</v>
      </c>
      <c r="N58" s="451">
        <f t="shared" si="12"/>
        <v>-5.362776025236593E-2</v>
      </c>
      <c r="O58" s="56">
        <f t="shared" si="5"/>
        <v>23</v>
      </c>
      <c r="P58" s="443" t="s">
        <v>223</v>
      </c>
      <c r="Q58" s="49">
        <v>45330</v>
      </c>
      <c r="R58" s="27" t="s">
        <v>42</v>
      </c>
      <c r="S58" s="27"/>
      <c r="T58" s="27"/>
      <c r="U58" s="27"/>
      <c r="V58" s="27"/>
      <c r="W58" s="27"/>
      <c r="X58" s="3"/>
      <c r="Y58" s="3"/>
      <c r="Z58" s="3"/>
      <c r="AA58" s="3"/>
      <c r="AB58" s="3"/>
      <c r="AC58" s="27"/>
      <c r="AD58" s="27"/>
      <c r="AE58" s="27"/>
      <c r="AF58" s="27"/>
      <c r="AG58" s="25"/>
      <c r="AH58" s="25"/>
      <c r="AI58" s="401"/>
      <c r="AJ58" s="401"/>
      <c r="AK58" s="401"/>
      <c r="AL58" s="401"/>
      <c r="AM58" s="401"/>
      <c r="AN58" s="401"/>
      <c r="AO58" s="401"/>
      <c r="AP58" s="208"/>
      <c r="AQ58" s="401"/>
      <c r="AR58" s="208"/>
      <c r="AS58" s="208"/>
      <c r="AT58" s="208"/>
      <c r="AU58" s="208"/>
      <c r="AV58" s="208"/>
      <c r="AW58" s="208"/>
      <c r="AX58" s="208"/>
      <c r="AY58" s="208"/>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row>
    <row r="59" spans="1:81" ht="15.75" customHeight="1">
      <c r="A59" s="366">
        <f t="shared" si="6"/>
        <v>10</v>
      </c>
      <c r="B59" s="1" t="s">
        <v>232</v>
      </c>
      <c r="C59" s="46" t="str">
        <f ca="1">IFERROR(__xludf.DUMMYFUNCTION("GoogleFinance(B59,""name"")"),"Marathon Digital Holdings Inc")</f>
        <v>Marathon Digital Holdings Inc</v>
      </c>
      <c r="D59" s="47">
        <f ca="1">IFERROR(__xludf.DUMMYFUNCTION("GoogleFinance(B59,""marketcap"")/1000000"),5997.517618)</f>
        <v>5997.5176179999999</v>
      </c>
      <c r="E59" s="48" t="s">
        <v>233</v>
      </c>
      <c r="F59" s="48" t="s">
        <v>234</v>
      </c>
      <c r="G59" s="49">
        <v>45310</v>
      </c>
      <c r="H59" s="50">
        <v>19.850000000000001</v>
      </c>
      <c r="I59" s="51">
        <v>14.86</v>
      </c>
      <c r="J59" s="52">
        <f>4000/I59</f>
        <v>269.17900403768505</v>
      </c>
      <c r="K59" s="53">
        <f>4000</f>
        <v>4000</v>
      </c>
      <c r="L59" s="54">
        <f t="shared" si="11"/>
        <v>5343.2032301480485</v>
      </c>
      <c r="M59" s="54">
        <f t="shared" si="3"/>
        <v>1343.2032301480485</v>
      </c>
      <c r="N59" s="55">
        <f t="shared" si="12"/>
        <v>0.33580080753701225</v>
      </c>
      <c r="O59" s="56">
        <f t="shared" si="5"/>
        <v>20</v>
      </c>
      <c r="P59" s="443" t="s">
        <v>223</v>
      </c>
      <c r="Q59" s="49">
        <v>45330</v>
      </c>
      <c r="R59" s="27" t="s">
        <v>161</v>
      </c>
      <c r="S59" s="27"/>
      <c r="T59" s="27"/>
      <c r="U59" s="27"/>
      <c r="V59" s="27"/>
      <c r="W59" s="27"/>
      <c r="X59" s="3"/>
      <c r="Y59" s="3"/>
      <c r="Z59" s="3"/>
      <c r="AA59" s="3"/>
      <c r="AB59" s="3"/>
      <c r="AC59" s="27"/>
      <c r="AD59" s="27"/>
      <c r="AE59" s="27"/>
      <c r="AF59" s="27"/>
      <c r="AG59" s="25"/>
      <c r="AH59" s="25"/>
      <c r="AI59" s="401"/>
      <c r="AJ59" s="401"/>
      <c r="AK59" s="401"/>
      <c r="AL59" s="401"/>
      <c r="AM59" s="401"/>
      <c r="AN59" s="401"/>
      <c r="AO59" s="401"/>
      <c r="AP59" s="208"/>
      <c r="AQ59" s="401"/>
      <c r="AR59" s="208"/>
      <c r="AS59" s="208"/>
      <c r="AT59" s="208"/>
      <c r="AU59" s="208"/>
      <c r="AV59" s="208"/>
      <c r="AW59" s="208"/>
      <c r="AX59" s="208"/>
      <c r="AY59" s="208"/>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row>
    <row r="60" spans="1:81" ht="15.75" customHeight="1">
      <c r="A60" s="366">
        <f t="shared" si="6"/>
        <v>11</v>
      </c>
      <c r="B60" s="280" t="s">
        <v>169</v>
      </c>
      <c r="C60" s="281" t="s">
        <v>170</v>
      </c>
      <c r="D60" s="282"/>
      <c r="E60" s="444" t="s">
        <v>56</v>
      </c>
      <c r="F60" s="366" t="s">
        <v>56</v>
      </c>
      <c r="G60" s="452">
        <v>45331</v>
      </c>
      <c r="H60" s="50">
        <v>16.25</v>
      </c>
      <c r="I60" s="51">
        <v>13.9</v>
      </c>
      <c r="J60" s="372">
        <v>150</v>
      </c>
      <c r="K60" s="339">
        <f>J60*I60</f>
        <v>2085</v>
      </c>
      <c r="L60" s="339">
        <f t="shared" ref="L60:L62" si="13">J60*H60</f>
        <v>2437.5</v>
      </c>
      <c r="M60" s="340">
        <f t="shared" si="3"/>
        <v>352.5</v>
      </c>
      <c r="N60" s="341">
        <f t="shared" si="12"/>
        <v>0.16906474820143891</v>
      </c>
      <c r="O60" s="56">
        <f t="shared" si="5"/>
        <v>4</v>
      </c>
      <c r="P60" s="443" t="s">
        <v>223</v>
      </c>
      <c r="Q60" s="49">
        <v>45335</v>
      </c>
      <c r="R60" s="27" t="s">
        <v>161</v>
      </c>
      <c r="S60" s="27"/>
      <c r="T60" s="27"/>
      <c r="U60" s="27"/>
      <c r="V60" s="27"/>
      <c r="W60" s="27"/>
      <c r="X60" s="3"/>
      <c r="Y60" s="3"/>
      <c r="Z60" s="3"/>
      <c r="AA60" s="3"/>
      <c r="AB60" s="3"/>
      <c r="AC60" s="27"/>
      <c r="AD60" s="27"/>
      <c r="AE60" s="27"/>
      <c r="AF60" s="27"/>
      <c r="AG60" s="25"/>
      <c r="AH60" s="25"/>
      <c r="AI60" s="401"/>
      <c r="AJ60" s="401"/>
      <c r="AK60" s="401"/>
      <c r="AL60" s="401"/>
      <c r="AM60" s="401"/>
      <c r="AN60" s="401"/>
      <c r="AO60" s="401"/>
      <c r="AP60" s="208"/>
      <c r="AQ60" s="401"/>
      <c r="AR60" s="208"/>
      <c r="AS60" s="208"/>
      <c r="AT60" s="208"/>
      <c r="AU60" s="208"/>
      <c r="AV60" s="208"/>
      <c r="AW60" s="208"/>
      <c r="AX60" s="208"/>
      <c r="AY60" s="208"/>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row>
    <row r="61" spans="1:81" ht="15.75" customHeight="1">
      <c r="A61" s="366">
        <f t="shared" si="6"/>
        <v>12</v>
      </c>
      <c r="B61" s="1" t="s">
        <v>235</v>
      </c>
      <c r="C61" s="46" t="str">
        <f ca="1">IFERROR(__xludf.DUMMYFUNCTION("GoogleFinance(B61,""name"")"),"Apple Inc")</f>
        <v>Apple Inc</v>
      </c>
      <c r="D61" s="47">
        <f ca="1">IFERROR(__xludf.DUMMYFUNCTION("GoogleFinance(B61,""marketcap"")/1000000"),2815209)</f>
        <v>2815209</v>
      </c>
      <c r="E61" s="48" t="s">
        <v>7</v>
      </c>
      <c r="F61" s="48" t="s">
        <v>121</v>
      </c>
      <c r="G61" s="49">
        <v>45296</v>
      </c>
      <c r="H61" s="1">
        <v>182.8</v>
      </c>
      <c r="I61" s="51">
        <v>182.5</v>
      </c>
      <c r="J61" s="52">
        <v>109.58904109589041</v>
      </c>
      <c r="K61" s="53">
        <v>20000</v>
      </c>
      <c r="L61" s="339">
        <f t="shared" si="13"/>
        <v>20032.876712328769</v>
      </c>
      <c r="M61" s="340">
        <f t="shared" si="3"/>
        <v>32.876712328768917</v>
      </c>
      <c r="N61" s="341">
        <f t="shared" si="12"/>
        <v>1.6438356164383272E-3</v>
      </c>
      <c r="O61" s="56">
        <f t="shared" si="5"/>
        <v>40</v>
      </c>
      <c r="P61" s="443" t="s">
        <v>223</v>
      </c>
      <c r="Q61" s="49">
        <v>45336</v>
      </c>
      <c r="R61" s="27" t="s">
        <v>161</v>
      </c>
      <c r="S61" s="27"/>
      <c r="T61" s="27"/>
      <c r="U61" s="27"/>
      <c r="V61" s="27"/>
      <c r="W61" s="27"/>
      <c r="X61" s="3"/>
      <c r="Y61" s="3"/>
      <c r="Z61" s="3"/>
      <c r="AA61" s="3"/>
      <c r="AB61" s="3"/>
      <c r="AC61" s="27"/>
      <c r="AD61" s="27"/>
      <c r="AE61" s="27"/>
      <c r="AF61" s="27"/>
      <c r="AG61" s="25"/>
      <c r="AH61" s="25"/>
      <c r="AI61" s="401"/>
      <c r="AJ61" s="401"/>
      <c r="AK61" s="401"/>
      <c r="AL61" s="401"/>
      <c r="AM61" s="401"/>
      <c r="AN61" s="401"/>
      <c r="AO61" s="401"/>
      <c r="AP61" s="208"/>
      <c r="AQ61" s="401"/>
      <c r="AR61" s="208"/>
      <c r="AS61" s="208"/>
      <c r="AT61" s="208"/>
      <c r="AU61" s="208"/>
      <c r="AV61" s="208"/>
      <c r="AW61" s="208"/>
      <c r="AX61" s="208"/>
      <c r="AY61" s="208"/>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row>
    <row r="62" spans="1:81" ht="15.75" customHeight="1">
      <c r="A62" s="366">
        <f t="shared" si="6"/>
        <v>13</v>
      </c>
      <c r="B62" s="1" t="s">
        <v>166</v>
      </c>
      <c r="C62" s="46" t="str">
        <f ca="1">IFERROR(__xludf.DUMMYFUNCTION("GoogleFinance(B62,""name"")"),"Grupo Financiero Galicia S.A.")</f>
        <v>Grupo Financiero Galicia S.A.</v>
      </c>
      <c r="D62" s="47">
        <f ca="1">IFERROR(__xludf.DUMMYFUNCTION("GoogleFinance(B62,""marketcap"")/1000000"),2732449.565)</f>
        <v>2732449.5649999999</v>
      </c>
      <c r="E62" s="367" t="s">
        <v>13</v>
      </c>
      <c r="F62" s="368" t="s">
        <v>18</v>
      </c>
      <c r="G62" s="337">
        <v>45238</v>
      </c>
      <c r="H62" s="1">
        <v>20.22</v>
      </c>
      <c r="I62" s="371">
        <v>11.73</v>
      </c>
      <c r="J62" s="372">
        <v>80</v>
      </c>
      <c r="K62" s="339">
        <f>J62*I62</f>
        <v>938.40000000000009</v>
      </c>
      <c r="L62" s="339">
        <f t="shared" si="13"/>
        <v>1617.6</v>
      </c>
      <c r="M62" s="340">
        <f t="shared" si="3"/>
        <v>679.19999999999982</v>
      </c>
      <c r="N62" s="341">
        <f t="shared" si="12"/>
        <v>0.72378516624040912</v>
      </c>
      <c r="O62" s="342">
        <f ca="1">TODAY()-G62</f>
        <v>104</v>
      </c>
      <c r="P62" s="443" t="s">
        <v>223</v>
      </c>
      <c r="Q62" s="49">
        <v>45336</v>
      </c>
      <c r="R62" s="27" t="s">
        <v>161</v>
      </c>
      <c r="S62" s="27"/>
      <c r="T62" s="27"/>
      <c r="U62" s="27"/>
      <c r="V62" s="27"/>
      <c r="W62" s="27"/>
      <c r="X62" s="3"/>
      <c r="Y62" s="3"/>
      <c r="Z62" s="3"/>
      <c r="AA62" s="3"/>
      <c r="AB62" s="3"/>
      <c r="AC62" s="27"/>
      <c r="AD62" s="27"/>
      <c r="AE62" s="27"/>
      <c r="AF62" s="27"/>
      <c r="AG62" s="25"/>
      <c r="AH62" s="25"/>
      <c r="AI62" s="401"/>
      <c r="AJ62" s="401"/>
      <c r="AK62" s="401"/>
      <c r="AL62" s="401"/>
      <c r="AM62" s="401"/>
      <c r="AN62" s="401"/>
      <c r="AO62" s="401"/>
      <c r="AP62" s="208"/>
      <c r="AQ62" s="401"/>
      <c r="AR62" s="208"/>
      <c r="AS62" s="208"/>
      <c r="AT62" s="208"/>
      <c r="AU62" s="208"/>
      <c r="AV62" s="208"/>
      <c r="AW62" s="208"/>
      <c r="AX62" s="208"/>
      <c r="AY62" s="208"/>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row>
    <row r="63" spans="1:81" ht="15.75" customHeight="1">
      <c r="A63" s="366"/>
      <c r="B63" s="27"/>
      <c r="C63" s="272"/>
      <c r="D63" s="27"/>
      <c r="E63" s="27"/>
      <c r="F63" s="27"/>
      <c r="G63" s="28"/>
      <c r="H63" s="453"/>
      <c r="I63" s="454"/>
      <c r="J63" s="454"/>
      <c r="K63" s="455"/>
      <c r="L63" s="455"/>
      <c r="M63" s="456"/>
      <c r="N63" s="457"/>
      <c r="O63" s="372"/>
      <c r="P63" s="443"/>
      <c r="Q63" s="27"/>
      <c r="R63" s="27"/>
      <c r="S63" s="27"/>
      <c r="T63" s="27"/>
      <c r="U63" s="27"/>
      <c r="V63" s="27"/>
      <c r="W63" s="27"/>
      <c r="X63" s="3"/>
      <c r="Y63" s="3"/>
      <c r="Z63" s="3"/>
      <c r="AA63" s="3"/>
      <c r="AB63" s="3"/>
      <c r="AC63" s="27"/>
      <c r="AD63" s="27"/>
      <c r="AE63" s="27"/>
      <c r="AF63" s="27"/>
      <c r="AG63" s="3"/>
      <c r="AH63" s="3"/>
      <c r="AI63" s="401"/>
      <c r="AJ63" s="106"/>
      <c r="AK63" s="401"/>
      <c r="AL63" s="106"/>
      <c r="AM63" s="401"/>
      <c r="AN63" s="106"/>
      <c r="AO63" s="401"/>
      <c r="AP63" s="26"/>
      <c r="AQ63" s="401"/>
      <c r="AR63" s="26"/>
      <c r="AS63" s="26"/>
      <c r="AT63" s="26"/>
      <c r="AU63" s="26"/>
      <c r="AV63" s="208"/>
      <c r="AW63" s="208"/>
      <c r="AX63" s="26"/>
      <c r="AY63" s="208"/>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row>
    <row r="64" spans="1:81" ht="15.75" customHeight="1">
      <c r="A64" s="27"/>
      <c r="B64" s="27"/>
      <c r="C64" s="272"/>
      <c r="D64" s="27"/>
      <c r="E64" s="27"/>
      <c r="F64" s="27"/>
      <c r="G64" s="28"/>
      <c r="H64" s="393" t="s">
        <v>155</v>
      </c>
      <c r="I64" s="394"/>
      <c r="J64" s="394"/>
      <c r="K64" s="395">
        <f t="shared" ref="K64:M64" si="14">SUM(K48:K63)</f>
        <v>178678.69590356105</v>
      </c>
      <c r="L64" s="395">
        <f t="shared" si="14"/>
        <v>184574.01575090378</v>
      </c>
      <c r="M64" s="396">
        <f t="shared" si="14"/>
        <v>5895.3198473427155</v>
      </c>
      <c r="N64" s="457">
        <f>L64/K64-1</f>
        <v>3.2993971763285224E-2</v>
      </c>
      <c r="O64" s="398">
        <f ca="1">AVERAGE(O50:O63)</f>
        <v>22.153846153846153</v>
      </c>
      <c r="P64" s="443"/>
      <c r="Q64" s="27"/>
      <c r="R64" s="27"/>
      <c r="S64" s="27"/>
      <c r="T64" s="27"/>
      <c r="U64" s="27"/>
      <c r="V64" s="27"/>
      <c r="W64" s="27"/>
      <c r="X64" s="3"/>
      <c r="Y64" s="3"/>
      <c r="Z64" s="3"/>
      <c r="AA64" s="3"/>
      <c r="AB64" s="3"/>
      <c r="AC64" s="27"/>
      <c r="AD64" s="27"/>
      <c r="AE64" s="27"/>
      <c r="AF64" s="27"/>
      <c r="AG64" s="3"/>
      <c r="AH64" s="3"/>
      <c r="AI64" s="106"/>
      <c r="AJ64" s="106"/>
      <c r="AK64" s="106"/>
      <c r="AL64" s="106"/>
      <c r="AM64" s="106"/>
      <c r="AN64" s="106"/>
      <c r="AO64" s="106"/>
      <c r="AP64" s="26"/>
      <c r="AQ64" s="106"/>
      <c r="AR64" s="26"/>
      <c r="AS64" s="26"/>
      <c r="AT64" s="26"/>
      <c r="AU64" s="26"/>
      <c r="AV64" s="26"/>
      <c r="AW64" s="26"/>
      <c r="AX64" s="26"/>
      <c r="AY64" s="26"/>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row>
    <row r="65" spans="1:81" ht="15.75" customHeight="1">
      <c r="A65" s="27"/>
      <c r="B65" s="27"/>
      <c r="C65" s="272"/>
      <c r="D65" s="27"/>
      <c r="E65" s="27"/>
      <c r="F65" s="27"/>
      <c r="G65" s="28"/>
      <c r="H65" s="28"/>
      <c r="I65" s="27"/>
      <c r="J65" s="27"/>
      <c r="K65" s="27"/>
      <c r="L65" s="28"/>
      <c r="M65" s="27"/>
      <c r="N65" s="27"/>
      <c r="O65" s="27"/>
      <c r="P65" s="27"/>
      <c r="Q65" s="27"/>
      <c r="R65" s="27"/>
      <c r="S65" s="27"/>
      <c r="T65" s="27"/>
      <c r="U65" s="27"/>
      <c r="V65" s="27"/>
      <c r="W65" s="27"/>
      <c r="X65" s="3"/>
      <c r="Y65" s="3"/>
      <c r="Z65" s="3"/>
      <c r="AA65" s="3"/>
      <c r="AB65" s="3"/>
      <c r="AC65" s="27"/>
      <c r="AD65" s="27"/>
      <c r="AE65" s="27"/>
      <c r="AF65" s="27"/>
      <c r="AG65" s="3"/>
      <c r="AH65" s="3"/>
      <c r="AI65" s="106"/>
      <c r="AJ65" s="106"/>
      <c r="AK65" s="106"/>
      <c r="AL65" s="106"/>
      <c r="AM65" s="106"/>
      <c r="AN65" s="106"/>
      <c r="AO65" s="106"/>
      <c r="AP65" s="26"/>
      <c r="AQ65" s="106"/>
      <c r="AR65" s="26"/>
      <c r="AS65" s="26"/>
      <c r="AT65" s="26"/>
      <c r="AU65" s="26"/>
      <c r="AV65" s="26"/>
      <c r="AW65" s="26"/>
      <c r="AX65" s="26"/>
      <c r="AY65" s="26"/>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row>
    <row r="66" spans="1:81" ht="15.75" customHeight="1">
      <c r="A66" s="27"/>
      <c r="B66" s="27"/>
      <c r="C66" s="272"/>
      <c r="D66" s="27"/>
      <c r="E66" s="27"/>
      <c r="F66" s="27"/>
      <c r="G66" s="28"/>
      <c r="H66" s="28"/>
      <c r="I66" s="27"/>
      <c r="J66" s="27"/>
      <c r="K66" s="27"/>
      <c r="L66" s="28"/>
      <c r="M66" s="27"/>
      <c r="N66" s="27"/>
      <c r="O66" s="27"/>
      <c r="P66" s="27"/>
      <c r="Q66" s="27"/>
      <c r="R66" s="27"/>
      <c r="S66" s="27"/>
      <c r="T66" s="27"/>
      <c r="U66" s="27"/>
      <c r="V66" s="27"/>
      <c r="W66" s="27"/>
      <c r="X66" s="27"/>
      <c r="Y66" s="27"/>
      <c r="Z66" s="27"/>
      <c r="AA66" s="27"/>
      <c r="AB66" s="27"/>
      <c r="AC66" s="27"/>
      <c r="AD66" s="27"/>
      <c r="AE66" s="27"/>
      <c r="AF66" s="27"/>
      <c r="AG66" s="3"/>
      <c r="AH66" s="3"/>
      <c r="AI66" s="106"/>
      <c r="AJ66" s="106"/>
      <c r="AK66" s="106"/>
      <c r="AL66" s="106"/>
      <c r="AM66" s="106"/>
      <c r="AN66" s="106"/>
      <c r="AO66" s="106"/>
      <c r="AP66" s="26"/>
      <c r="AQ66" s="106"/>
      <c r="AR66" s="26"/>
      <c r="AS66" s="26"/>
      <c r="AT66" s="26"/>
      <c r="AU66" s="26"/>
      <c r="AV66" s="26"/>
      <c r="AW66" s="26"/>
      <c r="AX66" s="26"/>
      <c r="AY66" s="26"/>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row>
    <row r="67" spans="1:81" ht="15.75" customHeight="1">
      <c r="A67" s="27"/>
      <c r="B67" s="27"/>
      <c r="C67" s="272"/>
      <c r="D67" s="27"/>
      <c r="E67" s="27"/>
      <c r="F67" s="27"/>
      <c r="G67" s="28"/>
      <c r="H67" s="28"/>
      <c r="I67" s="27"/>
      <c r="J67" s="27"/>
      <c r="K67" s="27"/>
      <c r="L67" s="28"/>
      <c r="M67" s="27"/>
      <c r="N67" s="27"/>
      <c r="O67" s="27"/>
      <c r="P67" s="27"/>
      <c r="Q67" s="27"/>
      <c r="R67" s="27"/>
      <c r="S67" s="27"/>
      <c r="T67" s="27"/>
      <c r="U67" s="27"/>
      <c r="V67" s="27"/>
      <c r="W67" s="27"/>
      <c r="X67" s="27"/>
      <c r="Y67" s="27"/>
      <c r="Z67" s="27"/>
      <c r="AA67" s="27"/>
      <c r="AB67" s="27"/>
      <c r="AC67" s="27"/>
      <c r="AD67" s="27"/>
      <c r="AE67" s="27"/>
      <c r="AF67" s="27"/>
      <c r="AG67" s="3"/>
      <c r="AH67" s="3"/>
      <c r="AI67" s="106"/>
      <c r="AJ67" s="106"/>
      <c r="AK67" s="106"/>
      <c r="AL67" s="106"/>
      <c r="AM67" s="106"/>
      <c r="AN67" s="106"/>
      <c r="AO67" s="106"/>
      <c r="AP67" s="26"/>
      <c r="AQ67" s="106"/>
      <c r="AR67" s="26"/>
      <c r="AS67" s="26"/>
      <c r="AT67" s="26"/>
      <c r="AU67" s="26"/>
      <c r="AV67" s="26"/>
      <c r="AW67" s="26"/>
      <c r="AX67" s="26"/>
      <c r="AY67" s="26"/>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row>
    <row r="68" spans="1:81" ht="15.75" customHeight="1">
      <c r="A68" s="27"/>
      <c r="B68" s="27"/>
      <c r="C68" s="272"/>
      <c r="D68" s="27"/>
      <c r="E68" s="27"/>
      <c r="F68" s="27"/>
      <c r="G68" s="28"/>
      <c r="H68" s="28"/>
      <c r="I68" s="27"/>
      <c r="J68" s="27"/>
      <c r="K68" s="27"/>
      <c r="L68" s="28"/>
      <c r="M68" s="27"/>
      <c r="N68" s="27"/>
      <c r="O68" s="27"/>
      <c r="P68" s="27"/>
      <c r="Q68" s="27"/>
      <c r="R68" s="27"/>
      <c r="S68" s="27"/>
      <c r="T68" s="27"/>
      <c r="U68" s="27"/>
      <c r="V68" s="27"/>
      <c r="W68" s="27"/>
      <c r="X68" s="27"/>
      <c r="Y68" s="27"/>
      <c r="Z68" s="27"/>
      <c r="AA68" s="27"/>
      <c r="AB68" s="27"/>
      <c r="AC68" s="27"/>
      <c r="AD68" s="27"/>
      <c r="AE68" s="27"/>
      <c r="AF68" s="27"/>
      <c r="AG68" s="3"/>
      <c r="AH68" s="3"/>
      <c r="AI68" s="106"/>
      <c r="AJ68" s="106"/>
      <c r="AK68" s="106"/>
      <c r="AL68" s="106"/>
      <c r="AM68" s="106"/>
      <c r="AN68" s="106"/>
      <c r="AO68" s="106"/>
      <c r="AP68" s="26"/>
      <c r="AQ68" s="106"/>
      <c r="AR68" s="26"/>
      <c r="AS68" s="26"/>
      <c r="AT68" s="26"/>
      <c r="AU68" s="26"/>
      <c r="AV68" s="26"/>
      <c r="AW68" s="26"/>
      <c r="AX68" s="26"/>
      <c r="AY68" s="26"/>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row>
    <row r="69" spans="1:81" ht="15.75" customHeight="1">
      <c r="A69" s="27"/>
      <c r="B69" s="27"/>
      <c r="C69" s="272"/>
      <c r="D69" s="27"/>
      <c r="E69" s="27"/>
      <c r="F69" s="27"/>
      <c r="G69" s="28"/>
      <c r="H69" s="28"/>
      <c r="I69" s="27"/>
      <c r="J69" s="27"/>
      <c r="K69" s="27"/>
      <c r="L69" s="28"/>
      <c r="M69" s="27"/>
      <c r="N69" s="27"/>
      <c r="O69" s="27"/>
      <c r="P69" s="27"/>
      <c r="Q69" s="27"/>
      <c r="R69" s="27"/>
      <c r="S69" s="27"/>
      <c r="T69" s="27"/>
      <c r="U69" s="27"/>
      <c r="V69" s="27"/>
      <c r="W69" s="27"/>
      <c r="X69" s="27"/>
      <c r="Y69" s="27"/>
      <c r="Z69" s="27"/>
      <c r="AA69" s="27"/>
      <c r="AB69" s="27"/>
      <c r="AC69" s="27"/>
      <c r="AD69" s="27"/>
      <c r="AE69" s="27"/>
      <c r="AF69" s="27"/>
      <c r="AG69" s="3"/>
      <c r="AH69" s="3"/>
      <c r="AI69" s="106"/>
      <c r="AJ69" s="106"/>
      <c r="AK69" s="106"/>
      <c r="AL69" s="106"/>
      <c r="AM69" s="106"/>
      <c r="AN69" s="106"/>
      <c r="AO69" s="106"/>
      <c r="AP69" s="26"/>
      <c r="AQ69" s="106"/>
      <c r="AR69" s="26"/>
      <c r="AS69" s="106"/>
      <c r="AT69" s="26"/>
      <c r="AU69" s="106"/>
      <c r="AV69" s="26"/>
      <c r="AW69" s="109"/>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row>
    <row r="70" spans="1:81" ht="15.75" customHeight="1">
      <c r="A70" s="27"/>
      <c r="B70" s="27"/>
      <c r="C70" s="272"/>
      <c r="D70" s="27"/>
      <c r="E70" s="27"/>
      <c r="F70" s="27"/>
      <c r="G70" s="28"/>
      <c r="H70" s="28"/>
      <c r="I70" s="27"/>
      <c r="J70" s="27"/>
      <c r="K70" s="27"/>
      <c r="L70" s="28"/>
      <c r="M70" s="27"/>
      <c r="N70" s="27"/>
      <c r="O70" s="27"/>
      <c r="P70" s="27"/>
      <c r="Q70" s="27"/>
      <c r="R70" s="27"/>
      <c r="S70" s="27"/>
      <c r="T70" s="27"/>
      <c r="U70" s="27"/>
      <c r="V70" s="27"/>
      <c r="W70" s="27"/>
      <c r="X70" s="27"/>
      <c r="Y70" s="27"/>
      <c r="Z70" s="27"/>
      <c r="AA70" s="27"/>
      <c r="AB70" s="27"/>
      <c r="AC70" s="27"/>
      <c r="AD70" s="27"/>
      <c r="AE70" s="27"/>
      <c r="AF70" s="27"/>
      <c r="AG70" s="3"/>
      <c r="AH70" s="3"/>
      <c r="AI70" s="106"/>
      <c r="AJ70" s="106"/>
      <c r="AK70" s="106"/>
      <c r="AL70" s="106"/>
      <c r="AM70" s="106"/>
      <c r="AN70" s="106"/>
      <c r="AO70" s="106"/>
      <c r="AP70" s="26"/>
      <c r="AQ70" s="106"/>
      <c r="AR70" s="26"/>
      <c r="AS70" s="106"/>
      <c r="AT70" s="26"/>
      <c r="AU70" s="106"/>
      <c r="AV70" s="26"/>
      <c r="AW70" s="109"/>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row>
    <row r="71" spans="1:81" ht="15.75" customHeight="1">
      <c r="A71" s="27"/>
      <c r="B71" s="27"/>
      <c r="C71" s="272"/>
      <c r="D71" s="27"/>
      <c r="E71" s="27"/>
      <c r="F71" s="27"/>
      <c r="G71" s="28"/>
      <c r="H71" s="28"/>
      <c r="I71" s="27"/>
      <c r="J71" s="27"/>
      <c r="K71" s="27"/>
      <c r="L71" s="28"/>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row>
    <row r="72" spans="1:81" ht="15.75" customHeight="1">
      <c r="A72" s="27"/>
      <c r="B72" s="27"/>
      <c r="C72" s="272"/>
      <c r="D72" s="27"/>
      <c r="E72" s="27"/>
      <c r="F72" s="27"/>
      <c r="G72" s="28"/>
      <c r="H72" s="28"/>
      <c r="I72" s="27"/>
      <c r="J72" s="27"/>
      <c r="K72" s="27"/>
      <c r="L72" s="28"/>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row>
    <row r="73" spans="1:81" ht="15.75" customHeight="1">
      <c r="A73" s="27"/>
      <c r="B73" s="27"/>
      <c r="C73" s="272"/>
      <c r="D73" s="27"/>
      <c r="E73" s="27"/>
      <c r="F73" s="27"/>
      <c r="G73" s="28"/>
      <c r="H73" s="28"/>
      <c r="I73" s="27"/>
      <c r="J73" s="27"/>
      <c r="K73" s="27"/>
      <c r="L73" s="28"/>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row>
    <row r="74" spans="1:81" ht="15.75" customHeight="1">
      <c r="A74" s="27"/>
      <c r="B74" s="27"/>
      <c r="C74" s="272"/>
      <c r="D74" s="27"/>
      <c r="E74" s="27"/>
      <c r="F74" s="27"/>
      <c r="G74" s="28"/>
      <c r="H74" s="28"/>
      <c r="I74" s="27"/>
      <c r="J74" s="27"/>
      <c r="K74" s="27"/>
      <c r="L74" s="28"/>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row>
    <row r="75" spans="1:81" ht="15.75" customHeight="1">
      <c r="A75" s="27"/>
      <c r="B75" s="27"/>
      <c r="C75" s="272"/>
      <c r="D75" s="27"/>
      <c r="E75" s="27"/>
      <c r="F75" s="27"/>
      <c r="G75" s="28"/>
      <c r="H75" s="28"/>
      <c r="I75" s="27"/>
      <c r="J75" s="27"/>
      <c r="K75" s="27"/>
      <c r="L75" s="28"/>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row>
    <row r="76" spans="1:81" ht="15.75" customHeight="1">
      <c r="A76" s="27"/>
      <c r="B76" s="27"/>
      <c r="C76" s="272"/>
      <c r="D76" s="27"/>
      <c r="E76" s="27"/>
      <c r="F76" s="27"/>
      <c r="G76" s="28"/>
      <c r="H76" s="28"/>
      <c r="I76" s="27"/>
      <c r="J76" s="27"/>
      <c r="K76" s="27"/>
      <c r="L76" s="28"/>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row>
    <row r="77" spans="1:81" ht="15.75" customHeight="1">
      <c r="A77" s="27"/>
      <c r="B77" s="27"/>
      <c r="C77" s="272"/>
      <c r="D77" s="27"/>
      <c r="E77" s="27"/>
      <c r="F77" s="27"/>
      <c r="G77" s="28"/>
      <c r="H77" s="28"/>
      <c r="I77" s="27"/>
      <c r="J77" s="27"/>
      <c r="K77" s="27"/>
      <c r="L77" s="28"/>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row>
    <row r="78" spans="1:81" ht="15.75" customHeight="1">
      <c r="A78" s="27"/>
      <c r="B78" s="27"/>
      <c r="C78" s="272"/>
      <c r="D78" s="27"/>
      <c r="E78" s="27"/>
      <c r="F78" s="27"/>
      <c r="G78" s="28"/>
      <c r="H78" s="28"/>
      <c r="I78" s="27"/>
      <c r="J78" s="27"/>
      <c r="K78" s="27"/>
      <c r="L78" s="28"/>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row>
    <row r="79" spans="1:81" ht="15.75" customHeight="1">
      <c r="A79" s="27"/>
      <c r="B79" s="27"/>
      <c r="C79" s="272"/>
      <c r="D79" s="27"/>
      <c r="E79" s="27"/>
      <c r="F79" s="27"/>
      <c r="G79" s="28"/>
      <c r="H79" s="28"/>
      <c r="I79" s="27"/>
      <c r="J79" s="27"/>
      <c r="K79" s="27"/>
      <c r="L79" s="28"/>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row>
    <row r="80" spans="1:81" ht="15.75" customHeight="1">
      <c r="A80" s="27"/>
      <c r="B80" s="27"/>
      <c r="C80" s="272"/>
      <c r="D80" s="27"/>
      <c r="E80" s="27"/>
      <c r="F80" s="27"/>
      <c r="G80" s="28"/>
      <c r="H80" s="28"/>
      <c r="I80" s="27"/>
      <c r="J80" s="27"/>
      <c r="K80" s="27"/>
      <c r="L80" s="28"/>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row>
    <row r="81" spans="1:81" ht="15.75" customHeight="1">
      <c r="A81" s="27"/>
      <c r="B81" s="27"/>
      <c r="C81" s="272"/>
      <c r="D81" s="27"/>
      <c r="E81" s="27"/>
      <c r="F81" s="27"/>
      <c r="G81" s="28"/>
      <c r="H81" s="28"/>
      <c r="I81" s="27"/>
      <c r="J81" s="27"/>
      <c r="K81" s="27"/>
      <c r="L81" s="28"/>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row>
    <row r="82" spans="1:81" ht="15.75" customHeight="1">
      <c r="A82" s="27"/>
      <c r="B82" s="27"/>
      <c r="C82" s="272"/>
      <c r="D82" s="27"/>
      <c r="E82" s="27"/>
      <c r="F82" s="27"/>
      <c r="G82" s="28"/>
      <c r="H82" s="28"/>
      <c r="I82" s="27"/>
      <c r="J82" s="27"/>
      <c r="K82" s="27"/>
      <c r="L82" s="28"/>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row>
    <row r="83" spans="1:81" ht="15.75" customHeight="1">
      <c r="A83" s="27"/>
      <c r="B83" s="27"/>
      <c r="C83" s="272"/>
      <c r="D83" s="27"/>
      <c r="E83" s="27"/>
      <c r="F83" s="27"/>
      <c r="G83" s="28"/>
      <c r="H83" s="28"/>
      <c r="I83" s="27"/>
      <c r="J83" s="27"/>
      <c r="K83" s="27"/>
      <c r="L83" s="28"/>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row>
    <row r="84" spans="1:81" ht="15.75" customHeight="1">
      <c r="A84" s="27"/>
      <c r="B84" s="27"/>
      <c r="C84" s="272"/>
      <c r="D84" s="27"/>
      <c r="E84" s="27"/>
      <c r="F84" s="27"/>
      <c r="G84" s="28"/>
      <c r="H84" s="28"/>
      <c r="I84" s="27"/>
      <c r="J84" s="27"/>
      <c r="K84" s="27"/>
      <c r="L84" s="28"/>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row>
    <row r="85" spans="1:81" ht="15.75" customHeight="1">
      <c r="A85" s="27"/>
      <c r="B85" s="27"/>
      <c r="C85" s="272"/>
      <c r="D85" s="27"/>
      <c r="E85" s="27"/>
      <c r="F85" s="27"/>
      <c r="G85" s="28"/>
      <c r="H85" s="28"/>
      <c r="I85" s="27"/>
      <c r="J85" s="27"/>
      <c r="K85" s="27"/>
      <c r="L85" s="28"/>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row>
    <row r="86" spans="1:81" ht="15.75" customHeight="1">
      <c r="A86" s="27"/>
      <c r="B86" s="27"/>
      <c r="C86" s="272"/>
      <c r="D86" s="27"/>
      <c r="E86" s="27"/>
      <c r="F86" s="27"/>
      <c r="G86" s="28"/>
      <c r="H86" s="28"/>
      <c r="I86" s="27"/>
      <c r="J86" s="27"/>
      <c r="K86" s="27"/>
      <c r="L86" s="28"/>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row>
    <row r="87" spans="1:81" ht="15.75" customHeight="1">
      <c r="A87" s="27"/>
      <c r="B87" s="27"/>
      <c r="C87" s="272"/>
      <c r="D87" s="27"/>
      <c r="E87" s="27"/>
      <c r="F87" s="27"/>
      <c r="G87" s="28"/>
      <c r="H87" s="28"/>
      <c r="I87" s="27"/>
      <c r="J87" s="27"/>
      <c r="K87" s="27"/>
      <c r="L87" s="28"/>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row>
    <row r="88" spans="1:81" ht="15.75" customHeight="1">
      <c r="A88" s="27"/>
      <c r="B88" s="27"/>
      <c r="C88" s="272"/>
      <c r="D88" s="27"/>
      <c r="E88" s="27"/>
      <c r="F88" s="27"/>
      <c r="G88" s="28"/>
      <c r="H88" s="28"/>
      <c r="I88" s="27"/>
      <c r="J88" s="27"/>
      <c r="K88" s="27"/>
      <c r="L88" s="28"/>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row>
    <row r="89" spans="1:81" ht="15.75" customHeight="1">
      <c r="A89" s="27"/>
      <c r="B89" s="27"/>
      <c r="C89" s="272"/>
      <c r="D89" s="27"/>
      <c r="E89" s="27"/>
      <c r="F89" s="27"/>
      <c r="G89" s="28"/>
      <c r="H89" s="28"/>
      <c r="I89" s="27"/>
      <c r="J89" s="27"/>
      <c r="K89" s="27"/>
      <c r="L89" s="28"/>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row>
    <row r="90" spans="1:81" ht="15.75" customHeight="1">
      <c r="A90" s="27"/>
      <c r="B90" s="27"/>
      <c r="C90" s="272"/>
      <c r="D90" s="27"/>
      <c r="E90" s="27"/>
      <c r="F90" s="27"/>
      <c r="G90" s="28"/>
      <c r="H90" s="28"/>
      <c r="I90" s="27"/>
      <c r="J90" s="27"/>
      <c r="K90" s="27"/>
      <c r="L90" s="28"/>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row>
    <row r="91" spans="1:81" ht="15.75" customHeight="1">
      <c r="A91" s="27"/>
      <c r="B91" s="27"/>
      <c r="C91" s="272"/>
      <c r="D91" s="27"/>
      <c r="E91" s="27"/>
      <c r="F91" s="27"/>
      <c r="G91" s="28"/>
      <c r="H91" s="28"/>
      <c r="I91" s="27"/>
      <c r="J91" s="27"/>
      <c r="K91" s="27"/>
      <c r="L91" s="28"/>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row>
    <row r="92" spans="1:81" ht="15.75" customHeight="1">
      <c r="A92" s="27"/>
      <c r="B92" s="27"/>
      <c r="C92" s="272"/>
      <c r="D92" s="27"/>
      <c r="E92" s="27"/>
      <c r="F92" s="27"/>
      <c r="G92" s="28"/>
      <c r="H92" s="28"/>
      <c r="I92" s="27"/>
      <c r="J92" s="27"/>
      <c r="K92" s="27"/>
      <c r="L92" s="28"/>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row>
    <row r="93" spans="1:81" ht="15.75" customHeight="1">
      <c r="A93" s="27"/>
      <c r="B93" s="27"/>
      <c r="C93" s="272"/>
      <c r="D93" s="27"/>
      <c r="E93" s="27"/>
      <c r="F93" s="27"/>
      <c r="G93" s="28"/>
      <c r="H93" s="28"/>
      <c r="I93" s="27"/>
      <c r="J93" s="27"/>
      <c r="K93" s="27"/>
      <c r="L93" s="28"/>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row>
    <row r="94" spans="1:81" ht="15.75" customHeight="1">
      <c r="A94" s="27"/>
      <c r="B94" s="27"/>
      <c r="C94" s="272"/>
      <c r="D94" s="27"/>
      <c r="E94" s="27"/>
      <c r="F94" s="27"/>
      <c r="G94" s="28"/>
      <c r="H94" s="28"/>
      <c r="I94" s="27"/>
      <c r="J94" s="27"/>
      <c r="K94" s="27"/>
      <c r="L94" s="28"/>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row>
    <row r="95" spans="1:81" ht="15.75" customHeight="1">
      <c r="A95" s="27"/>
      <c r="B95" s="27"/>
      <c r="C95" s="272"/>
      <c r="D95" s="27"/>
      <c r="E95" s="27"/>
      <c r="F95" s="27"/>
      <c r="G95" s="28"/>
      <c r="H95" s="28"/>
      <c r="I95" s="27"/>
      <c r="J95" s="27"/>
      <c r="K95" s="27"/>
      <c r="L95" s="28"/>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row>
    <row r="96" spans="1:81" ht="15.75" customHeight="1">
      <c r="A96" s="27"/>
      <c r="B96" s="27"/>
      <c r="C96" s="272"/>
      <c r="D96" s="27"/>
      <c r="E96" s="27"/>
      <c r="F96" s="27"/>
      <c r="G96" s="28"/>
      <c r="H96" s="28"/>
      <c r="I96" s="27"/>
      <c r="J96" s="27"/>
      <c r="K96" s="27"/>
      <c r="L96" s="28"/>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row>
    <row r="97" spans="1:81" ht="15.75" customHeight="1">
      <c r="A97" s="27"/>
      <c r="B97" s="27"/>
      <c r="C97" s="272"/>
      <c r="D97" s="27"/>
      <c r="E97" s="27"/>
      <c r="F97" s="27"/>
      <c r="G97" s="28"/>
      <c r="H97" s="28"/>
      <c r="I97" s="27"/>
      <c r="J97" s="27"/>
      <c r="K97" s="27"/>
      <c r="L97" s="28"/>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row>
    <row r="98" spans="1:81" ht="15.75" customHeight="1">
      <c r="A98" s="27"/>
      <c r="B98" s="27"/>
      <c r="C98" s="272"/>
      <c r="D98" s="27"/>
      <c r="E98" s="27"/>
      <c r="F98" s="27"/>
      <c r="G98" s="28"/>
      <c r="H98" s="28"/>
      <c r="I98" s="27"/>
      <c r="J98" s="27"/>
      <c r="K98" s="27"/>
      <c r="L98" s="28"/>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row>
    <row r="99" spans="1:81" ht="15.75" customHeight="1">
      <c r="A99" s="27"/>
      <c r="B99" s="27"/>
      <c r="C99" s="272"/>
      <c r="D99" s="27"/>
      <c r="E99" s="27"/>
      <c r="F99" s="27"/>
      <c r="G99" s="28"/>
      <c r="H99" s="28"/>
      <c r="I99" s="27"/>
      <c r="J99" s="27"/>
      <c r="K99" s="27"/>
      <c r="L99" s="28"/>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row>
    <row r="100" spans="1:81" ht="15.75" customHeight="1">
      <c r="A100" s="27"/>
      <c r="B100" s="27"/>
      <c r="C100" s="272"/>
      <c r="D100" s="27"/>
      <c r="E100" s="27"/>
      <c r="F100" s="27"/>
      <c r="G100" s="28"/>
      <c r="H100" s="28"/>
      <c r="I100" s="27"/>
      <c r="J100" s="27"/>
      <c r="K100" s="27"/>
      <c r="L100" s="28"/>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row>
    <row r="101" spans="1:81" ht="15.75" customHeight="1">
      <c r="A101" s="27"/>
      <c r="B101" s="27"/>
      <c r="C101" s="272"/>
      <c r="D101" s="27"/>
      <c r="E101" s="27"/>
      <c r="F101" s="27"/>
      <c r="G101" s="28"/>
      <c r="H101" s="28"/>
      <c r="I101" s="27"/>
      <c r="J101" s="27"/>
      <c r="K101" s="27"/>
      <c r="L101" s="28"/>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row>
    <row r="102" spans="1:81" ht="15.75" customHeight="1">
      <c r="A102" s="27"/>
      <c r="B102" s="27"/>
      <c r="C102" s="272"/>
      <c r="D102" s="27"/>
      <c r="E102" s="27"/>
      <c r="F102" s="27"/>
      <c r="G102" s="28"/>
      <c r="H102" s="28"/>
      <c r="I102" s="27"/>
      <c r="J102" s="27"/>
      <c r="K102" s="27"/>
      <c r="L102" s="28"/>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row>
    <row r="103" spans="1:81" ht="15.75" customHeight="1">
      <c r="A103" s="27"/>
      <c r="B103" s="27"/>
      <c r="C103" s="272"/>
      <c r="D103" s="27"/>
      <c r="E103" s="27"/>
      <c r="F103" s="27"/>
      <c r="G103" s="28"/>
      <c r="H103" s="28"/>
      <c r="I103" s="27"/>
      <c r="J103" s="27"/>
      <c r="K103" s="27"/>
      <c r="L103" s="28"/>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row>
    <row r="104" spans="1:81" ht="15.75" customHeight="1">
      <c r="A104" s="27"/>
      <c r="B104" s="27"/>
      <c r="C104" s="272"/>
      <c r="D104" s="27"/>
      <c r="E104" s="27"/>
      <c r="F104" s="27"/>
      <c r="G104" s="28"/>
      <c r="H104" s="28"/>
      <c r="I104" s="27"/>
      <c r="J104" s="27"/>
      <c r="K104" s="27"/>
      <c r="L104" s="28"/>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row>
    <row r="105" spans="1:81" ht="15.75" customHeight="1">
      <c r="A105" s="27"/>
      <c r="B105" s="27"/>
      <c r="C105" s="272"/>
      <c r="D105" s="27"/>
      <c r="E105" s="27"/>
      <c r="F105" s="27"/>
      <c r="G105" s="28"/>
      <c r="H105" s="28"/>
      <c r="I105" s="27"/>
      <c r="J105" s="27"/>
      <c r="K105" s="27"/>
      <c r="L105" s="28"/>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row>
    <row r="106" spans="1:81" ht="15.75" customHeight="1">
      <c r="A106" s="27"/>
      <c r="B106" s="27"/>
      <c r="C106" s="272"/>
      <c r="D106" s="27"/>
      <c r="E106" s="27"/>
      <c r="F106" s="27"/>
      <c r="G106" s="28"/>
      <c r="H106" s="28"/>
      <c r="I106" s="27"/>
      <c r="J106" s="27"/>
      <c r="K106" s="27"/>
      <c r="L106" s="28"/>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row>
    <row r="107" spans="1:81" ht="15.75" customHeight="1">
      <c r="A107" s="27"/>
      <c r="B107" s="27"/>
      <c r="C107" s="272"/>
      <c r="D107" s="27"/>
      <c r="E107" s="27"/>
      <c r="F107" s="27"/>
      <c r="G107" s="28"/>
      <c r="H107" s="28"/>
      <c r="I107" s="27"/>
      <c r="J107" s="27"/>
      <c r="K107" s="27"/>
      <c r="L107" s="28"/>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row>
    <row r="108" spans="1:81" ht="15.75" customHeight="1">
      <c r="A108" s="27"/>
      <c r="B108" s="27"/>
      <c r="C108" s="272"/>
      <c r="D108" s="27"/>
      <c r="E108" s="27"/>
      <c r="F108" s="27"/>
      <c r="G108" s="28"/>
      <c r="H108" s="28"/>
      <c r="I108" s="27"/>
      <c r="J108" s="27"/>
      <c r="K108" s="27"/>
      <c r="L108" s="28"/>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row>
    <row r="109" spans="1:81" ht="15.75" customHeight="1">
      <c r="A109" s="27"/>
      <c r="B109" s="27"/>
      <c r="C109" s="272"/>
      <c r="D109" s="27"/>
      <c r="E109" s="27"/>
      <c r="F109" s="27"/>
      <c r="G109" s="28"/>
      <c r="H109" s="28"/>
      <c r="I109" s="27"/>
      <c r="J109" s="27"/>
      <c r="K109" s="27"/>
      <c r="L109" s="28"/>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row>
    <row r="110" spans="1:81" ht="15.75" customHeight="1">
      <c r="A110" s="27"/>
      <c r="B110" s="27"/>
      <c r="C110" s="272"/>
      <c r="D110" s="27"/>
      <c r="E110" s="27"/>
      <c r="F110" s="27"/>
      <c r="G110" s="28"/>
      <c r="H110" s="28"/>
      <c r="I110" s="27"/>
      <c r="J110" s="27"/>
      <c r="K110" s="27"/>
      <c r="L110" s="28"/>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row>
    <row r="111" spans="1:81" ht="15.75" customHeight="1">
      <c r="A111" s="27"/>
      <c r="B111" s="27"/>
      <c r="C111" s="272"/>
      <c r="D111" s="27"/>
      <c r="E111" s="27"/>
      <c r="F111" s="27"/>
      <c r="G111" s="28"/>
      <c r="H111" s="28"/>
      <c r="I111" s="27"/>
      <c r="J111" s="27"/>
      <c r="K111" s="27"/>
      <c r="L111" s="28"/>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row>
    <row r="112" spans="1:81" ht="15.75" customHeight="1">
      <c r="A112" s="27"/>
      <c r="B112" s="27"/>
      <c r="C112" s="272"/>
      <c r="D112" s="27"/>
      <c r="E112" s="27"/>
      <c r="F112" s="27"/>
      <c r="G112" s="28"/>
      <c r="H112" s="28"/>
      <c r="I112" s="27"/>
      <c r="J112" s="27"/>
      <c r="K112" s="27"/>
      <c r="L112" s="28"/>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row>
    <row r="113" spans="1:81" ht="15.75" customHeight="1">
      <c r="A113" s="27"/>
      <c r="B113" s="27"/>
      <c r="C113" s="272"/>
      <c r="D113" s="27"/>
      <c r="E113" s="27"/>
      <c r="F113" s="27"/>
      <c r="G113" s="28"/>
      <c r="H113" s="28"/>
      <c r="I113" s="27"/>
      <c r="J113" s="27"/>
      <c r="K113" s="27"/>
      <c r="L113" s="28"/>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row>
    <row r="114" spans="1:81" ht="15.75" customHeight="1">
      <c r="A114" s="27"/>
      <c r="B114" s="27"/>
      <c r="C114" s="272"/>
      <c r="D114" s="27"/>
      <c r="E114" s="27"/>
      <c r="F114" s="27"/>
      <c r="G114" s="28"/>
      <c r="H114" s="28"/>
      <c r="I114" s="27"/>
      <c r="J114" s="27"/>
      <c r="K114" s="27"/>
      <c r="L114" s="28"/>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row>
    <row r="115" spans="1:81" ht="15.75" customHeight="1">
      <c r="A115" s="27"/>
      <c r="B115" s="27"/>
      <c r="C115" s="272"/>
      <c r="D115" s="27"/>
      <c r="E115" s="27"/>
      <c r="F115" s="27"/>
      <c r="G115" s="28"/>
      <c r="H115" s="28"/>
      <c r="I115" s="27"/>
      <c r="J115" s="27"/>
      <c r="K115" s="27"/>
      <c r="L115" s="28"/>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row>
    <row r="116" spans="1:81" ht="15.75" customHeight="1">
      <c r="A116" s="27"/>
      <c r="B116" s="27"/>
      <c r="C116" s="272"/>
      <c r="D116" s="27"/>
      <c r="E116" s="27"/>
      <c r="F116" s="27"/>
      <c r="G116" s="28"/>
      <c r="H116" s="28"/>
      <c r="I116" s="27"/>
      <c r="J116" s="27"/>
      <c r="K116" s="27"/>
      <c r="L116" s="28"/>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row>
    <row r="117" spans="1:81" ht="15.75" customHeight="1">
      <c r="A117" s="27"/>
      <c r="B117" s="27"/>
      <c r="C117" s="272"/>
      <c r="D117" s="27"/>
      <c r="E117" s="27"/>
      <c r="F117" s="27"/>
      <c r="G117" s="28"/>
      <c r="H117" s="28"/>
      <c r="I117" s="27"/>
      <c r="J117" s="27"/>
      <c r="K117" s="27"/>
      <c r="L117" s="28"/>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row>
    <row r="118" spans="1:81" ht="15.75" customHeight="1">
      <c r="A118" s="27"/>
      <c r="B118" s="27"/>
      <c r="C118" s="272"/>
      <c r="D118" s="27"/>
      <c r="E118" s="27"/>
      <c r="F118" s="27"/>
      <c r="G118" s="28"/>
      <c r="H118" s="28"/>
      <c r="I118" s="27"/>
      <c r="J118" s="27"/>
      <c r="K118" s="27"/>
      <c r="L118" s="28"/>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row>
    <row r="119" spans="1:81" ht="15.75" customHeight="1">
      <c r="A119" s="27"/>
      <c r="B119" s="27"/>
      <c r="C119" s="272"/>
      <c r="D119" s="27"/>
      <c r="E119" s="27"/>
      <c r="F119" s="27"/>
      <c r="G119" s="28"/>
      <c r="H119" s="28"/>
      <c r="I119" s="27"/>
      <c r="J119" s="27"/>
      <c r="K119" s="27"/>
      <c r="L119" s="28"/>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row>
    <row r="120" spans="1:81" ht="15.75" customHeight="1">
      <c r="A120" s="27"/>
      <c r="B120" s="27"/>
      <c r="C120" s="272"/>
      <c r="D120" s="27"/>
      <c r="E120" s="27"/>
      <c r="F120" s="27"/>
      <c r="G120" s="28"/>
      <c r="H120" s="28"/>
      <c r="I120" s="27"/>
      <c r="J120" s="27"/>
      <c r="K120" s="27"/>
      <c r="L120" s="28"/>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row>
    <row r="121" spans="1:81" ht="15.75" customHeight="1">
      <c r="A121" s="27"/>
      <c r="B121" s="27"/>
      <c r="C121" s="272"/>
      <c r="D121" s="27"/>
      <c r="E121" s="27"/>
      <c r="F121" s="27"/>
      <c r="G121" s="28"/>
      <c r="H121" s="28"/>
      <c r="I121" s="27"/>
      <c r="J121" s="27"/>
      <c r="K121" s="27"/>
      <c r="L121" s="28"/>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row>
    <row r="122" spans="1:81" ht="15.75" customHeight="1">
      <c r="A122" s="27"/>
      <c r="B122" s="27"/>
      <c r="C122" s="272"/>
      <c r="D122" s="27"/>
      <c r="E122" s="27"/>
      <c r="F122" s="27"/>
      <c r="G122" s="28"/>
      <c r="H122" s="28"/>
      <c r="I122" s="27"/>
      <c r="J122" s="27"/>
      <c r="K122" s="27"/>
      <c r="L122" s="28"/>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row>
    <row r="123" spans="1:81" ht="15.75" customHeight="1">
      <c r="A123" s="27"/>
      <c r="B123" s="27"/>
      <c r="C123" s="272"/>
      <c r="D123" s="27"/>
      <c r="E123" s="27"/>
      <c r="F123" s="27"/>
      <c r="G123" s="28"/>
      <c r="H123" s="28"/>
      <c r="I123" s="27"/>
      <c r="J123" s="27"/>
      <c r="K123" s="27"/>
      <c r="L123" s="28"/>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row>
    <row r="124" spans="1:81" ht="15.75" customHeight="1">
      <c r="A124" s="27"/>
      <c r="B124" s="27"/>
      <c r="C124" s="272"/>
      <c r="D124" s="27"/>
      <c r="E124" s="27"/>
      <c r="F124" s="27"/>
      <c r="G124" s="28"/>
      <c r="H124" s="28"/>
      <c r="I124" s="27"/>
      <c r="J124" s="27"/>
      <c r="K124" s="27"/>
      <c r="L124" s="28"/>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row>
    <row r="125" spans="1:81" ht="15.75" customHeight="1">
      <c r="A125" s="27"/>
      <c r="B125" s="27"/>
      <c r="C125" s="272"/>
      <c r="D125" s="27"/>
      <c r="E125" s="27"/>
      <c r="F125" s="27"/>
      <c r="G125" s="28"/>
      <c r="H125" s="28"/>
      <c r="I125" s="27"/>
      <c r="J125" s="27"/>
      <c r="K125" s="27"/>
      <c r="L125" s="28"/>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row>
    <row r="126" spans="1:81" ht="15.75" customHeight="1">
      <c r="A126" s="27"/>
      <c r="B126" s="27"/>
      <c r="C126" s="272"/>
      <c r="D126" s="27"/>
      <c r="E126" s="27"/>
      <c r="F126" s="27"/>
      <c r="G126" s="28"/>
      <c r="H126" s="28"/>
      <c r="I126" s="27"/>
      <c r="J126" s="27"/>
      <c r="K126" s="27"/>
      <c r="L126" s="28"/>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row>
    <row r="127" spans="1:81" ht="15.75" customHeight="1">
      <c r="A127" s="27"/>
      <c r="B127" s="27"/>
      <c r="C127" s="272"/>
      <c r="D127" s="27"/>
      <c r="E127" s="27"/>
      <c r="F127" s="27"/>
      <c r="G127" s="28"/>
      <c r="H127" s="28"/>
      <c r="I127" s="27"/>
      <c r="J127" s="27"/>
      <c r="K127" s="27"/>
      <c r="L127" s="28"/>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row>
    <row r="128" spans="1:81" ht="15.75" customHeight="1">
      <c r="A128" s="27"/>
      <c r="B128" s="27"/>
      <c r="C128" s="272"/>
      <c r="D128" s="27"/>
      <c r="E128" s="27"/>
      <c r="F128" s="27"/>
      <c r="G128" s="28"/>
      <c r="H128" s="28"/>
      <c r="I128" s="27"/>
      <c r="J128" s="27"/>
      <c r="K128" s="27"/>
      <c r="L128" s="28"/>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row>
    <row r="129" spans="1:81" ht="15.75" customHeight="1">
      <c r="A129" s="27"/>
      <c r="B129" s="27"/>
      <c r="C129" s="272"/>
      <c r="D129" s="27"/>
      <c r="E129" s="27"/>
      <c r="F129" s="27"/>
      <c r="G129" s="28"/>
      <c r="H129" s="28"/>
      <c r="I129" s="27"/>
      <c r="J129" s="27"/>
      <c r="K129" s="27"/>
      <c r="L129" s="28"/>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row>
    <row r="130" spans="1:81" ht="15.75" customHeight="1">
      <c r="A130" s="27"/>
      <c r="B130" s="27"/>
      <c r="C130" s="272"/>
      <c r="D130" s="27"/>
      <c r="E130" s="27"/>
      <c r="F130" s="27"/>
      <c r="G130" s="28"/>
      <c r="H130" s="28"/>
      <c r="I130" s="27"/>
      <c r="J130" s="27"/>
      <c r="K130" s="27"/>
      <c r="L130" s="28"/>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row>
    <row r="131" spans="1:81" ht="15.75" customHeight="1">
      <c r="A131" s="27"/>
      <c r="B131" s="27"/>
      <c r="C131" s="272"/>
      <c r="D131" s="27"/>
      <c r="E131" s="27"/>
      <c r="F131" s="27"/>
      <c r="G131" s="28"/>
      <c r="H131" s="28"/>
      <c r="I131" s="27"/>
      <c r="J131" s="27"/>
      <c r="K131" s="27"/>
      <c r="L131" s="28"/>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row>
    <row r="132" spans="1:81" ht="15.75" customHeight="1">
      <c r="A132" s="27"/>
      <c r="B132" s="27"/>
      <c r="C132" s="272"/>
      <c r="D132" s="27"/>
      <c r="E132" s="27"/>
      <c r="F132" s="27"/>
      <c r="G132" s="28"/>
      <c r="H132" s="28"/>
      <c r="I132" s="27"/>
      <c r="J132" s="27"/>
      <c r="K132" s="27"/>
      <c r="L132" s="28"/>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row>
    <row r="133" spans="1:81" ht="15.75" customHeight="1">
      <c r="A133" s="27"/>
      <c r="B133" s="27"/>
      <c r="C133" s="272"/>
      <c r="D133" s="27"/>
      <c r="E133" s="27"/>
      <c r="F133" s="27"/>
      <c r="G133" s="28"/>
      <c r="H133" s="28"/>
      <c r="I133" s="27"/>
      <c r="J133" s="27"/>
      <c r="K133" s="27"/>
      <c r="L133" s="28"/>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row>
    <row r="134" spans="1:81" ht="15.75" customHeight="1">
      <c r="A134" s="27"/>
      <c r="B134" s="27"/>
      <c r="C134" s="272"/>
      <c r="D134" s="27"/>
      <c r="E134" s="27"/>
      <c r="F134" s="27"/>
      <c r="G134" s="28"/>
      <c r="H134" s="28"/>
      <c r="I134" s="27"/>
      <c r="J134" s="27"/>
      <c r="K134" s="27"/>
      <c r="L134" s="28"/>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row>
    <row r="135" spans="1:81" ht="15.75" customHeight="1">
      <c r="A135" s="27"/>
      <c r="B135" s="27"/>
      <c r="C135" s="272"/>
      <c r="D135" s="27"/>
      <c r="E135" s="27"/>
      <c r="F135" s="27"/>
      <c r="G135" s="28"/>
      <c r="H135" s="28"/>
      <c r="I135" s="27"/>
      <c r="J135" s="27"/>
      <c r="K135" s="27"/>
      <c r="L135" s="28"/>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row>
    <row r="136" spans="1:81" ht="15.75" customHeight="1">
      <c r="A136" s="27"/>
      <c r="B136" s="27"/>
      <c r="C136" s="272"/>
      <c r="D136" s="27"/>
      <c r="E136" s="27"/>
      <c r="F136" s="27"/>
      <c r="G136" s="28"/>
      <c r="H136" s="28"/>
      <c r="I136" s="27"/>
      <c r="J136" s="27"/>
      <c r="K136" s="27"/>
      <c r="L136" s="28"/>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row>
    <row r="137" spans="1:81" ht="15.75" customHeight="1">
      <c r="A137" s="27"/>
      <c r="B137" s="27"/>
      <c r="C137" s="272"/>
      <c r="D137" s="27"/>
      <c r="E137" s="27"/>
      <c r="F137" s="27"/>
      <c r="G137" s="28"/>
      <c r="H137" s="28"/>
      <c r="I137" s="27"/>
      <c r="J137" s="27"/>
      <c r="K137" s="27"/>
      <c r="L137" s="28"/>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row>
    <row r="138" spans="1:81" ht="15.75" customHeight="1">
      <c r="A138" s="27"/>
      <c r="B138" s="27"/>
      <c r="C138" s="272"/>
      <c r="D138" s="27"/>
      <c r="E138" s="27"/>
      <c r="F138" s="27"/>
      <c r="G138" s="28"/>
      <c r="H138" s="28"/>
      <c r="I138" s="27"/>
      <c r="J138" s="27"/>
      <c r="K138" s="27"/>
      <c r="L138" s="28"/>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row>
    <row r="139" spans="1:81" ht="15.75" customHeight="1">
      <c r="A139" s="27"/>
      <c r="B139" s="27"/>
      <c r="C139" s="272"/>
      <c r="D139" s="27"/>
      <c r="E139" s="27"/>
      <c r="F139" s="27"/>
      <c r="G139" s="28"/>
      <c r="H139" s="28"/>
      <c r="I139" s="27"/>
      <c r="J139" s="27"/>
      <c r="K139" s="27"/>
      <c r="L139" s="28"/>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row>
    <row r="140" spans="1:81" ht="15.75" customHeight="1">
      <c r="A140" s="27"/>
      <c r="B140" s="27"/>
      <c r="C140" s="272"/>
      <c r="D140" s="27"/>
      <c r="E140" s="27"/>
      <c r="F140" s="27"/>
      <c r="G140" s="28"/>
      <c r="H140" s="28"/>
      <c r="I140" s="27"/>
      <c r="J140" s="27"/>
      <c r="K140" s="27"/>
      <c r="L140" s="28"/>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row>
    <row r="141" spans="1:81" ht="15.75" customHeight="1">
      <c r="A141" s="27"/>
      <c r="B141" s="27"/>
      <c r="C141" s="272"/>
      <c r="D141" s="27"/>
      <c r="E141" s="27"/>
      <c r="F141" s="27"/>
      <c r="G141" s="28"/>
      <c r="H141" s="28"/>
      <c r="I141" s="27"/>
      <c r="J141" s="27"/>
      <c r="K141" s="27"/>
      <c r="L141" s="28"/>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row>
    <row r="142" spans="1:81" ht="15.75" customHeight="1">
      <c r="A142" s="27"/>
      <c r="B142" s="27"/>
      <c r="C142" s="272"/>
      <c r="D142" s="27"/>
      <c r="E142" s="27"/>
      <c r="F142" s="27"/>
      <c r="G142" s="28"/>
      <c r="H142" s="28"/>
      <c r="I142" s="27"/>
      <c r="J142" s="27"/>
      <c r="K142" s="27"/>
      <c r="L142" s="28"/>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row>
    <row r="143" spans="1:81" ht="15.75" customHeight="1">
      <c r="A143" s="27"/>
      <c r="B143" s="27"/>
      <c r="C143" s="272"/>
      <c r="D143" s="27"/>
      <c r="E143" s="27"/>
      <c r="F143" s="27"/>
      <c r="G143" s="28"/>
      <c r="H143" s="28"/>
      <c r="I143" s="27"/>
      <c r="J143" s="27"/>
      <c r="K143" s="27"/>
      <c r="L143" s="28"/>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row>
    <row r="144" spans="1:81" ht="15.75" customHeight="1">
      <c r="A144" s="27"/>
      <c r="B144" s="27"/>
      <c r="C144" s="272"/>
      <c r="D144" s="27"/>
      <c r="E144" s="27"/>
      <c r="F144" s="27"/>
      <c r="G144" s="28"/>
      <c r="H144" s="28"/>
      <c r="I144" s="27"/>
      <c r="J144" s="27"/>
      <c r="K144" s="27"/>
      <c r="L144" s="28"/>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row>
    <row r="145" spans="1:81" ht="15.75" customHeight="1">
      <c r="A145" s="27"/>
      <c r="B145" s="27"/>
      <c r="C145" s="272"/>
      <c r="D145" s="27"/>
      <c r="E145" s="27"/>
      <c r="F145" s="27"/>
      <c r="G145" s="28"/>
      <c r="H145" s="28"/>
      <c r="I145" s="27"/>
      <c r="J145" s="27"/>
      <c r="K145" s="27"/>
      <c r="L145" s="28"/>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row>
    <row r="146" spans="1:81" ht="15.75" customHeight="1">
      <c r="A146" s="27"/>
      <c r="B146" s="27"/>
      <c r="C146" s="272"/>
      <c r="D146" s="27"/>
      <c r="E146" s="27"/>
      <c r="F146" s="27"/>
      <c r="G146" s="28"/>
      <c r="H146" s="28"/>
      <c r="I146" s="27"/>
      <c r="J146" s="27"/>
      <c r="K146" s="27"/>
      <c r="L146" s="28"/>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row>
    <row r="147" spans="1:81" ht="15.75" customHeight="1">
      <c r="A147" s="27"/>
      <c r="B147" s="27"/>
      <c r="C147" s="272"/>
      <c r="D147" s="27"/>
      <c r="E147" s="27"/>
      <c r="F147" s="27"/>
      <c r="G147" s="28"/>
      <c r="H147" s="28"/>
      <c r="I147" s="27"/>
      <c r="J147" s="27"/>
      <c r="K147" s="27"/>
      <c r="L147" s="28"/>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row>
    <row r="148" spans="1:81" ht="15.75" customHeight="1">
      <c r="A148" s="27"/>
      <c r="B148" s="27"/>
      <c r="C148" s="272"/>
      <c r="D148" s="27"/>
      <c r="E148" s="27"/>
      <c r="F148" s="27"/>
      <c r="G148" s="28"/>
      <c r="H148" s="28"/>
      <c r="I148" s="27"/>
      <c r="J148" s="27"/>
      <c r="K148" s="27"/>
      <c r="L148" s="28"/>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row>
    <row r="149" spans="1:81" ht="15.75" customHeight="1">
      <c r="A149" s="27"/>
      <c r="B149" s="27"/>
      <c r="C149" s="272"/>
      <c r="D149" s="27"/>
      <c r="E149" s="27"/>
      <c r="F149" s="27"/>
      <c r="G149" s="28"/>
      <c r="H149" s="28"/>
      <c r="I149" s="27"/>
      <c r="J149" s="27"/>
      <c r="K149" s="27"/>
      <c r="L149" s="28"/>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row>
    <row r="150" spans="1:81" ht="15.75" customHeight="1">
      <c r="A150" s="27"/>
      <c r="B150" s="27"/>
      <c r="C150" s="272"/>
      <c r="D150" s="27"/>
      <c r="E150" s="27"/>
      <c r="F150" s="27"/>
      <c r="G150" s="28"/>
      <c r="H150" s="28"/>
      <c r="I150" s="27"/>
      <c r="J150" s="27"/>
      <c r="K150" s="27"/>
      <c r="L150" s="28"/>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row>
    <row r="151" spans="1:81" ht="15.75" customHeight="1">
      <c r="A151" s="27"/>
      <c r="B151" s="27"/>
      <c r="C151" s="272"/>
      <c r="D151" s="27"/>
      <c r="E151" s="27"/>
      <c r="F151" s="27"/>
      <c r="G151" s="28"/>
      <c r="H151" s="28"/>
      <c r="I151" s="27"/>
      <c r="J151" s="27"/>
      <c r="K151" s="27"/>
      <c r="L151" s="28"/>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row>
    <row r="152" spans="1:81" ht="15.75" customHeight="1">
      <c r="A152" s="27"/>
      <c r="B152" s="27"/>
      <c r="C152" s="272"/>
      <c r="D152" s="27"/>
      <c r="E152" s="27"/>
      <c r="F152" s="27"/>
      <c r="G152" s="28"/>
      <c r="H152" s="28"/>
      <c r="I152" s="27"/>
      <c r="J152" s="27"/>
      <c r="K152" s="27"/>
      <c r="L152" s="28"/>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row>
    <row r="153" spans="1:81" ht="15.75" customHeight="1">
      <c r="A153" s="27"/>
      <c r="B153" s="27"/>
      <c r="C153" s="272"/>
      <c r="D153" s="27"/>
      <c r="E153" s="27"/>
      <c r="F153" s="27"/>
      <c r="G153" s="28"/>
      <c r="H153" s="28"/>
      <c r="I153" s="27"/>
      <c r="J153" s="27"/>
      <c r="K153" s="27"/>
      <c r="L153" s="28"/>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row>
    <row r="154" spans="1:81" ht="15.75" customHeight="1">
      <c r="A154" s="27"/>
      <c r="B154" s="27"/>
      <c r="C154" s="272"/>
      <c r="D154" s="27"/>
      <c r="E154" s="27"/>
      <c r="F154" s="27"/>
      <c r="G154" s="28"/>
      <c r="H154" s="28"/>
      <c r="I154" s="27"/>
      <c r="J154" s="27"/>
      <c r="K154" s="27"/>
      <c r="L154" s="28"/>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row>
    <row r="155" spans="1:81" ht="15.75" customHeight="1">
      <c r="A155" s="27"/>
      <c r="B155" s="27"/>
      <c r="C155" s="272"/>
      <c r="D155" s="27"/>
      <c r="E155" s="27"/>
      <c r="F155" s="27"/>
      <c r="G155" s="28"/>
      <c r="H155" s="28"/>
      <c r="I155" s="27"/>
      <c r="J155" s="27"/>
      <c r="K155" s="27"/>
      <c r="L155" s="28"/>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row>
    <row r="156" spans="1:81" ht="15.75" customHeight="1">
      <c r="A156" s="27"/>
      <c r="B156" s="27"/>
      <c r="C156" s="272"/>
      <c r="D156" s="27"/>
      <c r="E156" s="27"/>
      <c r="F156" s="27"/>
      <c r="G156" s="28"/>
      <c r="H156" s="28"/>
      <c r="I156" s="27"/>
      <c r="J156" s="27"/>
      <c r="K156" s="27"/>
      <c r="L156" s="28"/>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row>
    <row r="157" spans="1:81" ht="15.75" customHeight="1">
      <c r="A157" s="27"/>
      <c r="B157" s="27"/>
      <c r="C157" s="272"/>
      <c r="D157" s="27"/>
      <c r="E157" s="27"/>
      <c r="F157" s="27"/>
      <c r="G157" s="28"/>
      <c r="H157" s="28"/>
      <c r="I157" s="27"/>
      <c r="J157" s="27"/>
      <c r="K157" s="27"/>
      <c r="L157" s="28"/>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row>
    <row r="158" spans="1:81" ht="15.75" customHeight="1">
      <c r="A158" s="27"/>
      <c r="B158" s="27"/>
      <c r="C158" s="272"/>
      <c r="D158" s="27"/>
      <c r="E158" s="27"/>
      <c r="F158" s="27"/>
      <c r="G158" s="28"/>
      <c r="H158" s="28"/>
      <c r="I158" s="27"/>
      <c r="J158" s="27"/>
      <c r="K158" s="27"/>
      <c r="L158" s="28"/>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row>
    <row r="159" spans="1:81" ht="15.75" customHeight="1">
      <c r="A159" s="27"/>
      <c r="B159" s="27"/>
      <c r="C159" s="272"/>
      <c r="D159" s="27"/>
      <c r="E159" s="27"/>
      <c r="F159" s="27"/>
      <c r="G159" s="28"/>
      <c r="H159" s="28"/>
      <c r="I159" s="27"/>
      <c r="J159" s="27"/>
      <c r="K159" s="27"/>
      <c r="L159" s="28"/>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row>
    <row r="160" spans="1:81" ht="15.75" customHeight="1">
      <c r="A160" s="27"/>
      <c r="B160" s="27"/>
      <c r="C160" s="272"/>
      <c r="D160" s="27"/>
      <c r="E160" s="27"/>
      <c r="F160" s="27"/>
      <c r="G160" s="28"/>
      <c r="H160" s="28"/>
      <c r="I160" s="27"/>
      <c r="J160" s="27"/>
      <c r="K160" s="27"/>
      <c r="L160" s="28"/>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row>
    <row r="161" spans="1:81" ht="15.75" customHeight="1">
      <c r="A161" s="27"/>
      <c r="B161" s="27"/>
      <c r="C161" s="272"/>
      <c r="D161" s="27"/>
      <c r="E161" s="27"/>
      <c r="F161" s="27"/>
      <c r="G161" s="28"/>
      <c r="H161" s="28"/>
      <c r="I161" s="27"/>
      <c r="J161" s="27"/>
      <c r="K161" s="27"/>
      <c r="L161" s="28"/>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row>
    <row r="162" spans="1:81" ht="15.75" customHeight="1">
      <c r="A162" s="27"/>
      <c r="B162" s="27"/>
      <c r="C162" s="272"/>
      <c r="D162" s="27"/>
      <c r="E162" s="27"/>
      <c r="F162" s="27"/>
      <c r="G162" s="28"/>
      <c r="H162" s="28"/>
      <c r="I162" s="27"/>
      <c r="J162" s="27"/>
      <c r="K162" s="27"/>
      <c r="L162" s="28"/>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row>
    <row r="163" spans="1:81" ht="15.75" customHeight="1">
      <c r="A163" s="27"/>
      <c r="B163" s="27"/>
      <c r="C163" s="272"/>
      <c r="D163" s="27"/>
      <c r="E163" s="27"/>
      <c r="F163" s="27"/>
      <c r="G163" s="28"/>
      <c r="H163" s="28"/>
      <c r="I163" s="27"/>
      <c r="J163" s="27"/>
      <c r="K163" s="27"/>
      <c r="L163" s="28"/>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row>
    <row r="164" spans="1:81" ht="15.75" customHeight="1">
      <c r="A164" s="27"/>
      <c r="B164" s="27"/>
      <c r="C164" s="272"/>
      <c r="D164" s="27"/>
      <c r="E164" s="27"/>
      <c r="F164" s="27"/>
      <c r="G164" s="28"/>
      <c r="H164" s="28"/>
      <c r="I164" s="27"/>
      <c r="J164" s="27"/>
      <c r="K164" s="27"/>
      <c r="L164" s="28"/>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row>
    <row r="165" spans="1:81" ht="15.75" customHeight="1">
      <c r="A165" s="27"/>
      <c r="B165" s="27"/>
      <c r="C165" s="272"/>
      <c r="D165" s="27"/>
      <c r="E165" s="27"/>
      <c r="F165" s="27"/>
      <c r="G165" s="28"/>
      <c r="H165" s="28"/>
      <c r="I165" s="27"/>
      <c r="J165" s="27"/>
      <c r="K165" s="27"/>
      <c r="L165" s="28"/>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row>
    <row r="166" spans="1:81" ht="15.75" customHeight="1">
      <c r="A166" s="27"/>
      <c r="B166" s="27"/>
      <c r="C166" s="272"/>
      <c r="D166" s="27"/>
      <c r="E166" s="27"/>
      <c r="F166" s="27"/>
      <c r="G166" s="28"/>
      <c r="H166" s="28"/>
      <c r="I166" s="27"/>
      <c r="J166" s="27"/>
      <c r="K166" s="27"/>
      <c r="L166" s="28"/>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row>
    <row r="167" spans="1:81" ht="15.75" customHeight="1">
      <c r="A167" s="27"/>
      <c r="B167" s="27"/>
      <c r="C167" s="272"/>
      <c r="D167" s="27"/>
      <c r="E167" s="27"/>
      <c r="F167" s="27"/>
      <c r="G167" s="28"/>
      <c r="H167" s="28"/>
      <c r="I167" s="27"/>
      <c r="J167" s="27"/>
      <c r="K167" s="27"/>
      <c r="L167" s="28"/>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row>
    <row r="168" spans="1:81" ht="15.75" customHeight="1">
      <c r="A168" s="27"/>
      <c r="B168" s="27"/>
      <c r="C168" s="272"/>
      <c r="D168" s="27"/>
      <c r="E168" s="27"/>
      <c r="F168" s="27"/>
      <c r="G168" s="28"/>
      <c r="H168" s="28"/>
      <c r="I168" s="27"/>
      <c r="J168" s="27"/>
      <c r="K168" s="27"/>
      <c r="L168" s="28"/>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row>
    <row r="169" spans="1:81" ht="15.75" customHeight="1">
      <c r="A169" s="27"/>
      <c r="B169" s="27"/>
      <c r="C169" s="272"/>
      <c r="D169" s="27"/>
      <c r="E169" s="27"/>
      <c r="F169" s="27"/>
      <c r="G169" s="28"/>
      <c r="H169" s="28"/>
      <c r="I169" s="27"/>
      <c r="J169" s="27"/>
      <c r="K169" s="27"/>
      <c r="L169" s="28"/>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row>
    <row r="170" spans="1:81" ht="15.75" customHeight="1">
      <c r="A170" s="27"/>
      <c r="B170" s="27"/>
      <c r="C170" s="272"/>
      <c r="D170" s="27"/>
      <c r="E170" s="27"/>
      <c r="F170" s="27"/>
      <c r="G170" s="28"/>
      <c r="H170" s="28"/>
      <c r="I170" s="27"/>
      <c r="J170" s="27"/>
      <c r="K170" s="27"/>
      <c r="L170" s="28"/>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row>
    <row r="171" spans="1:81" ht="15.75" customHeight="1">
      <c r="A171" s="27"/>
      <c r="B171" s="27"/>
      <c r="C171" s="272"/>
      <c r="D171" s="27"/>
      <c r="E171" s="27"/>
      <c r="F171" s="27"/>
      <c r="G171" s="28"/>
      <c r="H171" s="28"/>
      <c r="I171" s="27"/>
      <c r="J171" s="27"/>
      <c r="K171" s="27"/>
      <c r="L171" s="28"/>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row>
    <row r="172" spans="1:81" ht="15.75" customHeight="1">
      <c r="A172" s="27"/>
      <c r="B172" s="27"/>
      <c r="C172" s="272"/>
      <c r="D172" s="27"/>
      <c r="E172" s="27"/>
      <c r="F172" s="27"/>
      <c r="G172" s="28"/>
      <c r="H172" s="28"/>
      <c r="I172" s="27"/>
      <c r="J172" s="27"/>
      <c r="K172" s="27"/>
      <c r="L172" s="28"/>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row>
    <row r="173" spans="1:81" ht="15.75" customHeight="1">
      <c r="A173" s="27"/>
      <c r="B173" s="27"/>
      <c r="C173" s="272"/>
      <c r="D173" s="27"/>
      <c r="E173" s="27"/>
      <c r="F173" s="27"/>
      <c r="G173" s="28"/>
      <c r="H173" s="28"/>
      <c r="I173" s="27"/>
      <c r="J173" s="27"/>
      <c r="K173" s="27"/>
      <c r="L173" s="28"/>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row>
    <row r="174" spans="1:81" ht="15.75" customHeight="1">
      <c r="A174" s="27"/>
      <c r="B174" s="27"/>
      <c r="C174" s="272"/>
      <c r="D174" s="27"/>
      <c r="E174" s="27"/>
      <c r="F174" s="27"/>
      <c r="G174" s="28"/>
      <c r="H174" s="28"/>
      <c r="I174" s="27"/>
      <c r="J174" s="27"/>
      <c r="K174" s="27"/>
      <c r="L174" s="28"/>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row>
    <row r="175" spans="1:81" ht="15.75" customHeight="1">
      <c r="A175" s="27"/>
      <c r="B175" s="27"/>
      <c r="C175" s="272"/>
      <c r="D175" s="27"/>
      <c r="E175" s="27"/>
      <c r="F175" s="27"/>
      <c r="G175" s="28"/>
      <c r="H175" s="28"/>
      <c r="I175" s="27"/>
      <c r="J175" s="27"/>
      <c r="K175" s="27"/>
      <c r="L175" s="28"/>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row>
    <row r="176" spans="1:81" ht="15.75" customHeight="1">
      <c r="A176" s="27"/>
      <c r="B176" s="27"/>
      <c r="C176" s="272"/>
      <c r="D176" s="27"/>
      <c r="E176" s="27"/>
      <c r="F176" s="27"/>
      <c r="G176" s="28"/>
      <c r="H176" s="28"/>
      <c r="I176" s="27"/>
      <c r="J176" s="27"/>
      <c r="K176" s="27"/>
      <c r="L176" s="28"/>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row>
    <row r="177" spans="1:81" ht="15.75" customHeight="1">
      <c r="A177" s="27"/>
      <c r="B177" s="27"/>
      <c r="C177" s="272"/>
      <c r="D177" s="27"/>
      <c r="E177" s="27"/>
      <c r="F177" s="27"/>
      <c r="G177" s="28"/>
      <c r="H177" s="28"/>
      <c r="I177" s="27"/>
      <c r="J177" s="27"/>
      <c r="K177" s="27"/>
      <c r="L177" s="28"/>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row>
    <row r="178" spans="1:81" ht="15.75" customHeight="1">
      <c r="A178" s="27"/>
      <c r="B178" s="27"/>
      <c r="C178" s="272"/>
      <c r="D178" s="27"/>
      <c r="E178" s="27"/>
      <c r="F178" s="27"/>
      <c r="G178" s="28"/>
      <c r="H178" s="28"/>
      <c r="I178" s="27"/>
      <c r="J178" s="27"/>
      <c r="K178" s="27"/>
      <c r="L178" s="28"/>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row>
    <row r="179" spans="1:81" ht="15.75" customHeight="1">
      <c r="A179" s="27"/>
      <c r="B179" s="27"/>
      <c r="C179" s="272"/>
      <c r="D179" s="27"/>
      <c r="E179" s="27"/>
      <c r="F179" s="27"/>
      <c r="G179" s="28"/>
      <c r="H179" s="28"/>
      <c r="I179" s="27"/>
      <c r="J179" s="27"/>
      <c r="K179" s="27"/>
      <c r="L179" s="28"/>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row>
    <row r="180" spans="1:81" ht="15.75" customHeight="1">
      <c r="A180" s="27"/>
      <c r="B180" s="27"/>
      <c r="C180" s="272"/>
      <c r="D180" s="27"/>
      <c r="E180" s="27"/>
      <c r="F180" s="27"/>
      <c r="G180" s="28"/>
      <c r="H180" s="28"/>
      <c r="I180" s="27"/>
      <c r="J180" s="27"/>
      <c r="K180" s="27"/>
      <c r="L180" s="28"/>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row>
    <row r="181" spans="1:81" ht="15.75" customHeight="1">
      <c r="A181" s="27"/>
      <c r="B181" s="27"/>
      <c r="C181" s="272"/>
      <c r="D181" s="27"/>
      <c r="E181" s="27"/>
      <c r="F181" s="27"/>
      <c r="G181" s="28"/>
      <c r="H181" s="28"/>
      <c r="I181" s="27"/>
      <c r="J181" s="27"/>
      <c r="K181" s="27"/>
      <c r="L181" s="28"/>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row>
    <row r="182" spans="1:81" ht="15.75" customHeight="1">
      <c r="A182" s="27"/>
      <c r="B182" s="27"/>
      <c r="C182" s="272"/>
      <c r="D182" s="27"/>
      <c r="E182" s="27"/>
      <c r="F182" s="27"/>
      <c r="G182" s="28"/>
      <c r="H182" s="28"/>
      <c r="I182" s="27"/>
      <c r="J182" s="27"/>
      <c r="K182" s="27"/>
      <c r="L182" s="28"/>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row>
    <row r="183" spans="1:81" ht="15.75" customHeight="1">
      <c r="C183" s="273"/>
    </row>
    <row r="184" spans="1:81" ht="15.75" customHeight="1">
      <c r="C184" s="273"/>
    </row>
    <row r="185" spans="1:81" ht="15.75" customHeight="1">
      <c r="C185" s="273"/>
    </row>
    <row r="186" spans="1:81" ht="15.75" customHeight="1">
      <c r="C186" s="273"/>
    </row>
    <row r="187" spans="1:81" ht="15.75" customHeight="1">
      <c r="C187" s="273"/>
    </row>
    <row r="188" spans="1:81" ht="15.75" customHeight="1">
      <c r="C188" s="273"/>
    </row>
    <row r="189" spans="1:81" ht="15.75" customHeight="1">
      <c r="C189" s="273"/>
    </row>
    <row r="190" spans="1:81" ht="15.75" customHeight="1">
      <c r="C190" s="273"/>
    </row>
    <row r="191" spans="1:81" ht="15.75" customHeight="1">
      <c r="C191" s="273"/>
    </row>
    <row r="192" spans="1:81" ht="15.75" customHeight="1">
      <c r="C192" s="273"/>
    </row>
    <row r="193" spans="3:3" ht="15.75" customHeight="1">
      <c r="C193" s="273"/>
    </row>
    <row r="194" spans="3:3" ht="15.75" customHeight="1">
      <c r="C194" s="273"/>
    </row>
    <row r="195" spans="3:3" ht="15.75" customHeight="1">
      <c r="C195" s="273"/>
    </row>
    <row r="196" spans="3:3" ht="15.75" customHeight="1">
      <c r="C196" s="273"/>
    </row>
    <row r="197" spans="3:3" ht="15.75" customHeight="1">
      <c r="C197" s="273"/>
    </row>
    <row r="198" spans="3:3" ht="15.75" customHeight="1">
      <c r="C198" s="273"/>
    </row>
    <row r="199" spans="3:3" ht="15.75" customHeight="1">
      <c r="C199" s="273"/>
    </row>
    <row r="200" spans="3:3" ht="15.75" customHeight="1">
      <c r="C200" s="273"/>
    </row>
    <row r="201" spans="3:3" ht="15.75" customHeight="1">
      <c r="C201" s="273"/>
    </row>
    <row r="202" spans="3:3" ht="15.75" customHeight="1">
      <c r="C202" s="273"/>
    </row>
    <row r="203" spans="3:3" ht="15.75" customHeight="1">
      <c r="C203" s="273"/>
    </row>
    <row r="204" spans="3:3" ht="15.75" customHeight="1">
      <c r="C204" s="273"/>
    </row>
    <row r="205" spans="3:3" ht="15.75" customHeight="1">
      <c r="C205" s="273"/>
    </row>
    <row r="206" spans="3:3" ht="15.75" customHeight="1">
      <c r="C206" s="273"/>
    </row>
    <row r="207" spans="3:3" ht="15.75" customHeight="1">
      <c r="C207" s="273"/>
    </row>
    <row r="208" spans="3:3" ht="15.75" customHeight="1">
      <c r="C208" s="273"/>
    </row>
    <row r="209" spans="3:3" ht="15.75" customHeight="1">
      <c r="C209" s="273"/>
    </row>
    <row r="210" spans="3:3" ht="15.75" customHeight="1">
      <c r="C210" s="273"/>
    </row>
    <row r="211" spans="3:3" ht="15.75" customHeight="1">
      <c r="C211" s="273"/>
    </row>
    <row r="212" spans="3:3" ht="15.75" customHeight="1">
      <c r="C212" s="273"/>
    </row>
    <row r="213" spans="3:3" ht="15.75" customHeight="1">
      <c r="C213" s="273"/>
    </row>
    <row r="214" spans="3:3" ht="15.75" customHeight="1">
      <c r="C214" s="273"/>
    </row>
    <row r="215" spans="3:3" ht="15.75" customHeight="1">
      <c r="C215" s="273"/>
    </row>
    <row r="216" spans="3:3" ht="15.75" customHeight="1">
      <c r="C216" s="273"/>
    </row>
    <row r="217" spans="3:3" ht="15.75" customHeight="1">
      <c r="C217" s="273"/>
    </row>
    <row r="218" spans="3:3" ht="15.75" customHeight="1">
      <c r="C218" s="273"/>
    </row>
    <row r="219" spans="3:3" ht="15.75" customHeight="1">
      <c r="C219" s="273"/>
    </row>
    <row r="220" spans="3:3" ht="15.75" customHeight="1">
      <c r="C220" s="273"/>
    </row>
    <row r="221" spans="3:3" ht="15.75" customHeight="1">
      <c r="C221" s="273"/>
    </row>
    <row r="222" spans="3:3" ht="15.75" customHeight="1">
      <c r="C222" s="273"/>
    </row>
    <row r="223" spans="3:3" ht="15.75" customHeight="1">
      <c r="C223" s="273"/>
    </row>
    <row r="224" spans="3:3" ht="15.75" customHeight="1">
      <c r="C224" s="273"/>
    </row>
    <row r="225" spans="3:3" ht="15.75" customHeight="1">
      <c r="C225" s="273"/>
    </row>
    <row r="226" spans="3:3" ht="15.75" customHeight="1">
      <c r="C226" s="273"/>
    </row>
    <row r="227" spans="3:3" ht="15.75" customHeight="1">
      <c r="C227" s="273"/>
    </row>
    <row r="228" spans="3:3" ht="15.75" customHeight="1">
      <c r="C228" s="273"/>
    </row>
    <row r="229" spans="3:3" ht="15.75" customHeight="1">
      <c r="C229" s="273"/>
    </row>
    <row r="230" spans="3:3" ht="15.75" customHeight="1">
      <c r="C230" s="273"/>
    </row>
    <row r="231" spans="3:3" ht="15.75" customHeight="1">
      <c r="C231" s="273"/>
    </row>
    <row r="232" spans="3:3" ht="15.75" customHeight="1">
      <c r="C232" s="273"/>
    </row>
    <row r="233" spans="3:3" ht="15.75" customHeight="1">
      <c r="C233" s="273"/>
    </row>
    <row r="234" spans="3:3" ht="15.75" customHeight="1">
      <c r="C234" s="273"/>
    </row>
    <row r="235" spans="3:3" ht="15.75" customHeight="1">
      <c r="C235" s="273"/>
    </row>
    <row r="236" spans="3:3" ht="15.75" customHeight="1">
      <c r="C236" s="273"/>
    </row>
    <row r="237" spans="3:3" ht="15.75" customHeight="1">
      <c r="C237" s="273"/>
    </row>
    <row r="238" spans="3:3" ht="15.75" customHeight="1">
      <c r="C238" s="273"/>
    </row>
    <row r="239" spans="3:3" ht="15.75" customHeight="1">
      <c r="C239" s="273"/>
    </row>
    <row r="240" spans="3:3" ht="15.75" customHeight="1">
      <c r="C240" s="273"/>
    </row>
    <row r="241" spans="3:3" ht="15.75" customHeight="1">
      <c r="C241" s="273"/>
    </row>
    <row r="242" spans="3:3" ht="15.75" customHeight="1">
      <c r="C242" s="273"/>
    </row>
    <row r="243" spans="3:3" ht="15.75" customHeight="1">
      <c r="C243" s="273"/>
    </row>
    <row r="244" spans="3:3" ht="15.75" customHeight="1">
      <c r="C244" s="273"/>
    </row>
    <row r="245" spans="3:3" ht="15.75" customHeight="1">
      <c r="C245" s="273"/>
    </row>
    <row r="246" spans="3:3" ht="15.75" customHeight="1">
      <c r="C246" s="273"/>
    </row>
    <row r="247" spans="3:3" ht="15.75" customHeight="1">
      <c r="C247" s="273"/>
    </row>
    <row r="248" spans="3:3" ht="15.75" customHeight="1">
      <c r="C248" s="273"/>
    </row>
    <row r="249" spans="3:3" ht="15.75" customHeight="1">
      <c r="C249" s="273"/>
    </row>
    <row r="250" spans="3:3" ht="15.75" customHeight="1">
      <c r="C250" s="273"/>
    </row>
    <row r="251" spans="3:3" ht="15.75" customHeight="1">
      <c r="C251" s="273"/>
    </row>
    <row r="252" spans="3:3" ht="15.75" customHeight="1">
      <c r="C252" s="273"/>
    </row>
    <row r="253" spans="3:3" ht="15.75" customHeight="1">
      <c r="C253" s="273"/>
    </row>
    <row r="254" spans="3:3" ht="15.75" customHeight="1">
      <c r="C254" s="273"/>
    </row>
    <row r="255" spans="3:3" ht="15.75" customHeight="1">
      <c r="C255" s="273"/>
    </row>
    <row r="256" spans="3:3" ht="15.75" customHeight="1">
      <c r="C256" s="273"/>
    </row>
    <row r="257" spans="3:3" ht="15.75" customHeight="1">
      <c r="C257" s="273"/>
    </row>
    <row r="258" spans="3:3" ht="15.75" customHeight="1">
      <c r="C258" s="273"/>
    </row>
    <row r="259" spans="3:3" ht="15.75" customHeight="1">
      <c r="C259" s="273"/>
    </row>
    <row r="260" spans="3:3" ht="15.75" customHeight="1">
      <c r="C260" s="273"/>
    </row>
    <row r="261" spans="3:3" ht="15.75" customHeight="1">
      <c r="C261" s="273"/>
    </row>
    <row r="262" spans="3:3" ht="15.75" customHeight="1">
      <c r="C262" s="273"/>
    </row>
    <row r="263" spans="3:3" ht="15.75" customHeight="1">
      <c r="C263" s="273"/>
    </row>
    <row r="264" spans="3:3" ht="15.75" customHeight="1">
      <c r="C264" s="273"/>
    </row>
    <row r="265" spans="3:3" ht="15.75" customHeight="1">
      <c r="C265" s="273"/>
    </row>
    <row r="266" spans="3:3" ht="15.75" customHeight="1">
      <c r="C266" s="273"/>
    </row>
    <row r="267" spans="3:3" ht="15.75" customHeight="1">
      <c r="C267" s="273"/>
    </row>
    <row r="268" spans="3:3" ht="15.75" customHeight="1">
      <c r="C268" s="273"/>
    </row>
    <row r="269" spans="3:3" ht="15.75" customHeight="1">
      <c r="C269" s="273"/>
    </row>
    <row r="270" spans="3:3" ht="15.75" customHeight="1">
      <c r="C270" s="273"/>
    </row>
    <row r="271" spans="3:3" ht="15.75" customHeight="1">
      <c r="C271" s="273"/>
    </row>
    <row r="272" spans="3:3" ht="15.75" customHeight="1">
      <c r="C272" s="273"/>
    </row>
    <row r="273" spans="3:3" ht="15.75" customHeight="1">
      <c r="C273" s="273"/>
    </row>
    <row r="274" spans="3:3" ht="15.75" customHeight="1">
      <c r="C274" s="273"/>
    </row>
    <row r="275" spans="3:3" ht="15.75" customHeight="1">
      <c r="C275" s="273"/>
    </row>
    <row r="276" spans="3:3" ht="15.75" customHeight="1">
      <c r="C276" s="273"/>
    </row>
    <row r="277" spans="3:3" ht="15.75" customHeight="1">
      <c r="C277" s="273"/>
    </row>
    <row r="278" spans="3:3" ht="15.75" customHeight="1">
      <c r="C278" s="273"/>
    </row>
    <row r="279" spans="3:3" ht="15.75" customHeight="1">
      <c r="C279" s="273"/>
    </row>
    <row r="280" spans="3:3" ht="15.75" customHeight="1">
      <c r="C280" s="273"/>
    </row>
    <row r="281" spans="3:3" ht="15.75" customHeight="1">
      <c r="C281" s="273"/>
    </row>
    <row r="282" spans="3:3" ht="15.75" customHeight="1">
      <c r="C282" s="273"/>
    </row>
    <row r="283" spans="3:3" ht="15.75" customHeight="1">
      <c r="C283" s="273"/>
    </row>
    <row r="284" spans="3:3" ht="15.75" customHeight="1">
      <c r="C284" s="273"/>
    </row>
    <row r="285" spans="3:3" ht="15.75" customHeight="1">
      <c r="C285" s="273"/>
    </row>
    <row r="286" spans="3:3" ht="15.75" customHeight="1">
      <c r="C286" s="273"/>
    </row>
    <row r="287" spans="3:3" ht="15.75" customHeight="1">
      <c r="C287" s="273"/>
    </row>
    <row r="288" spans="3:3" ht="15.75" customHeight="1">
      <c r="C288" s="273"/>
    </row>
    <row r="289" spans="3:3" ht="15.75" customHeight="1">
      <c r="C289" s="273"/>
    </row>
    <row r="290" spans="3:3" ht="15.75" customHeight="1">
      <c r="C290" s="273"/>
    </row>
    <row r="291" spans="3:3" ht="15.75" customHeight="1">
      <c r="C291" s="273"/>
    </row>
    <row r="292" spans="3:3" ht="15.75" customHeight="1">
      <c r="C292" s="273"/>
    </row>
    <row r="293" spans="3:3" ht="15.75" customHeight="1">
      <c r="C293" s="273"/>
    </row>
    <row r="294" spans="3:3" ht="15.75" customHeight="1">
      <c r="C294" s="273"/>
    </row>
    <row r="295" spans="3:3" ht="15.75" customHeight="1">
      <c r="C295" s="273"/>
    </row>
    <row r="296" spans="3:3" ht="15.75" customHeight="1">
      <c r="C296" s="273"/>
    </row>
    <row r="297" spans="3:3" ht="15.75" customHeight="1">
      <c r="C297" s="273"/>
    </row>
    <row r="298" spans="3:3" ht="15.75" customHeight="1">
      <c r="C298" s="273"/>
    </row>
    <row r="299" spans="3:3" ht="15.75" customHeight="1">
      <c r="C299" s="273"/>
    </row>
    <row r="300" spans="3:3" ht="15.75" customHeight="1">
      <c r="C300" s="273"/>
    </row>
    <row r="301" spans="3:3" ht="15.75" customHeight="1">
      <c r="C301" s="273"/>
    </row>
    <row r="302" spans="3:3" ht="15.75" customHeight="1">
      <c r="C302" s="273"/>
    </row>
    <row r="303" spans="3:3" ht="15.75" customHeight="1">
      <c r="C303" s="273"/>
    </row>
    <row r="304" spans="3:3" ht="15.75" customHeight="1">
      <c r="C304" s="273"/>
    </row>
    <row r="305" spans="3:3" ht="15.75" customHeight="1">
      <c r="C305" s="273"/>
    </row>
    <row r="306" spans="3:3" ht="15.75" customHeight="1">
      <c r="C306" s="273"/>
    </row>
    <row r="307" spans="3:3" ht="15.75" customHeight="1">
      <c r="C307" s="273"/>
    </row>
    <row r="308" spans="3:3" ht="15.75" customHeight="1">
      <c r="C308" s="273"/>
    </row>
    <row r="309" spans="3:3" ht="15.75" customHeight="1">
      <c r="C309" s="273"/>
    </row>
    <row r="310" spans="3:3" ht="15.75" customHeight="1">
      <c r="C310" s="273"/>
    </row>
    <row r="311" spans="3:3" ht="15.75" customHeight="1">
      <c r="C311" s="273"/>
    </row>
    <row r="312" spans="3:3" ht="15.75" customHeight="1">
      <c r="C312" s="273"/>
    </row>
    <row r="313" spans="3:3" ht="15.75" customHeight="1">
      <c r="C313" s="273"/>
    </row>
    <row r="314" spans="3:3" ht="15.75" customHeight="1">
      <c r="C314" s="273"/>
    </row>
    <row r="315" spans="3:3" ht="15.75" customHeight="1">
      <c r="C315" s="273"/>
    </row>
    <row r="316" spans="3:3" ht="15.75" customHeight="1">
      <c r="C316" s="273"/>
    </row>
    <row r="317" spans="3:3" ht="15.75" customHeight="1">
      <c r="C317" s="273"/>
    </row>
    <row r="318" spans="3:3" ht="15.75" customHeight="1">
      <c r="C318" s="273"/>
    </row>
    <row r="319" spans="3:3" ht="15.75" customHeight="1">
      <c r="C319" s="273"/>
    </row>
    <row r="320" spans="3:3" ht="15.75" customHeight="1">
      <c r="C320" s="273"/>
    </row>
    <row r="321" spans="3:3" ht="15.75" customHeight="1">
      <c r="C321" s="273"/>
    </row>
    <row r="322" spans="3:3" ht="15.75" customHeight="1">
      <c r="C322" s="273"/>
    </row>
    <row r="323" spans="3:3" ht="15.75" customHeight="1">
      <c r="C323" s="273"/>
    </row>
    <row r="324" spans="3:3" ht="15.75" customHeight="1">
      <c r="C324" s="273"/>
    </row>
    <row r="325" spans="3:3" ht="15.75" customHeight="1">
      <c r="C325" s="273"/>
    </row>
    <row r="326" spans="3:3" ht="15.75" customHeight="1">
      <c r="C326" s="273"/>
    </row>
    <row r="327" spans="3:3" ht="15.75" customHeight="1">
      <c r="C327" s="273"/>
    </row>
    <row r="328" spans="3:3" ht="15.75" customHeight="1">
      <c r="C328" s="273"/>
    </row>
    <row r="329" spans="3:3" ht="15.75" customHeight="1">
      <c r="C329" s="273"/>
    </row>
    <row r="330" spans="3:3" ht="15.75" customHeight="1">
      <c r="C330" s="273"/>
    </row>
    <row r="331" spans="3:3" ht="15.75" customHeight="1">
      <c r="C331" s="273"/>
    </row>
    <row r="332" spans="3:3" ht="15.75" customHeight="1">
      <c r="C332" s="273"/>
    </row>
    <row r="333" spans="3:3" ht="15.75" customHeight="1">
      <c r="C333" s="273"/>
    </row>
    <row r="334" spans="3:3" ht="15.75" customHeight="1">
      <c r="C334" s="273"/>
    </row>
    <row r="335" spans="3:3" ht="15.75" customHeight="1">
      <c r="C335" s="273"/>
    </row>
    <row r="336" spans="3:3" ht="15.75" customHeight="1">
      <c r="C336" s="273"/>
    </row>
    <row r="337" spans="3:3" ht="15.75" customHeight="1">
      <c r="C337" s="273"/>
    </row>
    <row r="338" spans="3:3" ht="15.75" customHeight="1">
      <c r="C338" s="273"/>
    </row>
    <row r="339" spans="3:3" ht="15.75" customHeight="1">
      <c r="C339" s="273"/>
    </row>
    <row r="340" spans="3:3" ht="15.75" customHeight="1">
      <c r="C340" s="273"/>
    </row>
    <row r="341" spans="3:3" ht="15.75" customHeight="1">
      <c r="C341" s="273"/>
    </row>
    <row r="342" spans="3:3" ht="15.75" customHeight="1">
      <c r="C342" s="273"/>
    </row>
    <row r="343" spans="3:3" ht="15.75" customHeight="1">
      <c r="C343" s="273"/>
    </row>
    <row r="344" spans="3:3" ht="15.75" customHeight="1">
      <c r="C344" s="273"/>
    </row>
    <row r="345" spans="3:3" ht="15.75" customHeight="1">
      <c r="C345" s="273"/>
    </row>
    <row r="346" spans="3:3" ht="15.75" customHeight="1">
      <c r="C346" s="273"/>
    </row>
    <row r="347" spans="3:3" ht="15.75" customHeight="1">
      <c r="C347" s="273"/>
    </row>
    <row r="348" spans="3:3" ht="15.75" customHeight="1">
      <c r="C348" s="273"/>
    </row>
    <row r="349" spans="3:3" ht="15.75" customHeight="1">
      <c r="C349" s="273"/>
    </row>
    <row r="350" spans="3:3" ht="15.75" customHeight="1">
      <c r="C350" s="273"/>
    </row>
    <row r="351" spans="3:3" ht="15.75" customHeight="1">
      <c r="C351" s="273"/>
    </row>
    <row r="352" spans="3:3" ht="15.75" customHeight="1">
      <c r="C352" s="273"/>
    </row>
    <row r="353" spans="3:3" ht="15.75" customHeight="1">
      <c r="C353" s="273"/>
    </row>
    <row r="354" spans="3:3" ht="15.75" customHeight="1">
      <c r="C354" s="273"/>
    </row>
    <row r="355" spans="3:3" ht="15.75" customHeight="1">
      <c r="C355" s="273"/>
    </row>
    <row r="356" spans="3:3" ht="15.75" customHeight="1">
      <c r="C356" s="273"/>
    </row>
    <row r="357" spans="3:3" ht="15.75" customHeight="1">
      <c r="C357" s="273"/>
    </row>
    <row r="358" spans="3:3" ht="15.75" customHeight="1">
      <c r="C358" s="273"/>
    </row>
    <row r="359" spans="3:3" ht="15.75" customHeight="1">
      <c r="C359" s="273"/>
    </row>
    <row r="360" spans="3:3" ht="15.75" customHeight="1">
      <c r="C360" s="273"/>
    </row>
    <row r="361" spans="3:3" ht="15.75" customHeight="1">
      <c r="C361" s="273"/>
    </row>
    <row r="362" spans="3:3" ht="15.75" customHeight="1">
      <c r="C362" s="273"/>
    </row>
    <row r="363" spans="3:3" ht="15.75" customHeight="1">
      <c r="C363" s="273"/>
    </row>
    <row r="364" spans="3:3" ht="15.75" customHeight="1">
      <c r="C364" s="273"/>
    </row>
    <row r="365" spans="3:3" ht="15.75" customHeight="1">
      <c r="C365" s="273"/>
    </row>
    <row r="366" spans="3:3" ht="15.75" customHeight="1">
      <c r="C366" s="273"/>
    </row>
    <row r="367" spans="3:3" ht="15.75" customHeight="1">
      <c r="C367" s="273"/>
    </row>
    <row r="368" spans="3:3" ht="15.75" customHeight="1">
      <c r="C368" s="273"/>
    </row>
    <row r="369" spans="3:3" ht="15.75" customHeight="1">
      <c r="C369" s="273"/>
    </row>
    <row r="370" spans="3:3" ht="15.75" customHeight="1">
      <c r="C370" s="273"/>
    </row>
    <row r="371" spans="3:3" ht="15.75" customHeight="1">
      <c r="C371" s="273"/>
    </row>
    <row r="372" spans="3:3" ht="15.75" customHeight="1">
      <c r="C372" s="273"/>
    </row>
    <row r="373" spans="3:3" ht="15.75" customHeight="1">
      <c r="C373" s="273"/>
    </row>
    <row r="374" spans="3:3" ht="15.75" customHeight="1">
      <c r="C374" s="273"/>
    </row>
    <row r="375" spans="3:3" ht="15.75" customHeight="1">
      <c r="C375" s="273"/>
    </row>
    <row r="376" spans="3:3" ht="15.75" customHeight="1">
      <c r="C376" s="273"/>
    </row>
    <row r="377" spans="3:3" ht="15.75" customHeight="1">
      <c r="C377" s="273"/>
    </row>
    <row r="378" spans="3:3" ht="15.75" customHeight="1">
      <c r="C378" s="273"/>
    </row>
    <row r="379" spans="3:3" ht="15.75" customHeight="1">
      <c r="C379" s="273"/>
    </row>
    <row r="380" spans="3:3" ht="15.75" customHeight="1">
      <c r="C380" s="273"/>
    </row>
    <row r="381" spans="3:3" ht="15.75" customHeight="1">
      <c r="C381" s="273"/>
    </row>
    <row r="382" spans="3:3" ht="15.75" customHeight="1">
      <c r="C382" s="273"/>
    </row>
    <row r="383" spans="3:3" ht="15.75" customHeight="1">
      <c r="C383" s="273"/>
    </row>
    <row r="384" spans="3:3" ht="15.75" customHeight="1">
      <c r="C384" s="273"/>
    </row>
    <row r="385" spans="3:3" ht="15.75" customHeight="1">
      <c r="C385" s="273"/>
    </row>
    <row r="386" spans="3:3" ht="15.75" customHeight="1">
      <c r="C386" s="273"/>
    </row>
    <row r="387" spans="3:3" ht="15.75" customHeight="1">
      <c r="C387" s="273"/>
    </row>
    <row r="388" spans="3:3" ht="15.75" customHeight="1">
      <c r="C388" s="273"/>
    </row>
    <row r="389" spans="3:3" ht="15.75" customHeight="1">
      <c r="C389" s="273"/>
    </row>
    <row r="390" spans="3:3" ht="15.75" customHeight="1">
      <c r="C390" s="273"/>
    </row>
    <row r="391" spans="3:3" ht="15.75" customHeight="1">
      <c r="C391" s="273"/>
    </row>
    <row r="392" spans="3:3" ht="15.75" customHeight="1">
      <c r="C392" s="273"/>
    </row>
    <row r="393" spans="3:3" ht="15.75" customHeight="1">
      <c r="C393" s="273"/>
    </row>
    <row r="394" spans="3:3" ht="15.75" customHeight="1">
      <c r="C394" s="273"/>
    </row>
    <row r="395" spans="3:3" ht="15.75" customHeight="1">
      <c r="C395" s="273"/>
    </row>
    <row r="396" spans="3:3" ht="15.75" customHeight="1">
      <c r="C396" s="273"/>
    </row>
    <row r="397" spans="3:3" ht="15.75" customHeight="1">
      <c r="C397" s="273"/>
    </row>
    <row r="398" spans="3:3" ht="15.75" customHeight="1">
      <c r="C398" s="273"/>
    </row>
    <row r="399" spans="3:3" ht="15.75" customHeight="1">
      <c r="C399" s="273"/>
    </row>
    <row r="400" spans="3:3" ht="15.75" customHeight="1">
      <c r="C400" s="273"/>
    </row>
    <row r="401" spans="3:3" ht="15.75" customHeight="1">
      <c r="C401" s="273"/>
    </row>
    <row r="402" spans="3:3" ht="15.75" customHeight="1">
      <c r="C402" s="273"/>
    </row>
    <row r="403" spans="3:3" ht="15.75" customHeight="1">
      <c r="C403" s="273"/>
    </row>
    <row r="404" spans="3:3" ht="15.75" customHeight="1">
      <c r="C404" s="273"/>
    </row>
    <row r="405" spans="3:3" ht="15.75" customHeight="1">
      <c r="C405" s="273"/>
    </row>
    <row r="406" spans="3:3" ht="15.75" customHeight="1">
      <c r="C406" s="273"/>
    </row>
    <row r="407" spans="3:3" ht="15.75" customHeight="1">
      <c r="C407" s="273"/>
    </row>
    <row r="408" spans="3:3" ht="15.75" customHeight="1">
      <c r="C408" s="273"/>
    </row>
    <row r="409" spans="3:3" ht="15.75" customHeight="1">
      <c r="C409" s="273"/>
    </row>
    <row r="410" spans="3:3" ht="15.75" customHeight="1">
      <c r="C410" s="273"/>
    </row>
    <row r="411" spans="3:3" ht="15.75" customHeight="1">
      <c r="C411" s="273"/>
    </row>
    <row r="412" spans="3:3" ht="15.75" customHeight="1">
      <c r="C412" s="273"/>
    </row>
    <row r="413" spans="3:3" ht="15.75" customHeight="1">
      <c r="C413" s="273"/>
    </row>
    <row r="414" spans="3:3" ht="15.75" customHeight="1">
      <c r="C414" s="273"/>
    </row>
    <row r="415" spans="3:3" ht="15.75" customHeight="1">
      <c r="C415" s="273"/>
    </row>
    <row r="416" spans="3:3" ht="15.75" customHeight="1">
      <c r="C416" s="273"/>
    </row>
    <row r="417" spans="3:3" ht="15.75" customHeight="1">
      <c r="C417" s="273"/>
    </row>
    <row r="418" spans="3:3" ht="15.75" customHeight="1">
      <c r="C418" s="273"/>
    </row>
    <row r="419" spans="3:3" ht="15.75" customHeight="1">
      <c r="C419" s="273"/>
    </row>
    <row r="420" spans="3:3" ht="15.75" customHeight="1">
      <c r="C420" s="273"/>
    </row>
    <row r="421" spans="3:3" ht="15.75" customHeight="1">
      <c r="C421" s="273"/>
    </row>
    <row r="422" spans="3:3" ht="15.75" customHeight="1">
      <c r="C422" s="273"/>
    </row>
    <row r="423" spans="3:3" ht="15.75" customHeight="1">
      <c r="C423" s="273"/>
    </row>
    <row r="424" spans="3:3" ht="15.75" customHeight="1">
      <c r="C424" s="273"/>
    </row>
    <row r="425" spans="3:3" ht="15.75" customHeight="1">
      <c r="C425" s="273"/>
    </row>
    <row r="426" spans="3:3" ht="15.75" customHeight="1">
      <c r="C426" s="273"/>
    </row>
    <row r="427" spans="3:3" ht="15.75" customHeight="1">
      <c r="C427" s="273"/>
    </row>
    <row r="428" spans="3:3" ht="15.75" customHeight="1">
      <c r="C428" s="273"/>
    </row>
    <row r="429" spans="3:3" ht="15.75" customHeight="1">
      <c r="C429" s="273"/>
    </row>
    <row r="430" spans="3:3" ht="15.75" customHeight="1">
      <c r="C430" s="273"/>
    </row>
    <row r="431" spans="3:3" ht="15.75" customHeight="1">
      <c r="C431" s="273"/>
    </row>
    <row r="432" spans="3:3" ht="15.75" customHeight="1">
      <c r="C432" s="273"/>
    </row>
    <row r="433" spans="3:3" ht="15.75" customHeight="1">
      <c r="C433" s="273"/>
    </row>
    <row r="434" spans="3:3" ht="15.75" customHeight="1">
      <c r="C434" s="273"/>
    </row>
    <row r="435" spans="3:3" ht="15.75" customHeight="1">
      <c r="C435" s="273"/>
    </row>
    <row r="436" spans="3:3" ht="15.75" customHeight="1">
      <c r="C436" s="273"/>
    </row>
    <row r="437" spans="3:3" ht="15.75" customHeight="1">
      <c r="C437" s="273"/>
    </row>
    <row r="438" spans="3:3" ht="15.75" customHeight="1">
      <c r="C438" s="273"/>
    </row>
    <row r="439" spans="3:3" ht="15.75" customHeight="1">
      <c r="C439" s="273"/>
    </row>
    <row r="440" spans="3:3" ht="15.75" customHeight="1">
      <c r="C440" s="273"/>
    </row>
    <row r="441" spans="3:3" ht="15.75" customHeight="1">
      <c r="C441" s="273"/>
    </row>
    <row r="442" spans="3:3" ht="15.75" customHeight="1">
      <c r="C442" s="273"/>
    </row>
    <row r="443" spans="3:3" ht="15.75" customHeight="1">
      <c r="C443" s="273"/>
    </row>
    <row r="444" spans="3:3" ht="15.75" customHeight="1">
      <c r="C444" s="273"/>
    </row>
    <row r="445" spans="3:3" ht="15.75" customHeight="1">
      <c r="C445" s="273"/>
    </row>
    <row r="446" spans="3:3" ht="15.75" customHeight="1">
      <c r="C446" s="273"/>
    </row>
    <row r="447" spans="3:3" ht="15.75" customHeight="1">
      <c r="C447" s="273"/>
    </row>
    <row r="448" spans="3:3" ht="15.75" customHeight="1">
      <c r="C448" s="273"/>
    </row>
    <row r="449" spans="3:3" ht="15.75" customHeight="1">
      <c r="C449" s="273"/>
    </row>
    <row r="450" spans="3:3" ht="15.75" customHeight="1">
      <c r="C450" s="273"/>
    </row>
    <row r="451" spans="3:3" ht="15.75" customHeight="1">
      <c r="C451" s="273"/>
    </row>
    <row r="452" spans="3:3" ht="15.75" customHeight="1">
      <c r="C452" s="273"/>
    </row>
    <row r="453" spans="3:3" ht="15.75" customHeight="1">
      <c r="C453" s="273"/>
    </row>
    <row r="454" spans="3:3" ht="15.75" customHeight="1">
      <c r="C454" s="273"/>
    </row>
    <row r="455" spans="3:3" ht="15.75" customHeight="1">
      <c r="C455" s="273"/>
    </row>
    <row r="456" spans="3:3" ht="15.75" customHeight="1">
      <c r="C456" s="273"/>
    </row>
    <row r="457" spans="3:3" ht="15.75" customHeight="1">
      <c r="C457" s="273"/>
    </row>
    <row r="458" spans="3:3" ht="15.75" customHeight="1">
      <c r="C458" s="273"/>
    </row>
    <row r="459" spans="3:3" ht="15.75" customHeight="1">
      <c r="C459" s="273"/>
    </row>
    <row r="460" spans="3:3" ht="15.75" customHeight="1">
      <c r="C460" s="273"/>
    </row>
    <row r="461" spans="3:3" ht="15.75" customHeight="1">
      <c r="C461" s="273"/>
    </row>
    <row r="462" spans="3:3" ht="15.75" customHeight="1">
      <c r="C462" s="273"/>
    </row>
    <row r="463" spans="3:3" ht="15.75" customHeight="1">
      <c r="C463" s="273"/>
    </row>
    <row r="464" spans="3:3" ht="15.75" customHeight="1">
      <c r="C464" s="273"/>
    </row>
    <row r="465" spans="3:3" ht="15.75" customHeight="1">
      <c r="C465" s="273"/>
    </row>
    <row r="466" spans="3:3" ht="15.75" customHeight="1">
      <c r="C466" s="273"/>
    </row>
    <row r="467" spans="3:3" ht="15.75" customHeight="1">
      <c r="C467" s="273"/>
    </row>
    <row r="468" spans="3:3" ht="15.75" customHeight="1">
      <c r="C468" s="273"/>
    </row>
    <row r="469" spans="3:3" ht="15.75" customHeight="1">
      <c r="C469" s="273"/>
    </row>
    <row r="470" spans="3:3" ht="15.75" customHeight="1">
      <c r="C470" s="273"/>
    </row>
    <row r="471" spans="3:3" ht="15.75" customHeight="1">
      <c r="C471" s="273"/>
    </row>
    <row r="472" spans="3:3" ht="15.75" customHeight="1">
      <c r="C472" s="273"/>
    </row>
    <row r="473" spans="3:3" ht="15.75" customHeight="1">
      <c r="C473" s="273"/>
    </row>
    <row r="474" spans="3:3" ht="15.75" customHeight="1">
      <c r="C474" s="273"/>
    </row>
    <row r="475" spans="3:3" ht="15.75" customHeight="1">
      <c r="C475" s="273"/>
    </row>
    <row r="476" spans="3:3" ht="15.75" customHeight="1">
      <c r="C476" s="273"/>
    </row>
    <row r="477" spans="3:3" ht="15.75" customHeight="1">
      <c r="C477" s="273"/>
    </row>
    <row r="478" spans="3:3" ht="15.75" customHeight="1">
      <c r="C478" s="273"/>
    </row>
    <row r="479" spans="3:3" ht="15.75" customHeight="1">
      <c r="C479" s="273"/>
    </row>
    <row r="480" spans="3:3" ht="15.75" customHeight="1">
      <c r="C480" s="273"/>
    </row>
    <row r="481" spans="3:3" ht="15.75" customHeight="1">
      <c r="C481" s="273"/>
    </row>
    <row r="482" spans="3:3" ht="15.75" customHeight="1">
      <c r="C482" s="273"/>
    </row>
    <row r="483" spans="3:3" ht="15.75" customHeight="1">
      <c r="C483" s="273"/>
    </row>
    <row r="484" spans="3:3" ht="15.75" customHeight="1">
      <c r="C484" s="273"/>
    </row>
    <row r="485" spans="3:3" ht="15.75" customHeight="1">
      <c r="C485" s="273"/>
    </row>
    <row r="486" spans="3:3" ht="15.75" customHeight="1">
      <c r="C486" s="273"/>
    </row>
    <row r="487" spans="3:3" ht="15.75" customHeight="1">
      <c r="C487" s="273"/>
    </row>
    <row r="488" spans="3:3" ht="15.75" customHeight="1">
      <c r="C488" s="273"/>
    </row>
    <row r="489" spans="3:3" ht="15.75" customHeight="1">
      <c r="C489" s="273"/>
    </row>
    <row r="490" spans="3:3" ht="15.75" customHeight="1">
      <c r="C490" s="273"/>
    </row>
    <row r="491" spans="3:3" ht="15.75" customHeight="1">
      <c r="C491" s="273"/>
    </row>
    <row r="492" spans="3:3" ht="15.75" customHeight="1">
      <c r="C492" s="273"/>
    </row>
    <row r="493" spans="3:3" ht="15.75" customHeight="1">
      <c r="C493" s="273"/>
    </row>
    <row r="494" spans="3:3" ht="15.75" customHeight="1">
      <c r="C494" s="273"/>
    </row>
    <row r="495" spans="3:3" ht="15.75" customHeight="1">
      <c r="C495" s="273"/>
    </row>
    <row r="496" spans="3:3" ht="15.75" customHeight="1">
      <c r="C496" s="273"/>
    </row>
    <row r="497" spans="3:3" ht="15.75" customHeight="1">
      <c r="C497" s="273"/>
    </row>
    <row r="498" spans="3:3" ht="15.75" customHeight="1">
      <c r="C498" s="273"/>
    </row>
    <row r="499" spans="3:3" ht="15.75" customHeight="1">
      <c r="C499" s="273"/>
    </row>
    <row r="500" spans="3:3" ht="15.75" customHeight="1">
      <c r="C500" s="273"/>
    </row>
    <row r="501" spans="3:3" ht="15.75" customHeight="1">
      <c r="C501" s="273"/>
    </row>
    <row r="502" spans="3:3" ht="15.75" customHeight="1">
      <c r="C502" s="273"/>
    </row>
    <row r="503" spans="3:3" ht="15.75" customHeight="1">
      <c r="C503" s="273"/>
    </row>
    <row r="504" spans="3:3" ht="15.75" customHeight="1">
      <c r="C504" s="273"/>
    </row>
    <row r="505" spans="3:3" ht="15.75" customHeight="1">
      <c r="C505" s="273"/>
    </row>
    <row r="506" spans="3:3" ht="15.75" customHeight="1">
      <c r="C506" s="273"/>
    </row>
    <row r="507" spans="3:3" ht="15.75" customHeight="1">
      <c r="C507" s="273"/>
    </row>
    <row r="508" spans="3:3" ht="15.75" customHeight="1">
      <c r="C508" s="273"/>
    </row>
    <row r="509" spans="3:3" ht="15.75" customHeight="1">
      <c r="C509" s="273"/>
    </row>
    <row r="510" spans="3:3" ht="15.75" customHeight="1">
      <c r="C510" s="273"/>
    </row>
    <row r="511" spans="3:3" ht="15.75" customHeight="1">
      <c r="C511" s="273"/>
    </row>
    <row r="512" spans="3:3" ht="15.75" customHeight="1">
      <c r="C512" s="273"/>
    </row>
    <row r="513" spans="3:3" ht="15.75" customHeight="1">
      <c r="C513" s="273"/>
    </row>
    <row r="514" spans="3:3" ht="15.75" customHeight="1">
      <c r="C514" s="273"/>
    </row>
    <row r="515" spans="3:3" ht="15.75" customHeight="1">
      <c r="C515" s="273"/>
    </row>
    <row r="516" spans="3:3" ht="15.75" customHeight="1">
      <c r="C516" s="273"/>
    </row>
    <row r="517" spans="3:3" ht="15.75" customHeight="1">
      <c r="C517" s="273"/>
    </row>
    <row r="518" spans="3:3" ht="15.75" customHeight="1">
      <c r="C518" s="273"/>
    </row>
    <row r="519" spans="3:3" ht="15.75" customHeight="1">
      <c r="C519" s="273"/>
    </row>
    <row r="520" spans="3:3" ht="15.75" customHeight="1">
      <c r="C520" s="273"/>
    </row>
    <row r="521" spans="3:3" ht="15.75" customHeight="1">
      <c r="C521" s="273"/>
    </row>
    <row r="522" spans="3:3" ht="15.75" customHeight="1">
      <c r="C522" s="273"/>
    </row>
    <row r="523" spans="3:3" ht="15.75" customHeight="1">
      <c r="C523" s="273"/>
    </row>
    <row r="524" spans="3:3" ht="15.75" customHeight="1">
      <c r="C524" s="273"/>
    </row>
    <row r="525" spans="3:3" ht="15.75" customHeight="1">
      <c r="C525" s="273"/>
    </row>
    <row r="526" spans="3:3" ht="15.75" customHeight="1">
      <c r="C526" s="273"/>
    </row>
    <row r="527" spans="3:3" ht="15.75" customHeight="1">
      <c r="C527" s="273"/>
    </row>
    <row r="528" spans="3:3" ht="15.75" customHeight="1">
      <c r="C528" s="273"/>
    </row>
    <row r="529" spans="3:3" ht="15.75" customHeight="1">
      <c r="C529" s="273"/>
    </row>
    <row r="530" spans="3:3" ht="15.75" customHeight="1">
      <c r="C530" s="273"/>
    </row>
    <row r="531" spans="3:3" ht="15.75" customHeight="1">
      <c r="C531" s="273"/>
    </row>
    <row r="532" spans="3:3" ht="15.75" customHeight="1">
      <c r="C532" s="273"/>
    </row>
    <row r="533" spans="3:3" ht="15.75" customHeight="1">
      <c r="C533" s="273"/>
    </row>
    <row r="534" spans="3:3" ht="15.75" customHeight="1">
      <c r="C534" s="273"/>
    </row>
    <row r="535" spans="3:3" ht="15.75" customHeight="1">
      <c r="C535" s="273"/>
    </row>
    <row r="536" spans="3:3" ht="15.75" customHeight="1">
      <c r="C536" s="273"/>
    </row>
    <row r="537" spans="3:3" ht="15.75" customHeight="1">
      <c r="C537" s="273"/>
    </row>
    <row r="538" spans="3:3" ht="15.75" customHeight="1">
      <c r="C538" s="273"/>
    </row>
    <row r="539" spans="3:3" ht="15.75" customHeight="1">
      <c r="C539" s="273"/>
    </row>
    <row r="540" spans="3:3" ht="15.75" customHeight="1">
      <c r="C540" s="273"/>
    </row>
    <row r="541" spans="3:3" ht="15.75" customHeight="1">
      <c r="C541" s="273"/>
    </row>
    <row r="542" spans="3:3" ht="15.75" customHeight="1">
      <c r="C542" s="273"/>
    </row>
    <row r="543" spans="3:3" ht="15.75" customHeight="1">
      <c r="C543" s="273"/>
    </row>
    <row r="544" spans="3:3" ht="15.75" customHeight="1">
      <c r="C544" s="273"/>
    </row>
    <row r="545" spans="3:3" ht="15.75" customHeight="1">
      <c r="C545" s="273"/>
    </row>
    <row r="546" spans="3:3" ht="15.75" customHeight="1">
      <c r="C546" s="273"/>
    </row>
    <row r="547" spans="3:3" ht="15.75" customHeight="1">
      <c r="C547" s="273"/>
    </row>
    <row r="548" spans="3:3" ht="15.75" customHeight="1">
      <c r="C548" s="273"/>
    </row>
    <row r="549" spans="3:3" ht="15.75" customHeight="1">
      <c r="C549" s="273"/>
    </row>
    <row r="550" spans="3:3" ht="15.75" customHeight="1">
      <c r="C550" s="273"/>
    </row>
    <row r="551" spans="3:3" ht="15.75" customHeight="1">
      <c r="C551" s="273"/>
    </row>
    <row r="552" spans="3:3" ht="15.75" customHeight="1">
      <c r="C552" s="273"/>
    </row>
    <row r="553" spans="3:3" ht="15.75" customHeight="1">
      <c r="C553" s="273"/>
    </row>
    <row r="554" spans="3:3" ht="15.75" customHeight="1">
      <c r="C554" s="273"/>
    </row>
    <row r="555" spans="3:3" ht="15.75" customHeight="1">
      <c r="C555" s="273"/>
    </row>
    <row r="556" spans="3:3" ht="15.75" customHeight="1">
      <c r="C556" s="273"/>
    </row>
    <row r="557" spans="3:3" ht="15.75" customHeight="1">
      <c r="C557" s="273"/>
    </row>
    <row r="558" spans="3:3" ht="15.75" customHeight="1">
      <c r="C558" s="273"/>
    </row>
    <row r="559" spans="3:3" ht="15.75" customHeight="1">
      <c r="C559" s="273"/>
    </row>
    <row r="560" spans="3:3" ht="15.75" customHeight="1">
      <c r="C560" s="273"/>
    </row>
    <row r="561" spans="3:3" ht="15.75" customHeight="1">
      <c r="C561" s="273"/>
    </row>
    <row r="562" spans="3:3" ht="15.75" customHeight="1">
      <c r="C562" s="273"/>
    </row>
    <row r="563" spans="3:3" ht="15.75" customHeight="1">
      <c r="C563" s="273"/>
    </row>
    <row r="564" spans="3:3" ht="15.75" customHeight="1">
      <c r="C564" s="273"/>
    </row>
    <row r="565" spans="3:3" ht="15.75" customHeight="1">
      <c r="C565" s="273"/>
    </row>
    <row r="566" spans="3:3" ht="15.75" customHeight="1">
      <c r="C566" s="273"/>
    </row>
    <row r="567" spans="3:3" ht="15.75" customHeight="1">
      <c r="C567" s="273"/>
    </row>
    <row r="568" spans="3:3" ht="15.75" customHeight="1">
      <c r="C568" s="273"/>
    </row>
    <row r="569" spans="3:3" ht="15.75" customHeight="1">
      <c r="C569" s="273"/>
    </row>
    <row r="570" spans="3:3" ht="15.75" customHeight="1">
      <c r="C570" s="273"/>
    </row>
    <row r="571" spans="3:3" ht="15.75" customHeight="1">
      <c r="C571" s="273"/>
    </row>
    <row r="572" spans="3:3" ht="15.75" customHeight="1">
      <c r="C572" s="273"/>
    </row>
    <row r="573" spans="3:3" ht="15.75" customHeight="1">
      <c r="C573" s="273"/>
    </row>
    <row r="574" spans="3:3" ht="15.75" customHeight="1">
      <c r="C574" s="273"/>
    </row>
    <row r="575" spans="3:3" ht="15.75" customHeight="1">
      <c r="C575" s="273"/>
    </row>
    <row r="576" spans="3:3" ht="15.75" customHeight="1">
      <c r="C576" s="273"/>
    </row>
    <row r="577" spans="3:3" ht="15.75" customHeight="1">
      <c r="C577" s="273"/>
    </row>
    <row r="578" spans="3:3" ht="15.75" customHeight="1">
      <c r="C578" s="273"/>
    </row>
    <row r="579" spans="3:3" ht="15.75" customHeight="1">
      <c r="C579" s="273"/>
    </row>
    <row r="580" spans="3:3" ht="15.75" customHeight="1">
      <c r="C580" s="273"/>
    </row>
    <row r="581" spans="3:3" ht="15.75" customHeight="1">
      <c r="C581" s="273"/>
    </row>
    <row r="582" spans="3:3" ht="15.75" customHeight="1">
      <c r="C582" s="273"/>
    </row>
    <row r="583" spans="3:3" ht="15.75" customHeight="1">
      <c r="C583" s="273"/>
    </row>
    <row r="584" spans="3:3" ht="15.75" customHeight="1">
      <c r="C584" s="273"/>
    </row>
    <row r="585" spans="3:3" ht="15.75" customHeight="1">
      <c r="C585" s="273"/>
    </row>
    <row r="586" spans="3:3" ht="15.75" customHeight="1">
      <c r="C586" s="273"/>
    </row>
    <row r="587" spans="3:3" ht="15.75" customHeight="1">
      <c r="C587" s="273"/>
    </row>
    <row r="588" spans="3:3" ht="15.75" customHeight="1">
      <c r="C588" s="273"/>
    </row>
    <row r="589" spans="3:3" ht="15.75" customHeight="1">
      <c r="C589" s="273"/>
    </row>
    <row r="590" spans="3:3" ht="15.75" customHeight="1">
      <c r="C590" s="273"/>
    </row>
    <row r="591" spans="3:3" ht="15.75" customHeight="1">
      <c r="C591" s="273"/>
    </row>
    <row r="592" spans="3:3" ht="15.75" customHeight="1">
      <c r="C592" s="273"/>
    </row>
    <row r="593" spans="3:3" ht="15.75" customHeight="1">
      <c r="C593" s="273"/>
    </row>
    <row r="594" spans="3:3" ht="15.75" customHeight="1">
      <c r="C594" s="273"/>
    </row>
    <row r="595" spans="3:3" ht="15.75" customHeight="1">
      <c r="C595" s="273"/>
    </row>
    <row r="596" spans="3:3" ht="15.75" customHeight="1">
      <c r="C596" s="273"/>
    </row>
    <row r="597" spans="3:3" ht="15.75" customHeight="1">
      <c r="C597" s="273"/>
    </row>
    <row r="598" spans="3:3" ht="15.75" customHeight="1">
      <c r="C598" s="273"/>
    </row>
    <row r="599" spans="3:3" ht="15.75" customHeight="1">
      <c r="C599" s="273"/>
    </row>
    <row r="600" spans="3:3" ht="15.75" customHeight="1">
      <c r="C600" s="273"/>
    </row>
    <row r="601" spans="3:3" ht="15.75" customHeight="1">
      <c r="C601" s="273"/>
    </row>
    <row r="602" spans="3:3" ht="15.75" customHeight="1">
      <c r="C602" s="273"/>
    </row>
    <row r="603" spans="3:3" ht="15.75" customHeight="1">
      <c r="C603" s="273"/>
    </row>
    <row r="604" spans="3:3" ht="15.75" customHeight="1">
      <c r="C604" s="273"/>
    </row>
    <row r="605" spans="3:3" ht="15.75" customHeight="1">
      <c r="C605" s="273"/>
    </row>
    <row r="606" spans="3:3" ht="15.75" customHeight="1">
      <c r="C606" s="273"/>
    </row>
    <row r="607" spans="3:3" ht="15.75" customHeight="1">
      <c r="C607" s="273"/>
    </row>
    <row r="608" spans="3:3" ht="15.75" customHeight="1">
      <c r="C608" s="273"/>
    </row>
    <row r="609" spans="3:3" ht="15.75" customHeight="1">
      <c r="C609" s="273"/>
    </row>
    <row r="610" spans="3:3" ht="15.75" customHeight="1">
      <c r="C610" s="273"/>
    </row>
    <row r="611" spans="3:3" ht="15.75" customHeight="1">
      <c r="C611" s="273"/>
    </row>
    <row r="612" spans="3:3" ht="15.75" customHeight="1">
      <c r="C612" s="273"/>
    </row>
    <row r="613" spans="3:3" ht="15.75" customHeight="1">
      <c r="C613" s="273"/>
    </row>
    <row r="614" spans="3:3" ht="15.75" customHeight="1">
      <c r="C614" s="273"/>
    </row>
    <row r="615" spans="3:3" ht="15.75" customHeight="1">
      <c r="C615" s="273"/>
    </row>
    <row r="616" spans="3:3" ht="15.75" customHeight="1">
      <c r="C616" s="273"/>
    </row>
    <row r="617" spans="3:3" ht="15.75" customHeight="1">
      <c r="C617" s="273"/>
    </row>
    <row r="618" spans="3:3" ht="15.75" customHeight="1">
      <c r="C618" s="273"/>
    </row>
    <row r="619" spans="3:3" ht="15.75" customHeight="1">
      <c r="C619" s="273"/>
    </row>
    <row r="620" spans="3:3" ht="15.75" customHeight="1">
      <c r="C620" s="273"/>
    </row>
    <row r="621" spans="3:3" ht="15.75" customHeight="1">
      <c r="C621" s="273"/>
    </row>
    <row r="622" spans="3:3" ht="15.75" customHeight="1">
      <c r="C622" s="273"/>
    </row>
    <row r="623" spans="3:3" ht="15.75" customHeight="1">
      <c r="C623" s="273"/>
    </row>
    <row r="624" spans="3:3" ht="15.75" customHeight="1">
      <c r="C624" s="273"/>
    </row>
    <row r="625" spans="3:3" ht="15.75" customHeight="1">
      <c r="C625" s="273"/>
    </row>
    <row r="626" spans="3:3" ht="15.75" customHeight="1">
      <c r="C626" s="273"/>
    </row>
    <row r="627" spans="3:3" ht="15.75" customHeight="1">
      <c r="C627" s="273"/>
    </row>
    <row r="628" spans="3:3" ht="15.75" customHeight="1">
      <c r="C628" s="273"/>
    </row>
    <row r="629" spans="3:3" ht="15.75" customHeight="1">
      <c r="C629" s="273"/>
    </row>
    <row r="630" spans="3:3" ht="15.75" customHeight="1">
      <c r="C630" s="273"/>
    </row>
    <row r="631" spans="3:3" ht="15.75" customHeight="1">
      <c r="C631" s="273"/>
    </row>
    <row r="632" spans="3:3" ht="15.75" customHeight="1">
      <c r="C632" s="273"/>
    </row>
    <row r="633" spans="3:3" ht="15.75" customHeight="1">
      <c r="C633" s="273"/>
    </row>
    <row r="634" spans="3:3" ht="15.75" customHeight="1">
      <c r="C634" s="273"/>
    </row>
    <row r="635" spans="3:3" ht="15.75" customHeight="1">
      <c r="C635" s="273"/>
    </row>
    <row r="636" spans="3:3" ht="15.75" customHeight="1">
      <c r="C636" s="273"/>
    </row>
    <row r="637" spans="3:3" ht="15.75" customHeight="1">
      <c r="C637" s="273"/>
    </row>
    <row r="638" spans="3:3" ht="15.75" customHeight="1">
      <c r="C638" s="273"/>
    </row>
    <row r="639" spans="3:3" ht="15.75" customHeight="1">
      <c r="C639" s="273"/>
    </row>
    <row r="640" spans="3:3" ht="15.75" customHeight="1">
      <c r="C640" s="273"/>
    </row>
    <row r="641" spans="3:3" ht="15.75" customHeight="1">
      <c r="C641" s="273"/>
    </row>
    <row r="642" spans="3:3" ht="15.75" customHeight="1">
      <c r="C642" s="273"/>
    </row>
    <row r="643" spans="3:3" ht="15.75" customHeight="1">
      <c r="C643" s="273"/>
    </row>
    <row r="644" spans="3:3" ht="15.75" customHeight="1">
      <c r="C644" s="273"/>
    </row>
    <row r="645" spans="3:3" ht="15.75" customHeight="1">
      <c r="C645" s="273"/>
    </row>
    <row r="646" spans="3:3" ht="15.75" customHeight="1">
      <c r="C646" s="273"/>
    </row>
    <row r="647" spans="3:3" ht="15.75" customHeight="1">
      <c r="C647" s="273"/>
    </row>
    <row r="648" spans="3:3" ht="15.75" customHeight="1">
      <c r="C648" s="273"/>
    </row>
    <row r="649" spans="3:3" ht="15.75" customHeight="1">
      <c r="C649" s="273"/>
    </row>
    <row r="650" spans="3:3" ht="15.75" customHeight="1">
      <c r="C650" s="273"/>
    </row>
    <row r="651" spans="3:3" ht="15.75" customHeight="1">
      <c r="C651" s="273"/>
    </row>
    <row r="652" spans="3:3" ht="15.75" customHeight="1">
      <c r="C652" s="273"/>
    </row>
    <row r="653" spans="3:3" ht="15.75" customHeight="1">
      <c r="C653" s="273"/>
    </row>
    <row r="654" spans="3:3" ht="15.75" customHeight="1">
      <c r="C654" s="273"/>
    </row>
    <row r="655" spans="3:3" ht="15.75" customHeight="1">
      <c r="C655" s="273"/>
    </row>
    <row r="656" spans="3:3" ht="15.75" customHeight="1">
      <c r="C656" s="273"/>
    </row>
    <row r="657" spans="3:3" ht="15.75" customHeight="1">
      <c r="C657" s="273"/>
    </row>
    <row r="658" spans="3:3" ht="15.75" customHeight="1">
      <c r="C658" s="273"/>
    </row>
    <row r="659" spans="3:3" ht="15.75" customHeight="1">
      <c r="C659" s="273"/>
    </row>
    <row r="660" spans="3:3" ht="15.75" customHeight="1">
      <c r="C660" s="273"/>
    </row>
    <row r="661" spans="3:3" ht="15.75" customHeight="1">
      <c r="C661" s="273"/>
    </row>
    <row r="662" spans="3:3" ht="15.75" customHeight="1">
      <c r="C662" s="273"/>
    </row>
    <row r="663" spans="3:3" ht="15.75" customHeight="1">
      <c r="C663" s="273"/>
    </row>
    <row r="664" spans="3:3" ht="15.75" customHeight="1">
      <c r="C664" s="273"/>
    </row>
    <row r="665" spans="3:3" ht="15.75" customHeight="1">
      <c r="C665" s="273"/>
    </row>
    <row r="666" spans="3:3" ht="15.75" customHeight="1">
      <c r="C666" s="273"/>
    </row>
    <row r="667" spans="3:3" ht="15.75" customHeight="1">
      <c r="C667" s="273"/>
    </row>
    <row r="668" spans="3:3" ht="15.75" customHeight="1">
      <c r="C668" s="273"/>
    </row>
    <row r="669" spans="3:3" ht="15.75" customHeight="1">
      <c r="C669" s="273"/>
    </row>
    <row r="670" spans="3:3" ht="15.75" customHeight="1">
      <c r="C670" s="273"/>
    </row>
    <row r="671" spans="3:3" ht="15.75" customHeight="1">
      <c r="C671" s="273"/>
    </row>
    <row r="672" spans="3:3" ht="15.75" customHeight="1">
      <c r="C672" s="273"/>
    </row>
    <row r="673" spans="3:3" ht="15.75" customHeight="1">
      <c r="C673" s="273"/>
    </row>
    <row r="674" spans="3:3" ht="15.75" customHeight="1">
      <c r="C674" s="273"/>
    </row>
    <row r="675" spans="3:3" ht="15.75" customHeight="1">
      <c r="C675" s="273"/>
    </row>
    <row r="676" spans="3:3" ht="15.75" customHeight="1">
      <c r="C676" s="273"/>
    </row>
    <row r="677" spans="3:3" ht="15.75" customHeight="1">
      <c r="C677" s="273"/>
    </row>
    <row r="678" spans="3:3" ht="15.75" customHeight="1">
      <c r="C678" s="273"/>
    </row>
    <row r="679" spans="3:3" ht="15.75" customHeight="1">
      <c r="C679" s="273"/>
    </row>
    <row r="680" spans="3:3" ht="15.75" customHeight="1">
      <c r="C680" s="273"/>
    </row>
    <row r="681" spans="3:3" ht="15.75" customHeight="1">
      <c r="C681" s="273"/>
    </row>
    <row r="682" spans="3:3" ht="15.75" customHeight="1">
      <c r="C682" s="273"/>
    </row>
    <row r="683" spans="3:3" ht="15.75" customHeight="1">
      <c r="C683" s="273"/>
    </row>
    <row r="684" spans="3:3" ht="15.75" customHeight="1">
      <c r="C684" s="273"/>
    </row>
    <row r="685" spans="3:3" ht="15.75" customHeight="1">
      <c r="C685" s="273"/>
    </row>
    <row r="686" spans="3:3" ht="15.75" customHeight="1">
      <c r="C686" s="273"/>
    </row>
    <row r="687" spans="3:3" ht="15.75" customHeight="1">
      <c r="C687" s="273"/>
    </row>
    <row r="688" spans="3:3" ht="15.75" customHeight="1">
      <c r="C688" s="273"/>
    </row>
    <row r="689" spans="3:3" ht="15.75" customHeight="1">
      <c r="C689" s="273"/>
    </row>
    <row r="690" spans="3:3" ht="15.75" customHeight="1">
      <c r="C690" s="273"/>
    </row>
    <row r="691" spans="3:3" ht="15.75" customHeight="1">
      <c r="C691" s="273"/>
    </row>
    <row r="692" spans="3:3" ht="15.75" customHeight="1">
      <c r="C692" s="273"/>
    </row>
    <row r="693" spans="3:3" ht="15.75" customHeight="1">
      <c r="C693" s="273"/>
    </row>
    <row r="694" spans="3:3" ht="15.75" customHeight="1">
      <c r="C694" s="273"/>
    </row>
    <row r="695" spans="3:3" ht="15.75" customHeight="1">
      <c r="C695" s="273"/>
    </row>
    <row r="696" spans="3:3" ht="15.75" customHeight="1">
      <c r="C696" s="273"/>
    </row>
    <row r="697" spans="3:3" ht="15.75" customHeight="1">
      <c r="C697" s="273"/>
    </row>
    <row r="698" spans="3:3" ht="15.75" customHeight="1">
      <c r="C698" s="273"/>
    </row>
    <row r="699" spans="3:3" ht="15.75" customHeight="1">
      <c r="C699" s="273"/>
    </row>
    <row r="700" spans="3:3" ht="15.75" customHeight="1">
      <c r="C700" s="273"/>
    </row>
    <row r="701" spans="3:3" ht="15.75" customHeight="1">
      <c r="C701" s="273"/>
    </row>
    <row r="702" spans="3:3" ht="15.75" customHeight="1">
      <c r="C702" s="273"/>
    </row>
    <row r="703" spans="3:3" ht="15.75" customHeight="1">
      <c r="C703" s="273"/>
    </row>
    <row r="704" spans="3:3" ht="15.75" customHeight="1">
      <c r="C704" s="273"/>
    </row>
    <row r="705" spans="3:3" ht="15.75" customHeight="1">
      <c r="C705" s="273"/>
    </row>
    <row r="706" spans="3:3" ht="15.75" customHeight="1">
      <c r="C706" s="273"/>
    </row>
    <row r="707" spans="3:3" ht="15.75" customHeight="1">
      <c r="C707" s="273"/>
    </row>
    <row r="708" spans="3:3" ht="15.75" customHeight="1">
      <c r="C708" s="273"/>
    </row>
    <row r="709" spans="3:3" ht="15.75" customHeight="1">
      <c r="C709" s="273"/>
    </row>
    <row r="710" spans="3:3" ht="15.75" customHeight="1">
      <c r="C710" s="273"/>
    </row>
    <row r="711" spans="3:3" ht="15.75" customHeight="1">
      <c r="C711" s="273"/>
    </row>
    <row r="712" spans="3:3" ht="15.75" customHeight="1">
      <c r="C712" s="273"/>
    </row>
    <row r="713" spans="3:3" ht="15.75" customHeight="1">
      <c r="C713" s="273"/>
    </row>
    <row r="714" spans="3:3" ht="15.75" customHeight="1">
      <c r="C714" s="273"/>
    </row>
    <row r="715" spans="3:3" ht="15.75" customHeight="1">
      <c r="C715" s="273"/>
    </row>
    <row r="716" spans="3:3" ht="15.75" customHeight="1">
      <c r="C716" s="273"/>
    </row>
    <row r="717" spans="3:3" ht="15.75" customHeight="1">
      <c r="C717" s="273"/>
    </row>
    <row r="718" spans="3:3" ht="15.75" customHeight="1">
      <c r="C718" s="273"/>
    </row>
    <row r="719" spans="3:3" ht="15.75" customHeight="1">
      <c r="C719" s="273"/>
    </row>
    <row r="720" spans="3:3" ht="15.75" customHeight="1">
      <c r="C720" s="273"/>
    </row>
    <row r="721" spans="3:3" ht="15.75" customHeight="1">
      <c r="C721" s="273"/>
    </row>
    <row r="722" spans="3:3" ht="15.75" customHeight="1">
      <c r="C722" s="273"/>
    </row>
    <row r="723" spans="3:3" ht="15.75" customHeight="1">
      <c r="C723" s="273"/>
    </row>
    <row r="724" spans="3:3" ht="15.75" customHeight="1">
      <c r="C724" s="273"/>
    </row>
    <row r="725" spans="3:3" ht="15.75" customHeight="1">
      <c r="C725" s="273"/>
    </row>
    <row r="726" spans="3:3" ht="15.75" customHeight="1">
      <c r="C726" s="273"/>
    </row>
    <row r="727" spans="3:3" ht="15.75" customHeight="1">
      <c r="C727" s="273"/>
    </row>
    <row r="728" spans="3:3" ht="15.75" customHeight="1">
      <c r="C728" s="273"/>
    </row>
    <row r="729" spans="3:3" ht="15.75" customHeight="1">
      <c r="C729" s="273"/>
    </row>
    <row r="730" spans="3:3" ht="15.75" customHeight="1">
      <c r="C730" s="273"/>
    </row>
    <row r="731" spans="3:3" ht="15.75" customHeight="1">
      <c r="C731" s="273"/>
    </row>
    <row r="732" spans="3:3" ht="15.75" customHeight="1">
      <c r="C732" s="273"/>
    </row>
    <row r="733" spans="3:3" ht="15.75" customHeight="1">
      <c r="C733" s="273"/>
    </row>
    <row r="734" spans="3:3" ht="15.75" customHeight="1">
      <c r="C734" s="273"/>
    </row>
    <row r="735" spans="3:3" ht="15.75" customHeight="1">
      <c r="C735" s="273"/>
    </row>
    <row r="736" spans="3:3" ht="15.75" customHeight="1">
      <c r="C736" s="273"/>
    </row>
    <row r="737" spans="3:3" ht="15.75" customHeight="1">
      <c r="C737" s="273"/>
    </row>
    <row r="738" spans="3:3" ht="15.75" customHeight="1">
      <c r="C738" s="273"/>
    </row>
    <row r="739" spans="3:3" ht="15.75" customHeight="1">
      <c r="C739" s="273"/>
    </row>
    <row r="740" spans="3:3" ht="15.75" customHeight="1">
      <c r="C740" s="273"/>
    </row>
    <row r="741" spans="3:3" ht="15.75" customHeight="1">
      <c r="C741" s="273"/>
    </row>
    <row r="742" spans="3:3" ht="15.75" customHeight="1">
      <c r="C742" s="273"/>
    </row>
    <row r="743" spans="3:3" ht="15.75" customHeight="1">
      <c r="C743" s="273"/>
    </row>
    <row r="744" spans="3:3" ht="15.75" customHeight="1">
      <c r="C744" s="273"/>
    </row>
    <row r="745" spans="3:3" ht="15.75" customHeight="1">
      <c r="C745" s="273"/>
    </row>
    <row r="746" spans="3:3" ht="15.75" customHeight="1">
      <c r="C746" s="273"/>
    </row>
    <row r="747" spans="3:3" ht="15.75" customHeight="1">
      <c r="C747" s="273"/>
    </row>
    <row r="748" spans="3:3" ht="15.75" customHeight="1">
      <c r="C748" s="273"/>
    </row>
    <row r="749" spans="3:3" ht="15.75" customHeight="1">
      <c r="C749" s="273"/>
    </row>
    <row r="750" spans="3:3" ht="15.75" customHeight="1">
      <c r="C750" s="273"/>
    </row>
    <row r="751" spans="3:3" ht="15.75" customHeight="1">
      <c r="C751" s="273"/>
    </row>
    <row r="752" spans="3:3" ht="15.75" customHeight="1">
      <c r="C752" s="273"/>
    </row>
    <row r="753" spans="3:3" ht="15.75" customHeight="1">
      <c r="C753" s="273"/>
    </row>
    <row r="754" spans="3:3" ht="15.75" customHeight="1">
      <c r="C754" s="273"/>
    </row>
    <row r="755" spans="3:3" ht="15.75" customHeight="1">
      <c r="C755" s="273"/>
    </row>
    <row r="756" spans="3:3" ht="15.75" customHeight="1">
      <c r="C756" s="273"/>
    </row>
    <row r="757" spans="3:3" ht="15.75" customHeight="1">
      <c r="C757" s="273"/>
    </row>
    <row r="758" spans="3:3" ht="15.75" customHeight="1">
      <c r="C758" s="273"/>
    </row>
    <row r="759" spans="3:3" ht="15.75" customHeight="1">
      <c r="C759" s="273"/>
    </row>
    <row r="760" spans="3:3" ht="15.75" customHeight="1">
      <c r="C760" s="273"/>
    </row>
    <row r="761" spans="3:3" ht="15.75" customHeight="1">
      <c r="C761" s="273"/>
    </row>
    <row r="762" spans="3:3" ht="15.75" customHeight="1">
      <c r="C762" s="273"/>
    </row>
    <row r="763" spans="3:3" ht="15.75" customHeight="1">
      <c r="C763" s="273"/>
    </row>
    <row r="764" spans="3:3" ht="15.75" customHeight="1">
      <c r="C764" s="273"/>
    </row>
    <row r="765" spans="3:3" ht="15.75" customHeight="1">
      <c r="C765" s="273"/>
    </row>
    <row r="766" spans="3:3" ht="15.75" customHeight="1">
      <c r="C766" s="273"/>
    </row>
    <row r="767" spans="3:3" ht="15.75" customHeight="1">
      <c r="C767" s="273"/>
    </row>
    <row r="768" spans="3:3" ht="15.75" customHeight="1">
      <c r="C768" s="273"/>
    </row>
    <row r="769" spans="3:3" ht="15.75" customHeight="1">
      <c r="C769" s="273"/>
    </row>
    <row r="770" spans="3:3" ht="15.75" customHeight="1">
      <c r="C770" s="273"/>
    </row>
    <row r="771" spans="3:3" ht="15.75" customHeight="1">
      <c r="C771" s="273"/>
    </row>
    <row r="772" spans="3:3" ht="15.75" customHeight="1">
      <c r="C772" s="273"/>
    </row>
    <row r="773" spans="3:3" ht="15.75" customHeight="1">
      <c r="C773" s="273"/>
    </row>
    <row r="774" spans="3:3" ht="15.75" customHeight="1">
      <c r="C774" s="273"/>
    </row>
    <row r="775" spans="3:3" ht="15.75" customHeight="1">
      <c r="C775" s="273"/>
    </row>
    <row r="776" spans="3:3" ht="15.75" customHeight="1">
      <c r="C776" s="273"/>
    </row>
    <row r="777" spans="3:3" ht="15.75" customHeight="1">
      <c r="C777" s="273"/>
    </row>
    <row r="778" spans="3:3" ht="15.75" customHeight="1">
      <c r="C778" s="273"/>
    </row>
    <row r="779" spans="3:3" ht="15.75" customHeight="1">
      <c r="C779" s="273"/>
    </row>
    <row r="780" spans="3:3" ht="15.75" customHeight="1">
      <c r="C780" s="273"/>
    </row>
    <row r="781" spans="3:3" ht="15.75" customHeight="1">
      <c r="C781" s="273"/>
    </row>
    <row r="782" spans="3:3" ht="15.75" customHeight="1">
      <c r="C782" s="273"/>
    </row>
    <row r="783" spans="3:3" ht="15.75" customHeight="1">
      <c r="C783" s="273"/>
    </row>
    <row r="784" spans="3:3" ht="15.75" customHeight="1">
      <c r="C784" s="273"/>
    </row>
    <row r="785" spans="3:3" ht="15.75" customHeight="1">
      <c r="C785" s="273"/>
    </row>
    <row r="786" spans="3:3" ht="15.75" customHeight="1">
      <c r="C786" s="273"/>
    </row>
    <row r="787" spans="3:3" ht="15.75" customHeight="1">
      <c r="C787" s="273"/>
    </row>
    <row r="788" spans="3:3" ht="15.75" customHeight="1">
      <c r="C788" s="273"/>
    </row>
    <row r="789" spans="3:3" ht="15.75" customHeight="1">
      <c r="C789" s="273"/>
    </row>
    <row r="790" spans="3:3" ht="15.75" customHeight="1">
      <c r="C790" s="273"/>
    </row>
    <row r="791" spans="3:3" ht="15.75" customHeight="1">
      <c r="C791" s="273"/>
    </row>
    <row r="792" spans="3:3" ht="15.75" customHeight="1">
      <c r="C792" s="273"/>
    </row>
    <row r="793" spans="3:3" ht="15.75" customHeight="1">
      <c r="C793" s="273"/>
    </row>
    <row r="794" spans="3:3" ht="15.75" customHeight="1">
      <c r="C794" s="273"/>
    </row>
    <row r="795" spans="3:3" ht="15.75" customHeight="1">
      <c r="C795" s="273"/>
    </row>
    <row r="796" spans="3:3" ht="15.75" customHeight="1">
      <c r="C796" s="273"/>
    </row>
    <row r="797" spans="3:3" ht="15.75" customHeight="1">
      <c r="C797" s="273"/>
    </row>
    <row r="798" spans="3:3" ht="15.75" customHeight="1">
      <c r="C798" s="273"/>
    </row>
    <row r="799" spans="3:3" ht="15.75" customHeight="1">
      <c r="C799" s="273"/>
    </row>
    <row r="800" spans="3:3" ht="15.75" customHeight="1">
      <c r="C800" s="273"/>
    </row>
    <row r="801" spans="3:3" ht="15.75" customHeight="1">
      <c r="C801" s="273"/>
    </row>
    <row r="802" spans="3:3" ht="15.75" customHeight="1">
      <c r="C802" s="273"/>
    </row>
    <row r="803" spans="3:3" ht="15.75" customHeight="1">
      <c r="C803" s="273"/>
    </row>
    <row r="804" spans="3:3" ht="15.75" customHeight="1">
      <c r="C804" s="273"/>
    </row>
    <row r="805" spans="3:3" ht="15.75" customHeight="1">
      <c r="C805" s="273"/>
    </row>
    <row r="806" spans="3:3" ht="15.75" customHeight="1">
      <c r="C806" s="273"/>
    </row>
    <row r="807" spans="3:3" ht="15.75" customHeight="1">
      <c r="C807" s="273"/>
    </row>
    <row r="808" spans="3:3" ht="15.75" customHeight="1">
      <c r="C808" s="273"/>
    </row>
    <row r="809" spans="3:3" ht="15.75" customHeight="1">
      <c r="C809" s="273"/>
    </row>
    <row r="810" spans="3:3" ht="15.75" customHeight="1">
      <c r="C810" s="273"/>
    </row>
    <row r="811" spans="3:3" ht="15.75" customHeight="1">
      <c r="C811" s="273"/>
    </row>
    <row r="812" spans="3:3" ht="15.75" customHeight="1">
      <c r="C812" s="273"/>
    </row>
    <row r="813" spans="3:3" ht="15.75" customHeight="1">
      <c r="C813" s="273"/>
    </row>
    <row r="814" spans="3:3" ht="15.75" customHeight="1">
      <c r="C814" s="273"/>
    </row>
    <row r="815" spans="3:3" ht="15.75" customHeight="1">
      <c r="C815" s="273"/>
    </row>
    <row r="816" spans="3:3" ht="15.75" customHeight="1">
      <c r="C816" s="273"/>
    </row>
    <row r="817" spans="3:3" ht="15.75" customHeight="1">
      <c r="C817" s="273"/>
    </row>
    <row r="818" spans="3:3" ht="15.75" customHeight="1">
      <c r="C818" s="273"/>
    </row>
    <row r="819" spans="3:3" ht="15.75" customHeight="1">
      <c r="C819" s="273"/>
    </row>
    <row r="820" spans="3:3" ht="15.75" customHeight="1">
      <c r="C820" s="273"/>
    </row>
    <row r="821" spans="3:3" ht="15.75" customHeight="1">
      <c r="C821" s="273"/>
    </row>
    <row r="822" spans="3:3" ht="15.75" customHeight="1">
      <c r="C822" s="273"/>
    </row>
    <row r="823" spans="3:3" ht="15.75" customHeight="1">
      <c r="C823" s="273"/>
    </row>
    <row r="824" spans="3:3" ht="15.75" customHeight="1">
      <c r="C824" s="273"/>
    </row>
    <row r="825" spans="3:3" ht="15.75" customHeight="1">
      <c r="C825" s="273"/>
    </row>
    <row r="826" spans="3:3" ht="15.75" customHeight="1">
      <c r="C826" s="273"/>
    </row>
    <row r="827" spans="3:3" ht="15.75" customHeight="1">
      <c r="C827" s="273"/>
    </row>
    <row r="828" spans="3:3" ht="15.75" customHeight="1">
      <c r="C828" s="273"/>
    </row>
    <row r="829" spans="3:3" ht="15.75" customHeight="1">
      <c r="C829" s="273"/>
    </row>
    <row r="830" spans="3:3" ht="15.75" customHeight="1">
      <c r="C830" s="273"/>
    </row>
    <row r="831" spans="3:3" ht="15.75" customHeight="1">
      <c r="C831" s="273"/>
    </row>
    <row r="832" spans="3:3" ht="15.75" customHeight="1">
      <c r="C832" s="273"/>
    </row>
    <row r="833" spans="3:3" ht="15.75" customHeight="1">
      <c r="C833" s="273"/>
    </row>
    <row r="834" spans="3:3" ht="15.75" customHeight="1">
      <c r="C834" s="273"/>
    </row>
    <row r="835" spans="3:3" ht="15.75" customHeight="1">
      <c r="C835" s="273"/>
    </row>
    <row r="836" spans="3:3" ht="15.75" customHeight="1">
      <c r="C836" s="273"/>
    </row>
    <row r="837" spans="3:3" ht="15.75" customHeight="1">
      <c r="C837" s="273"/>
    </row>
    <row r="838" spans="3:3" ht="15.75" customHeight="1">
      <c r="C838" s="273"/>
    </row>
    <row r="839" spans="3:3" ht="15.75" customHeight="1">
      <c r="C839" s="273"/>
    </row>
    <row r="840" spans="3:3" ht="15.75" customHeight="1">
      <c r="C840" s="273"/>
    </row>
    <row r="841" spans="3:3" ht="15.75" customHeight="1">
      <c r="C841" s="273"/>
    </row>
    <row r="842" spans="3:3" ht="15.75" customHeight="1">
      <c r="C842" s="273"/>
    </row>
    <row r="843" spans="3:3" ht="15.75" customHeight="1">
      <c r="C843" s="273"/>
    </row>
    <row r="844" spans="3:3" ht="15.75" customHeight="1">
      <c r="C844" s="273"/>
    </row>
    <row r="845" spans="3:3" ht="15.75" customHeight="1">
      <c r="C845" s="273"/>
    </row>
    <row r="846" spans="3:3" ht="15.75" customHeight="1">
      <c r="C846" s="273"/>
    </row>
    <row r="847" spans="3:3" ht="15.75" customHeight="1">
      <c r="C847" s="273"/>
    </row>
    <row r="848" spans="3:3" ht="15.75" customHeight="1">
      <c r="C848" s="273"/>
    </row>
    <row r="849" spans="3:3" ht="15.75" customHeight="1">
      <c r="C849" s="273"/>
    </row>
    <row r="850" spans="3:3" ht="15.75" customHeight="1">
      <c r="C850" s="273"/>
    </row>
    <row r="851" spans="3:3" ht="15.75" customHeight="1">
      <c r="C851" s="273"/>
    </row>
    <row r="852" spans="3:3" ht="15.75" customHeight="1">
      <c r="C852" s="273"/>
    </row>
    <row r="853" spans="3:3" ht="15.75" customHeight="1">
      <c r="C853" s="273"/>
    </row>
    <row r="854" spans="3:3" ht="15.75" customHeight="1">
      <c r="C854" s="273"/>
    </row>
    <row r="855" spans="3:3" ht="15.75" customHeight="1">
      <c r="C855" s="273"/>
    </row>
    <row r="856" spans="3:3" ht="15.75" customHeight="1">
      <c r="C856" s="273"/>
    </row>
    <row r="857" spans="3:3" ht="15.75" customHeight="1">
      <c r="C857" s="273"/>
    </row>
    <row r="858" spans="3:3" ht="15.75" customHeight="1">
      <c r="C858" s="273"/>
    </row>
    <row r="859" spans="3:3" ht="15.75" customHeight="1">
      <c r="C859" s="273"/>
    </row>
    <row r="860" spans="3:3" ht="15.75" customHeight="1">
      <c r="C860" s="273"/>
    </row>
    <row r="861" spans="3:3" ht="15.75" customHeight="1">
      <c r="C861" s="273"/>
    </row>
    <row r="862" spans="3:3" ht="15.75" customHeight="1">
      <c r="C862" s="273"/>
    </row>
    <row r="863" spans="3:3" ht="15.75" customHeight="1">
      <c r="C863" s="273"/>
    </row>
    <row r="864" spans="3:3" ht="15.75" customHeight="1">
      <c r="C864" s="273"/>
    </row>
    <row r="865" spans="3:3" ht="15.75" customHeight="1">
      <c r="C865" s="273"/>
    </row>
    <row r="866" spans="3:3" ht="15.75" customHeight="1">
      <c r="C866" s="273"/>
    </row>
    <row r="867" spans="3:3" ht="15.75" customHeight="1">
      <c r="C867" s="273"/>
    </row>
    <row r="868" spans="3:3" ht="15.75" customHeight="1">
      <c r="C868" s="273"/>
    </row>
    <row r="869" spans="3:3" ht="15.75" customHeight="1">
      <c r="C869" s="273"/>
    </row>
    <row r="870" spans="3:3" ht="15.75" customHeight="1">
      <c r="C870" s="273"/>
    </row>
    <row r="871" spans="3:3" ht="15.75" customHeight="1">
      <c r="C871" s="273"/>
    </row>
    <row r="872" spans="3:3" ht="15.75" customHeight="1">
      <c r="C872" s="273"/>
    </row>
    <row r="873" spans="3:3" ht="15.75" customHeight="1">
      <c r="C873" s="273"/>
    </row>
    <row r="874" spans="3:3" ht="15.75" customHeight="1">
      <c r="C874" s="273"/>
    </row>
    <row r="875" spans="3:3" ht="15.75" customHeight="1">
      <c r="C875" s="273"/>
    </row>
    <row r="876" spans="3:3" ht="15.75" customHeight="1">
      <c r="C876" s="273"/>
    </row>
    <row r="877" spans="3:3" ht="15.75" customHeight="1">
      <c r="C877" s="273"/>
    </row>
    <row r="878" spans="3:3" ht="15.75" customHeight="1">
      <c r="C878" s="273"/>
    </row>
    <row r="879" spans="3:3" ht="15.75" customHeight="1">
      <c r="C879" s="273"/>
    </row>
    <row r="880" spans="3:3" ht="15.75" customHeight="1">
      <c r="C880" s="273"/>
    </row>
    <row r="881" spans="3:3" ht="15.75" customHeight="1">
      <c r="C881" s="273"/>
    </row>
    <row r="882" spans="3:3" ht="15.75" customHeight="1">
      <c r="C882" s="273"/>
    </row>
    <row r="883" spans="3:3" ht="15.75" customHeight="1">
      <c r="C883" s="273"/>
    </row>
    <row r="884" spans="3:3" ht="15.75" customHeight="1">
      <c r="C884" s="273"/>
    </row>
    <row r="885" spans="3:3" ht="15.75" customHeight="1">
      <c r="C885" s="273"/>
    </row>
    <row r="886" spans="3:3" ht="15.75" customHeight="1">
      <c r="C886" s="273"/>
    </row>
    <row r="887" spans="3:3" ht="15.75" customHeight="1">
      <c r="C887" s="273"/>
    </row>
    <row r="888" spans="3:3" ht="15.75" customHeight="1">
      <c r="C888" s="273"/>
    </row>
    <row r="889" spans="3:3" ht="15.75" customHeight="1">
      <c r="C889" s="273"/>
    </row>
    <row r="890" spans="3:3" ht="15.75" customHeight="1">
      <c r="C890" s="273"/>
    </row>
    <row r="891" spans="3:3" ht="15.75" customHeight="1">
      <c r="C891" s="273"/>
    </row>
    <row r="892" spans="3:3" ht="15.75" customHeight="1">
      <c r="C892" s="273"/>
    </row>
    <row r="893" spans="3:3" ht="15.75" customHeight="1">
      <c r="C893" s="273"/>
    </row>
    <row r="894" spans="3:3" ht="15.75" customHeight="1">
      <c r="C894" s="273"/>
    </row>
    <row r="895" spans="3:3" ht="15.75" customHeight="1">
      <c r="C895" s="273"/>
    </row>
    <row r="896" spans="3:3" ht="15.75" customHeight="1">
      <c r="C896" s="273"/>
    </row>
    <row r="897" spans="3:3" ht="15.75" customHeight="1">
      <c r="C897" s="273"/>
    </row>
    <row r="898" spans="3:3" ht="15.75" customHeight="1">
      <c r="C898" s="273"/>
    </row>
    <row r="899" spans="3:3" ht="15.75" customHeight="1">
      <c r="C899" s="273"/>
    </row>
    <row r="900" spans="3:3" ht="15.75" customHeight="1">
      <c r="C900" s="273"/>
    </row>
    <row r="901" spans="3:3" ht="15.75" customHeight="1">
      <c r="C901" s="273"/>
    </row>
    <row r="902" spans="3:3" ht="15.75" customHeight="1">
      <c r="C902" s="273"/>
    </row>
    <row r="903" spans="3:3" ht="15.75" customHeight="1">
      <c r="C903" s="273"/>
    </row>
    <row r="904" spans="3:3" ht="15.75" customHeight="1">
      <c r="C904" s="273"/>
    </row>
    <row r="905" spans="3:3" ht="15.75" customHeight="1">
      <c r="C905" s="273"/>
    </row>
    <row r="906" spans="3:3" ht="15.75" customHeight="1">
      <c r="C906" s="273"/>
    </row>
    <row r="907" spans="3:3" ht="15.75" customHeight="1">
      <c r="C907" s="273"/>
    </row>
    <row r="908" spans="3:3" ht="15.75" customHeight="1">
      <c r="C908" s="273"/>
    </row>
    <row r="909" spans="3:3" ht="15.75" customHeight="1">
      <c r="C909" s="273"/>
    </row>
    <row r="910" spans="3:3" ht="15.75" customHeight="1">
      <c r="C910" s="273"/>
    </row>
    <row r="911" spans="3:3" ht="15.75" customHeight="1">
      <c r="C911" s="273"/>
    </row>
    <row r="912" spans="3:3" ht="15.75" customHeight="1">
      <c r="C912" s="273"/>
    </row>
  </sheetData>
  <mergeCells count="8">
    <mergeCell ref="AG30:AK30"/>
    <mergeCell ref="C48:G48"/>
    <mergeCell ref="H48:V48"/>
    <mergeCell ref="C1:G1"/>
    <mergeCell ref="H1:S1"/>
    <mergeCell ref="T1:Y1"/>
    <mergeCell ref="Z1:AB1"/>
    <mergeCell ref="C24:G24"/>
  </mergeCells>
  <conditionalFormatting sqref="D26:D30 E32:G33 G34">
    <cfRule type="cellIs" dxfId="32" priority="6" operator="lessThan">
      <formula>0</formula>
    </cfRule>
    <cfRule type="cellIs" dxfId="31" priority="7" operator="greaterThan">
      <formula>0</formula>
    </cfRule>
  </conditionalFormatting>
  <conditionalFormatting sqref="M4:M13 M17:M20 M50:M62">
    <cfRule type="cellIs" dxfId="30" priority="10" operator="greaterThan">
      <formula>0</formula>
    </cfRule>
  </conditionalFormatting>
  <conditionalFormatting sqref="M4:N13 M17:N20 M50:M62">
    <cfRule type="cellIs" dxfId="29" priority="11" operator="lessThanOrEqual">
      <formula>0</formula>
    </cfRule>
  </conditionalFormatting>
  <conditionalFormatting sqref="M4:N13 M17:N20 M50:N64">
    <cfRule type="cellIs" dxfId="28" priority="25" operator="greaterThan">
      <formula>0</formula>
    </cfRule>
  </conditionalFormatting>
  <conditionalFormatting sqref="M22:N22 M50:N64">
    <cfRule type="cellIs" dxfId="27" priority="26" operator="lessThanOrEqual">
      <formula>0</formula>
    </cfRule>
  </conditionalFormatting>
  <conditionalFormatting sqref="N4:N13 N17:N20 M22:N22 L24 N50:N64">
    <cfRule type="cellIs" dxfId="26" priority="9" operator="greaterThan">
      <formula>0</formula>
    </cfRule>
  </conditionalFormatting>
  <conditionalFormatting sqref="N4:N13 N17:N20 N22 L24 N50:N64">
    <cfRule type="cellIs" dxfId="25" priority="8" operator="lessThan">
      <formula>0</formula>
    </cfRule>
  </conditionalFormatting>
  <conditionalFormatting sqref="Q6 Q4 Q8:Q12 Q16:Q20">
    <cfRule type="colorScale" priority="29">
      <colorScale>
        <cfvo type="min"/>
        <cfvo type="percentile" val="50"/>
        <cfvo type="max"/>
        <color rgb="FF57BB8A"/>
        <color rgb="FFFFFFFF"/>
        <color rgb="FFE67C73"/>
      </colorScale>
    </cfRule>
  </conditionalFormatting>
  <conditionalFormatting sqref="S6 S4 S8:S12 S16:S20">
    <cfRule type="colorScale" priority="30">
      <colorScale>
        <cfvo type="min"/>
        <cfvo type="max"/>
        <color rgb="FFE67C73"/>
        <color rgb="FFFFFFFF"/>
      </colorScale>
    </cfRule>
  </conditionalFormatting>
  <conditionalFormatting sqref="T4:Y4 T6:Y6 T8:Y12 T16:Y20 L24">
    <cfRule type="cellIs" dxfId="24" priority="28" operator="lessThanOrEqual">
      <formula>0</formula>
    </cfRule>
  </conditionalFormatting>
  <conditionalFormatting sqref="T4:Y4 T6:Y6 T8:Y12 T16:Y20">
    <cfRule type="cellIs" dxfId="23" priority="27" operator="greaterThan">
      <formula>0</formula>
    </cfRule>
  </conditionalFormatting>
  <conditionalFormatting sqref="T4:Y4 T6:Y6 T8:Y12 T17:Y17 T19:Y19">
    <cfRule type="cellIs" dxfId="22" priority="1" operator="greaterThan">
      <formula>0</formula>
    </cfRule>
    <cfRule type="cellIs" dxfId="21" priority="2" operator="lessThanOrEqual">
      <formula>0</formula>
    </cfRule>
  </conditionalFormatting>
  <conditionalFormatting sqref="AA4 T4 T6 AA6 T8 AA8:AA12 T10 AA16:AA17 T17 T19 AA19">
    <cfRule type="colorScale" priority="23">
      <colorScale>
        <cfvo type="min"/>
        <cfvo type="percentile" val="50"/>
        <cfvo type="max"/>
        <color rgb="FFE67C73"/>
        <color rgb="FFFFFFFF"/>
        <color rgb="FF57BB8A"/>
      </colorScale>
    </cfRule>
  </conditionalFormatting>
  <conditionalFormatting sqref="AA4:AB4 AA6:AB6 AA8:AB12 AA16:AB20">
    <cfRule type="cellIs" dxfId="20" priority="12" operator="equal">
      <formula>"Alcista"</formula>
    </cfRule>
    <cfRule type="cellIs" dxfId="19" priority="13" operator="equal">
      <formula>"Neutral"</formula>
    </cfRule>
    <cfRule type="cellIs" dxfId="18" priority="14" operator="equal">
      <formula>"Bajista"</formula>
    </cfRule>
  </conditionalFormatting>
  <conditionalFormatting sqref="AB6 AB4 AB8:AB12 AB16:AB17 AB19">
    <cfRule type="colorScale" priority="24">
      <colorScale>
        <cfvo type="min"/>
        <cfvo type="percentile" val="50"/>
        <cfvo type="max"/>
        <color rgb="FF57BB8A"/>
        <color rgb="FFFFFFFF"/>
        <color rgb="FFE67C73"/>
      </colorScale>
    </cfRule>
  </conditionalFormatting>
  <conditionalFormatting sqref="AC4 AC6 AC8:AC12 AC16:AC20">
    <cfRule type="cellIs" dxfId="17" priority="15" operator="equal">
      <formula>"Baja"</formula>
    </cfRule>
    <cfRule type="cellIs" dxfId="16" priority="16" operator="equal">
      <formula>"Media"</formula>
    </cfRule>
    <cfRule type="cellIs" dxfId="15" priority="17" operator="equal">
      <formula>"Alta"</formula>
    </cfRule>
  </conditionalFormatting>
  <conditionalFormatting sqref="AC4:AD4 AC8:AD12 AC16:AD20 Z4:AA4 Z6:AA6 Z8:AA12 AA16:AA17 Z16:Z21 AA19 AC6:AD6">
    <cfRule type="cellIs" dxfId="14" priority="20" operator="equal">
      <formula>"Atractivo"</formula>
    </cfRule>
    <cfRule type="cellIs" dxfId="13" priority="21" operator="equal">
      <formula>"Neutral"</formula>
    </cfRule>
    <cfRule type="cellIs" dxfId="12" priority="22" operator="equal">
      <formula>"Esperar"</formula>
    </cfRule>
  </conditionalFormatting>
  <conditionalFormatting sqref="AD4 AD8:AD12 AD17 AD19 AD6">
    <cfRule type="containsText" dxfId="11" priority="3" operator="containsText" text="Alta">
      <formula>NOT(ISERROR(SEARCH(("Alta"),(AD4))))</formula>
    </cfRule>
    <cfRule type="containsText" dxfId="10" priority="4" operator="containsText" text="Media">
      <formula>NOT(ISERROR(SEARCH(("Media"),(AD4))))</formula>
    </cfRule>
    <cfRule type="containsText" dxfId="9" priority="5" operator="containsText" text="Baja">
      <formula>NOT(ISERROR(SEARCH(("Baja"),(AD4))))</formula>
    </cfRule>
  </conditionalFormatting>
  <conditionalFormatting sqref="AD17:AD20 AC4 AC6 AC8:AC12 AC16:AC20 Z17:Z21">
    <cfRule type="cellIs" dxfId="8" priority="18" operator="equal">
      <formula>"Core"</formula>
    </cfRule>
    <cfRule type="cellIs" dxfId="7" priority="19" operator="equal">
      <formula>"Satellite"</formula>
    </cfRule>
  </conditionalFormatting>
  <pageMargins left="0.7" right="0.7" top="0.75" bottom="0.75" header="0" footer="0"/>
  <pageSetup orientation="landscape"/>
  <ignoredErrors>
    <ignoredError sqref="F3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J83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15.109375" customWidth="1"/>
    <col min="5" max="7" width="10.33203125" customWidth="1"/>
    <col min="8" max="8" width="7.88671875" customWidth="1"/>
    <col min="9" max="9" width="10.88671875" customWidth="1"/>
    <col min="10" max="12" width="7.6640625" customWidth="1"/>
    <col min="13" max="13" width="6.88671875" customWidth="1"/>
    <col min="14" max="14" width="8.109375" customWidth="1"/>
    <col min="15" max="15" width="10.109375" customWidth="1"/>
    <col min="16" max="18" width="9" customWidth="1"/>
    <col min="19" max="19" width="6.33203125" customWidth="1"/>
    <col min="20" max="20" width="8" customWidth="1"/>
    <col min="21" max="21" width="14.44140625" customWidth="1"/>
    <col min="22" max="47" width="8" customWidth="1"/>
  </cols>
  <sheetData>
    <row r="1" spans="1:62" ht="15.75" customHeight="1">
      <c r="A1" s="27"/>
      <c r="B1" s="27"/>
      <c r="C1" s="479" t="s">
        <v>25</v>
      </c>
      <c r="D1" s="480"/>
      <c r="E1" s="480"/>
      <c r="F1" s="480"/>
      <c r="G1" s="481"/>
      <c r="H1" s="482"/>
      <c r="I1" s="480"/>
      <c r="J1" s="480"/>
      <c r="K1" s="480"/>
      <c r="L1" s="481"/>
      <c r="M1" s="479" t="s">
        <v>27</v>
      </c>
      <c r="N1" s="480"/>
      <c r="O1" s="480"/>
      <c r="P1" s="480"/>
      <c r="Q1" s="480"/>
      <c r="R1" s="481"/>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row>
    <row r="2" spans="1:62" ht="36">
      <c r="A2" s="36"/>
      <c r="B2" s="37" t="s">
        <v>0</v>
      </c>
      <c r="C2" s="38" t="s">
        <v>1</v>
      </c>
      <c r="D2" s="37" t="s">
        <v>2</v>
      </c>
      <c r="E2" s="37" t="s">
        <v>236</v>
      </c>
      <c r="F2" s="37" t="s">
        <v>64</v>
      </c>
      <c r="G2" s="37" t="s">
        <v>237</v>
      </c>
      <c r="H2" s="39" t="s">
        <v>3</v>
      </c>
      <c r="I2" s="39" t="s">
        <v>238</v>
      </c>
      <c r="J2" s="40" t="s">
        <v>239</v>
      </c>
      <c r="K2" s="40" t="s">
        <v>240</v>
      </c>
      <c r="L2" s="40" t="s">
        <v>241</v>
      </c>
      <c r="M2" s="41" t="s">
        <v>4</v>
      </c>
      <c r="N2" s="37" t="s">
        <v>46</v>
      </c>
      <c r="O2" s="37" t="s">
        <v>47</v>
      </c>
      <c r="P2" s="37" t="s">
        <v>48</v>
      </c>
      <c r="Q2" s="37" t="s">
        <v>49</v>
      </c>
      <c r="R2" s="37" t="s">
        <v>50</v>
      </c>
      <c r="S2" s="44"/>
      <c r="T2" s="44"/>
      <c r="U2" s="44"/>
      <c r="V2" s="44"/>
      <c r="W2" s="44"/>
      <c r="X2" s="44"/>
      <c r="Y2" s="44"/>
      <c r="Z2" s="44"/>
      <c r="AA2" s="44"/>
      <c r="AB2" s="44"/>
      <c r="AC2" s="44"/>
      <c r="AD2" s="44"/>
      <c r="AE2" s="44"/>
      <c r="AF2" s="44"/>
      <c r="AG2" s="44"/>
      <c r="AH2" s="44"/>
      <c r="AI2" s="44"/>
      <c r="AJ2" s="44"/>
      <c r="AK2" s="44"/>
      <c r="AL2" s="44"/>
      <c r="AM2" s="44"/>
      <c r="AN2" s="44"/>
      <c r="AO2" s="36"/>
      <c r="AP2" s="36"/>
      <c r="AQ2" s="36"/>
      <c r="AR2" s="36"/>
      <c r="AS2" s="36"/>
      <c r="AT2" s="36"/>
      <c r="AU2" s="36"/>
      <c r="AV2" s="36"/>
      <c r="AW2" s="36"/>
      <c r="AX2" s="36"/>
      <c r="AY2" s="36"/>
      <c r="AZ2" s="36"/>
      <c r="BA2" s="36"/>
    </row>
    <row r="3" spans="1:62" ht="13.2">
      <c r="A3" s="45">
        <v>1</v>
      </c>
      <c r="B3" s="1" t="s">
        <v>5</v>
      </c>
      <c r="C3" s="46" t="str">
        <f ca="1">IFERROR(__xludf.DUMMYFUNCTION("GoogleFinance(B3,""name"")"),"SPDR S&amp;P 500 ETF Trust")</f>
        <v>SPDR S&amp;P 500 ETF Trust</v>
      </c>
      <c r="D3" s="48" t="s">
        <v>60</v>
      </c>
      <c r="E3" s="458"/>
      <c r="F3" s="459"/>
      <c r="G3" s="460">
        <v>45338</v>
      </c>
      <c r="H3" s="50">
        <f ca="1">IFERROR(__xludf.DUMMYFUNCTION("GOOGLEFINANCE(B3)"),499.51)</f>
        <v>499.51</v>
      </c>
      <c r="I3" s="346">
        <v>67</v>
      </c>
      <c r="J3" s="55">
        <f ca="1">I3/H3-1</f>
        <v>-0.86586855118015649</v>
      </c>
      <c r="K3" s="48">
        <v>90</v>
      </c>
      <c r="L3" s="76">
        <f ca="1">K3/H3-1</f>
        <v>-0.81982342695841925</v>
      </c>
      <c r="M3" s="10">
        <f ca="1">IFERROR(__xludf.DUMMYFUNCTION("GoogleFinance(B3,""changepct"")/100"),-0.005)</f>
        <v>-5.0000000000000001E-3</v>
      </c>
      <c r="N3" s="10" t="e">
        <f ca="1">H3/W4-1</f>
        <v>#DIV/0!</v>
      </c>
      <c r="O3" s="10" t="e">
        <f ca="1">H3/Y4-1</f>
        <v>#DIV/0!</v>
      </c>
      <c r="P3" s="10" t="e">
        <f ca="1">H3/AA4-1</f>
        <v>#DIV/0!</v>
      </c>
      <c r="Q3" s="10" t="e">
        <f ca="1">H3/AC4-1</f>
        <v>#DIV/0!</v>
      </c>
      <c r="R3" s="10" t="e">
        <f ca="1">H3/AE4-1</f>
        <v>#DIV/0!</v>
      </c>
      <c r="S3" s="2"/>
      <c r="T3" s="2"/>
      <c r="U3" s="2"/>
      <c r="V3" s="2" t="str">
        <f ca="1">IFERROR(__xludf.DUMMYFUNCTION("GoogleFinance(B3,""price"",today()-7)"),"#N/A")</f>
        <v>#N/A</v>
      </c>
      <c r="W3" s="21"/>
      <c r="X3" s="2" t="str">
        <f ca="1">IFERROR(__xludf.DUMMYFUNCTION("GoogleFinance(B3,""price"",today()-31)"),"#N/A")</f>
        <v>#N/A</v>
      </c>
      <c r="Y3" s="21"/>
      <c r="Z3" s="2" t="str">
        <f ca="1">IFERROR(__xludf.DUMMYFUNCTION("GoogleFinance(B3,""price"",today()-91)"),"#N/A")</f>
        <v>#N/A</v>
      </c>
      <c r="AA3" s="21"/>
      <c r="AB3" s="2" t="str">
        <f ca="1">IFERROR(__xludf.DUMMYFUNCTION("GoogleFinance(B3,""price"",today()-182)"),"#N/A")</f>
        <v>#N/A</v>
      </c>
      <c r="AC3" s="21"/>
      <c r="AD3" s="2" t="str">
        <f ca="1">IFERROR(__xludf.DUMMYFUNCTION("GoogleFinance(B3,""price"",DATE(2023,12,29))"),"#N/A")</f>
        <v>#N/A</v>
      </c>
      <c r="AE3" s="21"/>
      <c r="AF3" s="5"/>
      <c r="AG3" s="5"/>
      <c r="AH3" s="5"/>
      <c r="AI3" s="5"/>
      <c r="AJ3" s="318"/>
      <c r="AK3" s="318"/>
      <c r="AL3" s="5"/>
      <c r="AM3" s="318"/>
      <c r="AN3" s="318"/>
      <c r="AO3" s="318"/>
      <c r="AP3" s="318"/>
      <c r="AQ3" s="318"/>
      <c r="AR3" s="5"/>
      <c r="AS3" s="5"/>
      <c r="AT3" s="5"/>
      <c r="AU3" s="5"/>
      <c r="AV3" s="5"/>
      <c r="AW3" s="5"/>
      <c r="AX3" s="5"/>
      <c r="AY3" s="5"/>
      <c r="AZ3" s="5"/>
      <c r="BA3" s="5"/>
      <c r="BB3" s="318"/>
      <c r="BC3" s="318"/>
      <c r="BD3" s="318"/>
      <c r="BE3" s="318"/>
      <c r="BF3" s="318"/>
      <c r="BG3" s="318"/>
      <c r="BH3" s="318"/>
      <c r="BI3" s="318"/>
      <c r="BJ3" s="318"/>
    </row>
    <row r="4" spans="1:62" ht="13.2" hidden="1">
      <c r="A4" s="45" t="e">
        <f>1+#REF!</f>
        <v>#REF!</v>
      </c>
      <c r="B4" s="310"/>
      <c r="C4" s="311"/>
      <c r="D4" s="48"/>
      <c r="E4" s="458">
        <v>45203</v>
      </c>
      <c r="F4" s="459">
        <v>45203</v>
      </c>
      <c r="G4" s="460">
        <v>45203</v>
      </c>
      <c r="H4" s="312"/>
      <c r="I4" s="312"/>
      <c r="J4" s="314"/>
      <c r="K4" s="314"/>
      <c r="L4" s="314"/>
      <c r="M4" s="315"/>
      <c r="N4" s="315"/>
      <c r="O4" s="315"/>
      <c r="P4" s="315"/>
      <c r="Q4" s="315"/>
      <c r="R4" s="315"/>
      <c r="S4" s="22"/>
      <c r="T4" s="22"/>
      <c r="U4" s="22"/>
      <c r="V4" s="22"/>
      <c r="W4" s="21"/>
      <c r="X4" s="22"/>
      <c r="Y4" s="21"/>
      <c r="Z4" s="22"/>
      <c r="AA4" s="21"/>
      <c r="AB4" s="22"/>
      <c r="AC4" s="21"/>
      <c r="AD4" s="22"/>
      <c r="AE4" s="21"/>
      <c r="AF4" s="24"/>
      <c r="AG4" s="24"/>
      <c r="AH4" s="24"/>
      <c r="AI4" s="24"/>
      <c r="AJ4" s="318"/>
      <c r="AK4" s="318"/>
      <c r="AL4" s="24"/>
      <c r="AM4" s="318"/>
      <c r="AN4" s="318"/>
      <c r="AO4" s="318"/>
      <c r="AP4" s="318"/>
      <c r="AQ4" s="318"/>
      <c r="AR4" s="24"/>
      <c r="AS4" s="24"/>
      <c r="AT4" s="24"/>
      <c r="AU4" s="24"/>
      <c r="AV4" s="24"/>
      <c r="AW4" s="24"/>
      <c r="AX4" s="24"/>
      <c r="AY4" s="24"/>
      <c r="AZ4" s="24"/>
      <c r="BA4" s="24"/>
      <c r="BB4" s="318"/>
      <c r="BC4" s="318"/>
      <c r="BD4" s="318"/>
      <c r="BE4" s="318"/>
      <c r="BF4" s="318"/>
      <c r="BG4" s="318"/>
      <c r="BH4" s="318"/>
      <c r="BI4" s="318"/>
      <c r="BJ4" s="318"/>
    </row>
    <row r="5" spans="1:62" ht="13.2">
      <c r="A5" s="45">
        <f t="shared" ref="A5:A9" si="0">1+A3</f>
        <v>2</v>
      </c>
      <c r="B5" s="1" t="s">
        <v>6</v>
      </c>
      <c r="C5" s="46" t="str">
        <f ca="1">IFERROR(__xludf.DUMMYFUNCTION("GoogleFinance(B5,""name"")"),"Invesco QQQ Trust Series 1")</f>
        <v>Invesco QQQ Trust Series 1</v>
      </c>
      <c r="D5" s="48" t="s">
        <v>242</v>
      </c>
      <c r="E5" s="458"/>
      <c r="F5" s="459"/>
      <c r="G5" s="460">
        <v>45338</v>
      </c>
      <c r="H5" s="50">
        <f ca="1">IFERROR(__xludf.DUMMYFUNCTION("GOOGLEFINANCE(B5)"),430.57)</f>
        <v>430.57</v>
      </c>
      <c r="I5" s="57">
        <v>430</v>
      </c>
      <c r="J5" s="55">
        <f ca="1">I5/H5-1</f>
        <v>-1.3238265554962325E-3</v>
      </c>
      <c r="K5" s="48" t="s">
        <v>243</v>
      </c>
      <c r="L5" s="76" t="e">
        <f ca="1">K5/H5-1</f>
        <v>#VALUE!</v>
      </c>
      <c r="M5" s="10">
        <f ca="1">IFERROR(__xludf.DUMMYFUNCTION("GoogleFinance(B5,""changepct"")/100"),-0.0091)</f>
        <v>-9.1000000000000004E-3</v>
      </c>
      <c r="N5" s="10" t="e">
        <f ca="1">H5/W6-1</f>
        <v>#DIV/0!</v>
      </c>
      <c r="O5" s="10" t="e">
        <f ca="1">H5/Y6-1</f>
        <v>#DIV/0!</v>
      </c>
      <c r="P5" s="10" t="e">
        <f ca="1">H5/AA6-1</f>
        <v>#DIV/0!</v>
      </c>
      <c r="Q5" s="10" t="e">
        <f ca="1">H5/AC6-1</f>
        <v>#DIV/0!</v>
      </c>
      <c r="R5" s="10">
        <f ca="1">H5/AE6-1</f>
        <v>5.1401640945497151E-2</v>
      </c>
      <c r="S5" s="2"/>
      <c r="T5" s="2"/>
      <c r="U5" s="2"/>
      <c r="V5" s="2" t="str">
        <f ca="1">IFERROR(__xludf.DUMMYFUNCTION("GoogleFinance(B5,""price"",today()-7)"),"#N/A")</f>
        <v>#N/A</v>
      </c>
      <c r="W5" s="21"/>
      <c r="X5" s="2" t="str">
        <f ca="1">IFERROR(__xludf.DUMMYFUNCTION("GoogleFinance(B5,""price"",today()-31)"),"#N/A")</f>
        <v>#N/A</v>
      </c>
      <c r="Y5" s="21"/>
      <c r="Z5" s="2" t="str">
        <f ca="1">IFERROR(__xludf.DUMMYFUNCTION("GoogleFinance(B5,""price"",today()-91)"),"#N/A")</f>
        <v>#N/A</v>
      </c>
      <c r="AA5" s="21"/>
      <c r="AB5" s="2" t="str">
        <f ca="1">IFERROR(__xludf.DUMMYFUNCTION("GoogleFinance(B5,""price"",today()-182)"),"#N/A")</f>
        <v>#N/A</v>
      </c>
      <c r="AC5" s="21"/>
      <c r="AD5" s="2" t="str">
        <f ca="1">IFERROR(__xludf.DUMMYFUNCTION("GoogleFinance(B5,""price"",DATE(2023,12,29))"),"Date")</f>
        <v>Date</v>
      </c>
      <c r="AE5" s="21" t="str">
        <f ca="1">IFERROR(__xludf.DUMMYFUNCTION("""COMPUTED_VALUE"""),"Close")</f>
        <v>Close</v>
      </c>
      <c r="AF5" s="5"/>
      <c r="AG5" s="5"/>
      <c r="AH5" s="5"/>
      <c r="AI5" s="5"/>
      <c r="AJ5" s="318"/>
      <c r="AK5" s="318"/>
      <c r="AL5" s="5"/>
      <c r="AM5" s="318"/>
      <c r="AN5" s="318"/>
      <c r="AO5" s="318"/>
      <c r="AP5" s="318"/>
      <c r="AQ5" s="318"/>
      <c r="AR5" s="5"/>
      <c r="AS5" s="5"/>
      <c r="AT5" s="5"/>
      <c r="AU5" s="5"/>
      <c r="AV5" s="5"/>
      <c r="AW5" s="5"/>
      <c r="AX5" s="5"/>
      <c r="AY5" s="5"/>
      <c r="AZ5" s="5"/>
      <c r="BA5" s="5"/>
      <c r="BB5" s="318"/>
      <c r="BC5" s="318"/>
      <c r="BD5" s="318"/>
      <c r="BE5" s="318"/>
      <c r="BF5" s="318"/>
      <c r="BG5" s="318"/>
      <c r="BH5" s="318"/>
      <c r="BI5" s="318"/>
      <c r="BJ5" s="318"/>
    </row>
    <row r="6" spans="1:62" ht="13.2" hidden="1">
      <c r="A6" s="45" t="e">
        <f t="shared" si="0"/>
        <v>#REF!</v>
      </c>
      <c r="B6" s="310"/>
      <c r="C6" s="311"/>
      <c r="D6" s="48"/>
      <c r="E6" s="458">
        <v>45205</v>
      </c>
      <c r="F6" s="459">
        <v>45205</v>
      </c>
      <c r="G6" s="460">
        <v>45205</v>
      </c>
      <c r="H6" s="312"/>
      <c r="I6" s="312"/>
      <c r="J6" s="314"/>
      <c r="K6" s="314"/>
      <c r="L6" s="314"/>
      <c r="M6" s="315"/>
      <c r="N6" s="315"/>
      <c r="O6" s="315"/>
      <c r="P6" s="315"/>
      <c r="Q6" s="315"/>
      <c r="R6" s="315"/>
      <c r="S6" s="22"/>
      <c r="T6" s="22"/>
      <c r="U6" s="22"/>
      <c r="V6" s="22"/>
      <c r="W6" s="21"/>
      <c r="X6" s="22"/>
      <c r="Y6" s="21"/>
      <c r="Z6" s="22"/>
      <c r="AA6" s="21"/>
      <c r="AB6" s="22"/>
      <c r="AC6" s="21"/>
      <c r="AD6" s="22">
        <f ca="1">IFERROR(__xludf.DUMMYFUNCTION("""COMPUTED_VALUE"""),45289.6666666666)</f>
        <v>45289.666666666599</v>
      </c>
      <c r="AE6" s="21">
        <f ca="1">IFERROR(__xludf.DUMMYFUNCTION("""COMPUTED_VALUE"""),409.52)</f>
        <v>409.52</v>
      </c>
      <c r="AF6" s="24"/>
      <c r="AG6" s="24"/>
      <c r="AH6" s="24"/>
      <c r="AI6" s="24"/>
      <c r="AJ6" s="318"/>
      <c r="AK6" s="318"/>
      <c r="AL6" s="24"/>
      <c r="AM6" s="318"/>
      <c r="AN6" s="318"/>
      <c r="AO6" s="318"/>
      <c r="AP6" s="318"/>
      <c r="AQ6" s="318"/>
      <c r="AR6" s="24"/>
      <c r="AS6" s="24"/>
      <c r="AT6" s="24"/>
      <c r="AU6" s="24"/>
      <c r="AV6" s="24"/>
      <c r="AW6" s="24"/>
      <c r="AX6" s="24"/>
      <c r="AY6" s="24"/>
      <c r="AZ6" s="24"/>
      <c r="BA6" s="24"/>
      <c r="BB6" s="318"/>
      <c r="BC6" s="318"/>
      <c r="BD6" s="318"/>
      <c r="BE6" s="318"/>
      <c r="BF6" s="318"/>
      <c r="BG6" s="318"/>
      <c r="BH6" s="318"/>
      <c r="BI6" s="318"/>
      <c r="BJ6" s="318"/>
    </row>
    <row r="7" spans="1:62" ht="13.2">
      <c r="A7" s="45">
        <f t="shared" si="0"/>
        <v>3</v>
      </c>
      <c r="B7" s="1" t="s">
        <v>8</v>
      </c>
      <c r="C7" s="46" t="str">
        <f ca="1">IFERROR(__xludf.DUMMYFUNCTION("GoogleFinance(B7,""name"")"),"iShares Russell 2000 ETF")</f>
        <v>iShares Russell 2000 ETF</v>
      </c>
      <c r="D7" s="48" t="s">
        <v>244</v>
      </c>
      <c r="E7" s="458"/>
      <c r="F7" s="459"/>
      <c r="G7" s="460">
        <v>45338</v>
      </c>
      <c r="H7" s="50">
        <f ca="1">IFERROR(__xludf.DUMMYFUNCTION("GOOGLEFINANCE(B7)"),201.66)</f>
        <v>201.66</v>
      </c>
      <c r="I7" s="57">
        <v>450</v>
      </c>
      <c r="J7" s="55">
        <f ca="1">I7/H7-1</f>
        <v>1.2314787265694735</v>
      </c>
      <c r="K7" s="48">
        <v>540</v>
      </c>
      <c r="L7" s="76">
        <f ca="1">K7/H7-1</f>
        <v>1.6777744718833683</v>
      </c>
      <c r="M7" s="10">
        <f ca="1">IFERROR(__xludf.DUMMYFUNCTION("GoogleFinance(B7,""changepct"")/100"),-0.0136)</f>
        <v>-1.3599999999999999E-2</v>
      </c>
      <c r="N7" s="10" t="e">
        <f ca="1">H7/W8-1</f>
        <v>#DIV/0!</v>
      </c>
      <c r="O7" s="10" t="e">
        <f ca="1">H7/Y8-1</f>
        <v>#DIV/0!</v>
      </c>
      <c r="P7" s="10" t="e">
        <f ca="1">H7/AA8-1</f>
        <v>#DIV/0!</v>
      </c>
      <c r="Q7" s="10" t="e">
        <f ca="1">H7/AC8-1</f>
        <v>#DIV/0!</v>
      </c>
      <c r="R7" s="10">
        <f ca="1">H7/AE8-1</f>
        <v>4.7331971501169967E-3</v>
      </c>
      <c r="S7" s="2"/>
      <c r="T7" s="2"/>
      <c r="U7" s="2"/>
      <c r="V7" s="2" t="str">
        <f ca="1">IFERROR(__xludf.DUMMYFUNCTION("GoogleFinance(B7,""price"",today()-7)"),"#N/A")</f>
        <v>#N/A</v>
      </c>
      <c r="W7" s="21"/>
      <c r="X7" s="2" t="str">
        <f ca="1">IFERROR(__xludf.DUMMYFUNCTION("GoogleFinance(B7,""price"",today()-31)"),"#N/A")</f>
        <v>#N/A</v>
      </c>
      <c r="Y7" s="21"/>
      <c r="Z7" s="2" t="str">
        <f ca="1">IFERROR(__xludf.DUMMYFUNCTION("GoogleFinance(B7,""price"",today()-91)"),"#N/A")</f>
        <v>#N/A</v>
      </c>
      <c r="AA7" s="21"/>
      <c r="AB7" s="2" t="str">
        <f ca="1">IFERROR(__xludf.DUMMYFUNCTION("GoogleFinance(B7,""price"",today()-182)"),"#N/A")</f>
        <v>#N/A</v>
      </c>
      <c r="AC7" s="21"/>
      <c r="AD7" s="2" t="str">
        <f ca="1">IFERROR(__xludf.DUMMYFUNCTION("GoogleFinance(B7,""price"",DATE(2023,12,29))"),"Date")</f>
        <v>Date</v>
      </c>
      <c r="AE7" s="21" t="str">
        <f ca="1">IFERROR(__xludf.DUMMYFUNCTION("""COMPUTED_VALUE"""),"Close")</f>
        <v>Close</v>
      </c>
      <c r="AF7" s="5"/>
      <c r="AG7" s="5"/>
      <c r="AH7" s="5"/>
      <c r="AI7" s="5"/>
      <c r="AJ7" s="318"/>
      <c r="AK7" s="318"/>
      <c r="AL7" s="5"/>
      <c r="AM7" s="318"/>
      <c r="AN7" s="318"/>
      <c r="AO7" s="318"/>
      <c r="AP7" s="318"/>
      <c r="AQ7" s="318"/>
      <c r="AR7" s="5"/>
      <c r="AS7" s="5"/>
      <c r="AT7" s="5"/>
      <c r="AU7" s="5"/>
      <c r="AV7" s="5"/>
      <c r="AW7" s="5"/>
      <c r="AX7" s="5"/>
      <c r="AY7" s="5"/>
      <c r="AZ7" s="5"/>
      <c r="BA7" s="5"/>
      <c r="BB7" s="318"/>
      <c r="BC7" s="318"/>
      <c r="BD7" s="318"/>
      <c r="BE7" s="318"/>
      <c r="BF7" s="318"/>
      <c r="BG7" s="318"/>
      <c r="BH7" s="318"/>
      <c r="BI7" s="318"/>
      <c r="BJ7" s="318"/>
    </row>
    <row r="8" spans="1:62" ht="13.2" hidden="1">
      <c r="A8" s="45" t="e">
        <f t="shared" si="0"/>
        <v>#REF!</v>
      </c>
      <c r="B8" s="310"/>
      <c r="C8" s="311"/>
      <c r="D8" s="48"/>
      <c r="E8" s="458">
        <v>45207</v>
      </c>
      <c r="F8" s="459">
        <v>45208</v>
      </c>
      <c r="G8" s="460">
        <v>45209</v>
      </c>
      <c r="H8" s="312"/>
      <c r="I8" s="312"/>
      <c r="J8" s="314"/>
      <c r="K8" s="314"/>
      <c r="L8" s="314"/>
      <c r="M8" s="315"/>
      <c r="N8" s="315"/>
      <c r="O8" s="315"/>
      <c r="P8" s="315"/>
      <c r="Q8" s="315"/>
      <c r="R8" s="315"/>
      <c r="S8" s="22"/>
      <c r="T8" s="22"/>
      <c r="U8" s="22"/>
      <c r="V8" s="22"/>
      <c r="W8" s="21"/>
      <c r="X8" s="22"/>
      <c r="Y8" s="21"/>
      <c r="Z8" s="22"/>
      <c r="AA8" s="21"/>
      <c r="AB8" s="22"/>
      <c r="AC8" s="21"/>
      <c r="AD8" s="22">
        <f ca="1">IFERROR(__xludf.DUMMYFUNCTION("""COMPUTED_VALUE"""),45289.6666666666)</f>
        <v>45289.666666666599</v>
      </c>
      <c r="AE8" s="21">
        <f ca="1">IFERROR(__xludf.DUMMYFUNCTION("""COMPUTED_VALUE"""),200.71)</f>
        <v>200.71</v>
      </c>
      <c r="AF8" s="24"/>
      <c r="AG8" s="24"/>
      <c r="AH8" s="24"/>
      <c r="AI8" s="24"/>
      <c r="AJ8" s="318"/>
      <c r="AK8" s="318"/>
      <c r="AL8" s="24"/>
      <c r="AM8" s="318"/>
      <c r="AN8" s="318"/>
      <c r="AO8" s="318"/>
      <c r="AP8" s="318"/>
      <c r="AQ8" s="318"/>
      <c r="AR8" s="24"/>
      <c r="AS8" s="24"/>
      <c r="AT8" s="24"/>
      <c r="AU8" s="24"/>
      <c r="AV8" s="24"/>
      <c r="AW8" s="24"/>
      <c r="AX8" s="24"/>
      <c r="AY8" s="24"/>
      <c r="AZ8" s="24"/>
      <c r="BA8" s="24"/>
      <c r="BB8" s="318"/>
      <c r="BC8" s="318"/>
      <c r="BD8" s="318"/>
      <c r="BE8" s="318"/>
      <c r="BF8" s="318"/>
      <c r="BG8" s="318"/>
      <c r="BH8" s="318"/>
      <c r="BI8" s="318"/>
      <c r="BJ8" s="318"/>
    </row>
    <row r="9" spans="1:62" ht="13.2">
      <c r="A9" s="45">
        <f t="shared" si="0"/>
        <v>4</v>
      </c>
      <c r="B9" s="1" t="s">
        <v>23</v>
      </c>
      <c r="C9" s="46" t="str">
        <f ca="1">IFERROR(__xludf.DUMMYFUNCTION("GoogleFinance(B9,""name"")"),"iShares 20 Plus Year Treasury Bond ETF")</f>
        <v>iShares 20 Plus Year Treasury Bond ETF</v>
      </c>
      <c r="D9" s="48" t="s">
        <v>245</v>
      </c>
      <c r="E9" s="458"/>
      <c r="F9" s="459"/>
      <c r="G9" s="460">
        <v>45324</v>
      </c>
      <c r="H9" s="50">
        <f ca="1">IFERROR(__xludf.DUMMYFUNCTION("GOOGLEFINANCE(B9)"),92.76)</f>
        <v>92.76</v>
      </c>
      <c r="I9" s="57">
        <v>490</v>
      </c>
      <c r="J9" s="55">
        <f ca="1">I9/H9-1</f>
        <v>4.2824493316084515</v>
      </c>
      <c r="K9" s="48">
        <v>620</v>
      </c>
      <c r="L9" s="76">
        <f ca="1">K9/H9-1</f>
        <v>5.6839154808106942</v>
      </c>
      <c r="M9" s="10">
        <f ca="1">IFERROR(__xludf.DUMMYFUNCTION("GoogleFinance(B9,""changepct"")/100"),-0.0058)</f>
        <v>-5.7999999999999996E-3</v>
      </c>
      <c r="N9" s="10" t="e">
        <f ca="1">H9/W10-1</f>
        <v>#DIV/0!</v>
      </c>
      <c r="O9" s="10" t="e">
        <f ca="1">H9/Y10-1</f>
        <v>#DIV/0!</v>
      </c>
      <c r="P9" s="10" t="e">
        <f ca="1">H9/AA10-1</f>
        <v>#DIV/0!</v>
      </c>
      <c r="Q9" s="10" t="e">
        <f ca="1">H9/AC10-1</f>
        <v>#DIV/0!</v>
      </c>
      <c r="R9" s="10">
        <f ca="1">H9/AE10-1</f>
        <v>-6.1893203883495063E-2</v>
      </c>
      <c r="S9" s="2"/>
      <c r="T9" s="2"/>
      <c r="U9" s="2"/>
      <c r="V9" s="2" t="str">
        <f ca="1">IFERROR(__xludf.DUMMYFUNCTION("GoogleFinance(B9,""price"",today()-7)"),"#N/A")</f>
        <v>#N/A</v>
      </c>
      <c r="W9" s="21"/>
      <c r="X9" s="2" t="str">
        <f ca="1">IFERROR(__xludf.DUMMYFUNCTION("GoogleFinance(B9,""price"",today()-31)"),"#N/A")</f>
        <v>#N/A</v>
      </c>
      <c r="Y9" s="21"/>
      <c r="Z9" s="2" t="str">
        <f ca="1">IFERROR(__xludf.DUMMYFUNCTION("GoogleFinance(B9,""price"",today()-91)"),"#N/A")</f>
        <v>#N/A</v>
      </c>
      <c r="AA9" s="21"/>
      <c r="AB9" s="2" t="str">
        <f ca="1">IFERROR(__xludf.DUMMYFUNCTION("GoogleFinance(B9,""price"",today()-182)"),"#N/A")</f>
        <v>#N/A</v>
      </c>
      <c r="AC9" s="21"/>
      <c r="AD9" s="2" t="str">
        <f ca="1">IFERROR(__xludf.DUMMYFUNCTION("GoogleFinance(B9,""price"",DATE(2023,12,29))"),"Date")</f>
        <v>Date</v>
      </c>
      <c r="AE9" s="21" t="str">
        <f ca="1">IFERROR(__xludf.DUMMYFUNCTION("""COMPUTED_VALUE"""),"Close")</f>
        <v>Close</v>
      </c>
      <c r="AF9" s="5"/>
      <c r="AG9" s="5"/>
      <c r="AH9" s="5"/>
      <c r="AI9" s="5"/>
      <c r="AJ9" s="318"/>
      <c r="AK9" s="318"/>
      <c r="AL9" s="5"/>
      <c r="AM9" s="318"/>
      <c r="AN9" s="318"/>
      <c r="AO9" s="318"/>
      <c r="AP9" s="318"/>
      <c r="AQ9" s="318"/>
      <c r="AR9" s="5"/>
      <c r="AS9" s="5"/>
      <c r="AT9" s="5"/>
      <c r="AU9" s="5"/>
      <c r="AV9" s="5"/>
      <c r="AW9" s="5"/>
      <c r="AX9" s="5"/>
      <c r="AY9" s="5"/>
      <c r="AZ9" s="5"/>
      <c r="BA9" s="5"/>
      <c r="BB9" s="318"/>
      <c r="BC9" s="318"/>
      <c r="BD9" s="318"/>
      <c r="BE9" s="318"/>
      <c r="BF9" s="318"/>
      <c r="BG9" s="318"/>
      <c r="BH9" s="318"/>
      <c r="BI9" s="318"/>
      <c r="BJ9" s="318"/>
    </row>
    <row r="10" spans="1:62" ht="13.2" hidden="1">
      <c r="A10" s="134" t="e">
        <f>1+A6</f>
        <v>#REF!</v>
      </c>
      <c r="B10" s="310"/>
      <c r="C10" s="311"/>
      <c r="D10" s="48"/>
      <c r="E10" s="458">
        <v>45209</v>
      </c>
      <c r="F10" s="459">
        <v>45210</v>
      </c>
      <c r="G10" s="460">
        <v>45211</v>
      </c>
      <c r="H10" s="312"/>
      <c r="I10" s="312"/>
      <c r="J10" s="314"/>
      <c r="K10" s="314"/>
      <c r="L10" s="314"/>
      <c r="M10" s="315"/>
      <c r="N10" s="315"/>
      <c r="O10" s="315"/>
      <c r="P10" s="315"/>
      <c r="Q10" s="315"/>
      <c r="R10" s="315"/>
      <c r="S10" s="22"/>
      <c r="T10" s="22"/>
      <c r="U10" s="22"/>
      <c r="V10" s="22"/>
      <c r="W10" s="21"/>
      <c r="X10" s="22"/>
      <c r="Y10" s="21"/>
      <c r="Z10" s="22"/>
      <c r="AA10" s="21"/>
      <c r="AB10" s="22"/>
      <c r="AC10" s="21"/>
      <c r="AD10" s="22">
        <f ca="1">IFERROR(__xludf.DUMMYFUNCTION("""COMPUTED_VALUE"""),45289.6666666666)</f>
        <v>45289.666666666599</v>
      </c>
      <c r="AE10" s="21">
        <f ca="1">IFERROR(__xludf.DUMMYFUNCTION("""COMPUTED_VALUE"""),98.88)</f>
        <v>98.88</v>
      </c>
      <c r="AF10" s="24"/>
      <c r="AG10" s="24"/>
      <c r="AH10" s="24"/>
      <c r="AI10" s="24"/>
      <c r="AJ10" s="318"/>
      <c r="AK10" s="318"/>
      <c r="AL10" s="24"/>
      <c r="AM10" s="318"/>
      <c r="AN10" s="318"/>
      <c r="AO10" s="318"/>
      <c r="AP10" s="318"/>
      <c r="AQ10" s="318"/>
      <c r="AR10" s="24"/>
      <c r="AS10" s="24"/>
      <c r="AT10" s="24"/>
      <c r="AU10" s="24"/>
      <c r="AV10" s="24"/>
      <c r="AW10" s="24"/>
      <c r="AX10" s="24"/>
      <c r="AY10" s="24"/>
      <c r="AZ10" s="24"/>
      <c r="BA10" s="24"/>
      <c r="BB10" s="318"/>
      <c r="BC10" s="318"/>
      <c r="BD10" s="318"/>
      <c r="BE10" s="318"/>
      <c r="BF10" s="318"/>
      <c r="BG10" s="318"/>
      <c r="BH10" s="318"/>
      <c r="BI10" s="318"/>
      <c r="BJ10" s="318"/>
    </row>
    <row r="11" spans="1:62" ht="15.75" customHeight="1">
      <c r="A11" s="27"/>
      <c r="B11" s="27"/>
      <c r="C11" s="272"/>
      <c r="D11" s="27"/>
      <c r="E11" s="27"/>
      <c r="F11" s="27"/>
      <c r="G11" s="27"/>
      <c r="H11" s="28"/>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row>
    <row r="12" spans="1:62" ht="15.75" customHeight="1">
      <c r="A12" s="27"/>
      <c r="B12" s="27"/>
      <c r="C12" s="272"/>
      <c r="D12" s="27"/>
      <c r="E12" s="27"/>
      <c r="F12" s="27"/>
      <c r="G12" s="27"/>
      <c r="H12" s="28"/>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row>
    <row r="13" spans="1:62" ht="15.75" customHeight="1">
      <c r="A13" s="27"/>
      <c r="B13" s="27"/>
      <c r="C13" s="272"/>
      <c r="D13" s="27"/>
      <c r="E13" s="27"/>
      <c r="F13" s="27"/>
      <c r="G13" s="27"/>
      <c r="H13" s="28"/>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row>
    <row r="14" spans="1:62" ht="15.75" customHeight="1">
      <c r="A14" s="27"/>
      <c r="B14" s="37" t="s">
        <v>0</v>
      </c>
      <c r="C14" s="38" t="s">
        <v>1</v>
      </c>
      <c r="D14" s="37" t="s">
        <v>2</v>
      </c>
      <c r="E14" s="37" t="s">
        <v>221</v>
      </c>
      <c r="F14" s="37" t="s">
        <v>32</v>
      </c>
      <c r="G14" s="37" t="s">
        <v>156</v>
      </c>
      <c r="H14" s="37" t="s">
        <v>204</v>
      </c>
      <c r="I14" s="37" t="s">
        <v>246</v>
      </c>
      <c r="J14" s="37" t="s">
        <v>27</v>
      </c>
      <c r="K14" s="37" t="s">
        <v>247</v>
      </c>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row>
    <row r="15" spans="1:62" ht="15.75" customHeight="1">
      <c r="A15" s="27"/>
      <c r="B15" s="1" t="s">
        <v>5</v>
      </c>
      <c r="C15" s="46" t="str">
        <f ca="1">IFERROR(__xludf.DUMMYFUNCTION("GoogleFinance(B15,""name"")"),"SPDR S&amp;P 500 ETF Trust")</f>
        <v>SPDR S&amp;P 500 ETF Trust</v>
      </c>
      <c r="D15" s="48" t="s">
        <v>60</v>
      </c>
      <c r="E15" s="48" t="s">
        <v>236</v>
      </c>
      <c r="F15" s="49">
        <v>45296</v>
      </c>
      <c r="G15" s="49">
        <v>45300</v>
      </c>
      <c r="H15" s="48">
        <f t="shared" ref="H15:H20" si="1">G15-F15</f>
        <v>4</v>
      </c>
      <c r="I15" s="48" t="s">
        <v>64</v>
      </c>
      <c r="J15" s="461">
        <v>1.9E-2</v>
      </c>
      <c r="K15" s="57" t="s">
        <v>248</v>
      </c>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row>
    <row r="16" spans="1:62" ht="15.75" customHeight="1">
      <c r="A16" s="27"/>
      <c r="B16" s="1" t="s">
        <v>5</v>
      </c>
      <c r="C16" s="46" t="str">
        <f ca="1">IFERROR(__xludf.DUMMYFUNCTION("GoogleFinance(B16,""name"")"),"SPDR S&amp;P 500 ETF Trust")</f>
        <v>SPDR S&amp;P 500 ETF Trust</v>
      </c>
      <c r="D16" s="48" t="s">
        <v>60</v>
      </c>
      <c r="E16" s="48" t="s">
        <v>236</v>
      </c>
      <c r="F16" s="49">
        <v>45309</v>
      </c>
      <c r="G16" s="49">
        <v>45327</v>
      </c>
      <c r="H16" s="48">
        <f t="shared" si="1"/>
        <v>18</v>
      </c>
      <c r="I16" s="48" t="s">
        <v>64</v>
      </c>
      <c r="J16" s="461">
        <v>4.4999999999999998E-2</v>
      </c>
      <c r="K16" s="57" t="s">
        <v>248</v>
      </c>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row>
    <row r="17" spans="1:62" ht="15.75" customHeight="1">
      <c r="A17" s="27"/>
      <c r="B17" s="1" t="s">
        <v>23</v>
      </c>
      <c r="C17" s="46" t="str">
        <f ca="1">IFERROR(__xludf.DUMMYFUNCTION("GoogleFinance(B17,""name"")"),"iShares 20 Plus Year Treasury Bond ETF")</f>
        <v>iShares 20 Plus Year Treasury Bond ETF</v>
      </c>
      <c r="D17" s="48" t="s">
        <v>245</v>
      </c>
      <c r="E17" s="48" t="s">
        <v>64</v>
      </c>
      <c r="F17" s="49">
        <v>45292</v>
      </c>
      <c r="G17" s="49">
        <v>45323</v>
      </c>
      <c r="H17" s="48">
        <f t="shared" si="1"/>
        <v>31</v>
      </c>
      <c r="I17" s="48" t="s">
        <v>237</v>
      </c>
      <c r="J17" s="461">
        <v>-2.8000000000000001E-2</v>
      </c>
      <c r="K17" s="57" t="s">
        <v>249</v>
      </c>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row>
    <row r="18" spans="1:62" ht="15.75" customHeight="1">
      <c r="A18" s="27"/>
      <c r="B18" s="1" t="s">
        <v>5</v>
      </c>
      <c r="C18" s="46" t="str">
        <f ca="1">IFERROR(__xludf.DUMMYFUNCTION("GoogleFinance(B18,""name"")"),"SPDR S&amp;P 500 ETF Trust")</f>
        <v>SPDR S&amp;P 500 ETF Trust</v>
      </c>
      <c r="D18" s="48" t="s">
        <v>60</v>
      </c>
      <c r="E18" s="48" t="s">
        <v>64</v>
      </c>
      <c r="F18" s="49">
        <v>45327</v>
      </c>
      <c r="G18" s="49">
        <v>45338</v>
      </c>
      <c r="H18" s="48">
        <f t="shared" si="1"/>
        <v>11</v>
      </c>
      <c r="I18" s="48" t="s">
        <v>237</v>
      </c>
      <c r="J18" s="461">
        <v>1.0999999999999999E-2</v>
      </c>
      <c r="K18" s="57" t="s">
        <v>64</v>
      </c>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row>
    <row r="19" spans="1:62" ht="15.75" customHeight="1">
      <c r="A19" s="27"/>
      <c r="B19" s="1" t="s">
        <v>6</v>
      </c>
      <c r="C19" s="46" t="str">
        <f ca="1">IFERROR(__xludf.DUMMYFUNCTION("GoogleFinance(B19,""name"")"),"Invesco QQQ Trust Series 1")</f>
        <v>Invesco QQQ Trust Series 1</v>
      </c>
      <c r="D19" s="48" t="s">
        <v>242</v>
      </c>
      <c r="E19" s="48" t="s">
        <v>64</v>
      </c>
      <c r="F19" s="49">
        <v>45327</v>
      </c>
      <c r="G19" s="49">
        <v>45338</v>
      </c>
      <c r="H19" s="48">
        <f t="shared" si="1"/>
        <v>11</v>
      </c>
      <c r="I19" s="48" t="s">
        <v>237</v>
      </c>
      <c r="J19" s="461">
        <v>5.0000000000000001E-3</v>
      </c>
      <c r="K19" s="57" t="s">
        <v>248</v>
      </c>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row>
    <row r="20" spans="1:62" ht="15.75" customHeight="1">
      <c r="A20" s="27"/>
      <c r="B20" s="1" t="s">
        <v>8</v>
      </c>
      <c r="C20" s="46" t="str">
        <f ca="1">IFERROR(__xludf.DUMMYFUNCTION("GoogleFinance(B20,""name"")"),"iShares Russell 2000 ETF")</f>
        <v>iShares Russell 2000 ETF</v>
      </c>
      <c r="D20" s="48" t="s">
        <v>244</v>
      </c>
      <c r="E20" s="48" t="s">
        <v>64</v>
      </c>
      <c r="F20" s="49">
        <v>45327</v>
      </c>
      <c r="G20" s="49">
        <v>45338</v>
      </c>
      <c r="H20" s="48">
        <f t="shared" si="1"/>
        <v>11</v>
      </c>
      <c r="I20" s="48" t="s">
        <v>237</v>
      </c>
      <c r="J20" s="461">
        <v>4.4999999999999998E-2</v>
      </c>
      <c r="K20" s="57" t="s">
        <v>249</v>
      </c>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row>
    <row r="21" spans="1:62" ht="15.75" customHeight="1">
      <c r="A21" s="27"/>
      <c r="B21" s="27"/>
      <c r="C21" s="272"/>
      <c r="D21" s="27"/>
      <c r="E21" s="27"/>
      <c r="F21" s="27"/>
      <c r="G21" s="27"/>
      <c r="H21" s="28"/>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row>
    <row r="22" spans="1:62" ht="15.75" customHeight="1">
      <c r="A22" s="27"/>
      <c r="B22" s="27"/>
      <c r="C22" s="272"/>
      <c r="D22" s="27"/>
      <c r="E22" s="27"/>
      <c r="F22" s="27"/>
      <c r="G22" s="27"/>
      <c r="H22" s="28"/>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row>
    <row r="23" spans="1:62" ht="15.75" customHeight="1">
      <c r="A23" s="27"/>
      <c r="B23" s="27"/>
      <c r="C23" s="272"/>
      <c r="D23" s="27"/>
      <c r="E23" s="27"/>
      <c r="F23" s="27"/>
      <c r="G23" s="27"/>
      <c r="H23" s="28"/>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row>
    <row r="24" spans="1:62" ht="15.75" customHeight="1">
      <c r="A24" s="27"/>
      <c r="B24" s="27"/>
      <c r="C24" s="272"/>
      <c r="D24" s="27"/>
      <c r="E24" s="27"/>
      <c r="F24" s="27"/>
      <c r="G24" s="27"/>
      <c r="H24" s="28"/>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row>
    <row r="25" spans="1:62" ht="15.75" customHeight="1">
      <c r="A25" s="27"/>
      <c r="B25" s="27"/>
      <c r="C25" s="272"/>
      <c r="D25" s="27"/>
      <c r="E25" s="27"/>
      <c r="F25" s="27"/>
      <c r="G25" s="27"/>
      <c r="H25" s="28"/>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row>
    <row r="26" spans="1:62" ht="15.75" customHeight="1">
      <c r="A26" s="27"/>
      <c r="B26" s="27"/>
      <c r="C26" s="272"/>
      <c r="D26" s="27"/>
      <c r="E26" s="27"/>
      <c r="F26" s="27"/>
      <c r="G26" s="27"/>
      <c r="H26" s="28"/>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row>
    <row r="27" spans="1:62" ht="15.75" customHeight="1">
      <c r="A27" s="27"/>
      <c r="B27" s="27"/>
      <c r="C27" s="272"/>
      <c r="D27" s="27"/>
      <c r="E27" s="27"/>
      <c r="F27" s="27"/>
      <c r="G27" s="27"/>
      <c r="H27" s="28"/>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row>
    <row r="28" spans="1:62" ht="15.75" customHeight="1">
      <c r="A28" s="27"/>
      <c r="B28" s="27"/>
      <c r="C28" s="272"/>
      <c r="D28" s="27"/>
      <c r="E28" s="27"/>
      <c r="F28" s="27"/>
      <c r="G28" s="27"/>
      <c r="H28" s="28"/>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row>
    <row r="29" spans="1:62" ht="15.75" customHeight="1">
      <c r="A29" s="27"/>
      <c r="B29" s="27"/>
      <c r="C29" s="272"/>
      <c r="D29" s="27"/>
      <c r="E29" s="27"/>
      <c r="F29" s="27"/>
      <c r="G29" s="27"/>
      <c r="H29" s="28"/>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row>
    <row r="30" spans="1:62" ht="15.75" customHeight="1">
      <c r="A30" s="27"/>
      <c r="B30" s="27"/>
      <c r="C30" s="272"/>
      <c r="D30" s="27"/>
      <c r="E30" s="27"/>
      <c r="F30" s="27"/>
      <c r="G30" s="27"/>
      <c r="H30" s="28"/>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row>
    <row r="31" spans="1:62" ht="15.75" customHeight="1">
      <c r="A31" s="27"/>
      <c r="B31" s="27"/>
      <c r="C31" s="272"/>
      <c r="D31" s="27"/>
      <c r="E31" s="27"/>
      <c r="F31" s="27"/>
      <c r="G31" s="27"/>
      <c r="H31" s="28"/>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row>
    <row r="32" spans="1:62" ht="15.75" customHeight="1">
      <c r="A32" s="27"/>
      <c r="B32" s="27"/>
      <c r="C32" s="272"/>
      <c r="D32" s="27"/>
      <c r="E32" s="27"/>
      <c r="F32" s="27"/>
      <c r="G32" s="27"/>
      <c r="H32" s="28"/>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row>
    <row r="33" spans="1:62" ht="15.75" customHeight="1">
      <c r="A33" s="27"/>
      <c r="B33" s="27"/>
      <c r="C33" s="272"/>
      <c r="D33" s="27"/>
      <c r="E33" s="27"/>
      <c r="F33" s="27"/>
      <c r="G33" s="27"/>
      <c r="H33" s="28"/>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row>
    <row r="34" spans="1:62" ht="15.75" customHeight="1">
      <c r="A34" s="27"/>
      <c r="B34" s="27"/>
      <c r="C34" s="272"/>
      <c r="D34" s="27"/>
      <c r="E34" s="27"/>
      <c r="F34" s="27"/>
      <c r="G34" s="27"/>
      <c r="H34" s="28"/>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row>
    <row r="35" spans="1:62" ht="15.75" customHeight="1">
      <c r="A35" s="27"/>
      <c r="B35" s="27"/>
      <c r="C35" s="272"/>
      <c r="D35" s="27"/>
      <c r="E35" s="27"/>
      <c r="F35" s="27"/>
      <c r="G35" s="27"/>
      <c r="H35" s="28"/>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row>
    <row r="36" spans="1:62" ht="15.75" customHeight="1">
      <c r="A36" s="27"/>
      <c r="B36" s="27"/>
      <c r="C36" s="272"/>
      <c r="D36" s="27"/>
      <c r="E36" s="27"/>
      <c r="F36" s="27"/>
      <c r="G36" s="27"/>
      <c r="H36" s="28"/>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row>
    <row r="37" spans="1:62" ht="15.75" customHeight="1">
      <c r="A37" s="27"/>
      <c r="B37" s="27"/>
      <c r="C37" s="272"/>
      <c r="D37" s="27"/>
      <c r="E37" s="27"/>
      <c r="F37" s="27"/>
      <c r="G37" s="27"/>
      <c r="H37" s="28"/>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row>
    <row r="38" spans="1:62" ht="15.75" customHeight="1">
      <c r="A38" s="27"/>
      <c r="B38" s="27"/>
      <c r="C38" s="272"/>
      <c r="D38" s="27"/>
      <c r="E38" s="27"/>
      <c r="F38" s="27"/>
      <c r="G38" s="27"/>
      <c r="H38" s="28"/>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row>
    <row r="39" spans="1:62" ht="15.75" customHeight="1">
      <c r="A39" s="27"/>
      <c r="B39" s="27"/>
      <c r="C39" s="272"/>
      <c r="D39" s="27"/>
      <c r="E39" s="27"/>
      <c r="F39" s="27"/>
      <c r="G39" s="27"/>
      <c r="H39" s="28"/>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row>
    <row r="40" spans="1:62" ht="15.75" customHeight="1">
      <c r="A40" s="27"/>
      <c r="B40" s="27"/>
      <c r="C40" s="272"/>
      <c r="D40" s="27"/>
      <c r="E40" s="27"/>
      <c r="F40" s="27"/>
      <c r="G40" s="27"/>
      <c r="H40" s="28"/>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row>
    <row r="41" spans="1:62" ht="15.75" customHeight="1">
      <c r="A41" s="27"/>
      <c r="B41" s="27"/>
      <c r="C41" s="272"/>
      <c r="D41" s="27"/>
      <c r="E41" s="27"/>
      <c r="F41" s="27"/>
      <c r="G41" s="27"/>
      <c r="H41" s="28"/>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row>
    <row r="42" spans="1:62" ht="15.75" customHeight="1">
      <c r="A42" s="27"/>
      <c r="B42" s="27"/>
      <c r="C42" s="272"/>
      <c r="D42" s="27"/>
      <c r="E42" s="27"/>
      <c r="F42" s="27"/>
      <c r="G42" s="27"/>
      <c r="H42" s="28"/>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row>
    <row r="43" spans="1:62" ht="15.75" customHeight="1">
      <c r="A43" s="27"/>
      <c r="B43" s="27"/>
      <c r="C43" s="272"/>
      <c r="D43" s="27"/>
      <c r="E43" s="27"/>
      <c r="F43" s="27"/>
      <c r="G43" s="27"/>
      <c r="H43" s="28"/>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row>
    <row r="44" spans="1:62" ht="15.75" customHeight="1">
      <c r="A44" s="27"/>
      <c r="B44" s="27"/>
      <c r="C44" s="272"/>
      <c r="D44" s="27"/>
      <c r="E44" s="27"/>
      <c r="F44" s="27"/>
      <c r="G44" s="27"/>
      <c r="H44" s="28"/>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row>
    <row r="45" spans="1:62" ht="15.75" customHeight="1">
      <c r="A45" s="27"/>
      <c r="B45" s="27"/>
      <c r="C45" s="272"/>
      <c r="D45" s="27"/>
      <c r="E45" s="27"/>
      <c r="F45" s="27"/>
      <c r="G45" s="27"/>
      <c r="H45" s="28"/>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row>
    <row r="46" spans="1:62" ht="15.75" customHeight="1">
      <c r="A46" s="27"/>
      <c r="B46" s="27"/>
      <c r="C46" s="272"/>
      <c r="D46" s="27"/>
      <c r="E46" s="27"/>
      <c r="F46" s="27"/>
      <c r="G46" s="27"/>
      <c r="H46" s="28"/>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row>
    <row r="47" spans="1:62" ht="15.75" customHeight="1">
      <c r="A47" s="27"/>
      <c r="B47" s="27"/>
      <c r="C47" s="272"/>
      <c r="D47" s="27"/>
      <c r="E47" s="27"/>
      <c r="F47" s="27"/>
      <c r="G47" s="27"/>
      <c r="H47" s="28"/>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row>
    <row r="48" spans="1:62" ht="15.75" customHeight="1">
      <c r="A48" s="27"/>
      <c r="B48" s="27"/>
      <c r="C48" s="272"/>
      <c r="D48" s="27"/>
      <c r="E48" s="27"/>
      <c r="F48" s="27"/>
      <c r="G48" s="27"/>
      <c r="H48" s="28"/>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row>
    <row r="49" spans="1:62" ht="15.75" customHeight="1">
      <c r="A49" s="27"/>
      <c r="B49" s="27"/>
      <c r="C49" s="272"/>
      <c r="D49" s="27"/>
      <c r="E49" s="27"/>
      <c r="F49" s="27"/>
      <c r="G49" s="27"/>
      <c r="H49" s="28"/>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row>
    <row r="50" spans="1:62" ht="15.75" customHeight="1">
      <c r="A50" s="27"/>
      <c r="B50" s="27"/>
      <c r="C50" s="272"/>
      <c r="D50" s="27"/>
      <c r="E50" s="27"/>
      <c r="F50" s="27"/>
      <c r="G50" s="27"/>
      <c r="H50" s="28"/>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row>
    <row r="51" spans="1:62" ht="15.75" customHeight="1">
      <c r="A51" s="27"/>
      <c r="B51" s="27"/>
      <c r="C51" s="272"/>
      <c r="D51" s="27"/>
      <c r="E51" s="27"/>
      <c r="F51" s="27"/>
      <c r="G51" s="27"/>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row>
    <row r="52" spans="1:62" ht="15.75" customHeight="1">
      <c r="A52" s="27"/>
      <c r="B52" s="27"/>
      <c r="C52" s="272"/>
      <c r="D52" s="27"/>
      <c r="E52" s="27"/>
      <c r="F52" s="27"/>
      <c r="G52" s="27"/>
      <c r="H52" s="28"/>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row>
    <row r="53" spans="1:62" ht="15.75" customHeight="1">
      <c r="A53" s="27"/>
      <c r="B53" s="27"/>
      <c r="C53" s="272"/>
      <c r="D53" s="27"/>
      <c r="E53" s="27"/>
      <c r="F53" s="27"/>
      <c r="G53" s="27"/>
      <c r="H53" s="28"/>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row>
    <row r="54" spans="1:62" ht="15.75" customHeight="1">
      <c r="A54" s="27"/>
      <c r="B54" s="27"/>
      <c r="C54" s="272"/>
      <c r="D54" s="27"/>
      <c r="E54" s="27"/>
      <c r="F54" s="27"/>
      <c r="G54" s="27"/>
      <c r="H54" s="28"/>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row>
    <row r="55" spans="1:62" ht="15.75" customHeight="1">
      <c r="A55" s="27"/>
      <c r="B55" s="27"/>
      <c r="C55" s="272"/>
      <c r="D55" s="27"/>
      <c r="E55" s="27"/>
      <c r="F55" s="27"/>
      <c r="G55" s="27"/>
      <c r="H55" s="28"/>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row>
    <row r="56" spans="1:62" ht="15.75" customHeight="1">
      <c r="A56" s="27"/>
      <c r="B56" s="27"/>
      <c r="C56" s="272"/>
      <c r="D56" s="27"/>
      <c r="E56" s="27"/>
      <c r="F56" s="27"/>
      <c r="G56" s="27"/>
      <c r="H56" s="28"/>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row>
    <row r="57" spans="1:62" ht="15.75" customHeight="1">
      <c r="A57" s="27"/>
      <c r="B57" s="27"/>
      <c r="C57" s="272"/>
      <c r="D57" s="27"/>
      <c r="E57" s="27"/>
      <c r="F57" s="27"/>
      <c r="G57" s="27"/>
      <c r="H57" s="28"/>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row>
    <row r="58" spans="1:62" ht="15.75" customHeight="1">
      <c r="A58" s="27"/>
      <c r="B58" s="27"/>
      <c r="C58" s="272"/>
      <c r="D58" s="27"/>
      <c r="E58" s="27"/>
      <c r="F58" s="27"/>
      <c r="G58" s="27"/>
      <c r="H58" s="28"/>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row>
    <row r="59" spans="1:62" ht="15.75" customHeight="1">
      <c r="A59" s="27"/>
      <c r="B59" s="27"/>
      <c r="C59" s="272"/>
      <c r="D59" s="27"/>
      <c r="E59" s="27"/>
      <c r="F59" s="27"/>
      <c r="G59" s="27"/>
      <c r="H59" s="28"/>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row>
    <row r="60" spans="1:62" ht="15.75" customHeight="1">
      <c r="A60" s="27"/>
      <c r="B60" s="27"/>
      <c r="C60" s="272"/>
      <c r="D60" s="27"/>
      <c r="E60" s="27"/>
      <c r="F60" s="27"/>
      <c r="G60" s="27"/>
      <c r="H60" s="28"/>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row>
    <row r="61" spans="1:62" ht="15.75" customHeight="1">
      <c r="A61" s="27"/>
      <c r="B61" s="27"/>
      <c r="C61" s="272"/>
      <c r="D61" s="27"/>
      <c r="E61" s="27"/>
      <c r="F61" s="27"/>
      <c r="G61" s="27"/>
      <c r="H61" s="28"/>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row>
    <row r="62" spans="1:62" ht="15.75" customHeight="1">
      <c r="A62" s="27"/>
      <c r="B62" s="27"/>
      <c r="C62" s="272"/>
      <c r="D62" s="27"/>
      <c r="E62" s="27"/>
      <c r="F62" s="27"/>
      <c r="G62" s="27"/>
      <c r="H62" s="28"/>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row>
    <row r="63" spans="1:62" ht="15.75" customHeight="1">
      <c r="A63" s="27"/>
      <c r="B63" s="27"/>
      <c r="C63" s="272"/>
      <c r="D63" s="27"/>
      <c r="E63" s="27"/>
      <c r="F63" s="27"/>
      <c r="G63" s="27"/>
      <c r="H63" s="28"/>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row>
    <row r="64" spans="1:62" ht="15.75" customHeight="1">
      <c r="A64" s="27"/>
      <c r="B64" s="27"/>
      <c r="C64" s="272"/>
      <c r="D64" s="27"/>
      <c r="E64" s="27"/>
      <c r="F64" s="27"/>
      <c r="G64" s="27"/>
      <c r="H64" s="28"/>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row>
    <row r="65" spans="1:62" ht="15.75" customHeight="1">
      <c r="A65" s="27"/>
      <c r="B65" s="27"/>
      <c r="C65" s="272"/>
      <c r="D65" s="27"/>
      <c r="E65" s="27"/>
      <c r="F65" s="27"/>
      <c r="G65" s="27"/>
      <c r="H65" s="28"/>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row>
    <row r="66" spans="1:62" ht="15.75" customHeight="1">
      <c r="A66" s="27"/>
      <c r="B66" s="27"/>
      <c r="C66" s="272"/>
      <c r="D66" s="27"/>
      <c r="E66" s="27"/>
      <c r="F66" s="27"/>
      <c r="G66" s="27"/>
      <c r="H66" s="28"/>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row>
    <row r="67" spans="1:62" ht="15.75" customHeight="1">
      <c r="A67" s="27"/>
      <c r="B67" s="27"/>
      <c r="C67" s="272"/>
      <c r="D67" s="27"/>
      <c r="E67" s="27"/>
      <c r="F67" s="27"/>
      <c r="G67" s="27"/>
      <c r="H67" s="28"/>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1:62" ht="15.75" customHeight="1">
      <c r="A68" s="27"/>
      <c r="B68" s="27"/>
      <c r="C68" s="272"/>
      <c r="D68" s="27"/>
      <c r="E68" s="27"/>
      <c r="F68" s="27"/>
      <c r="G68" s="27"/>
      <c r="H68" s="28"/>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row>
    <row r="69" spans="1:62" ht="15.75" customHeight="1">
      <c r="A69" s="27"/>
      <c r="B69" s="27"/>
      <c r="C69" s="272"/>
      <c r="D69" s="27"/>
      <c r="E69" s="27"/>
      <c r="F69" s="27"/>
      <c r="G69" s="27"/>
      <c r="H69" s="28"/>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row>
    <row r="70" spans="1:62" ht="15.75" customHeight="1">
      <c r="A70" s="27"/>
      <c r="B70" s="27"/>
      <c r="C70" s="272"/>
      <c r="D70" s="27"/>
      <c r="E70" s="27"/>
      <c r="F70" s="27"/>
      <c r="G70" s="27"/>
      <c r="H70" s="28"/>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row>
    <row r="71" spans="1:62" ht="15.75" customHeight="1">
      <c r="A71" s="27"/>
      <c r="B71" s="27"/>
      <c r="C71" s="272"/>
      <c r="D71" s="27"/>
      <c r="E71" s="27"/>
      <c r="F71" s="27"/>
      <c r="G71" s="27"/>
      <c r="H71" s="28"/>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row>
    <row r="72" spans="1:62" ht="15.75" customHeight="1">
      <c r="A72" s="27"/>
      <c r="B72" s="27"/>
      <c r="C72" s="272"/>
      <c r="D72" s="27"/>
      <c r="E72" s="27"/>
      <c r="F72" s="27"/>
      <c r="G72" s="27"/>
      <c r="H72" s="28"/>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row>
    <row r="73" spans="1:62" ht="15.75" customHeight="1">
      <c r="A73" s="27"/>
      <c r="B73" s="27"/>
      <c r="C73" s="272"/>
      <c r="D73" s="27"/>
      <c r="E73" s="27"/>
      <c r="F73" s="27"/>
      <c r="G73" s="27"/>
      <c r="H73" s="28"/>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row>
    <row r="74" spans="1:62" ht="15.75" customHeight="1">
      <c r="A74" s="27"/>
      <c r="B74" s="27"/>
      <c r="C74" s="272"/>
      <c r="D74" s="27"/>
      <c r="E74" s="27"/>
      <c r="F74" s="27"/>
      <c r="G74" s="27"/>
      <c r="H74" s="28"/>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row>
    <row r="75" spans="1:62" ht="15.75" customHeight="1">
      <c r="A75" s="27"/>
      <c r="B75" s="27"/>
      <c r="C75" s="272"/>
      <c r="D75" s="27"/>
      <c r="E75" s="27"/>
      <c r="F75" s="27"/>
      <c r="G75" s="27"/>
      <c r="H75" s="28"/>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row>
    <row r="76" spans="1:62" ht="15.75" customHeight="1">
      <c r="A76" s="27"/>
      <c r="B76" s="27"/>
      <c r="C76" s="272"/>
      <c r="D76" s="27"/>
      <c r="E76" s="27"/>
      <c r="F76" s="27"/>
      <c r="G76" s="27"/>
      <c r="H76" s="28"/>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row>
    <row r="77" spans="1:62" ht="15.75" customHeight="1">
      <c r="A77" s="27"/>
      <c r="B77" s="27"/>
      <c r="C77" s="272"/>
      <c r="D77" s="27"/>
      <c r="E77" s="27"/>
      <c r="F77" s="27"/>
      <c r="G77" s="27"/>
      <c r="H77" s="28"/>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row>
    <row r="78" spans="1:62" ht="15.75" customHeight="1">
      <c r="A78" s="27"/>
      <c r="B78" s="27"/>
      <c r="C78" s="272"/>
      <c r="D78" s="27"/>
      <c r="E78" s="27"/>
      <c r="F78" s="27"/>
      <c r="G78" s="27"/>
      <c r="H78" s="28"/>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row>
    <row r="79" spans="1:62" ht="15.75" customHeight="1">
      <c r="A79" s="27"/>
      <c r="B79" s="27"/>
      <c r="C79" s="272"/>
      <c r="D79" s="27"/>
      <c r="E79" s="27"/>
      <c r="F79" s="27"/>
      <c r="G79" s="27"/>
      <c r="H79" s="28"/>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row>
    <row r="80" spans="1:62" ht="15.75" customHeight="1">
      <c r="A80" s="27"/>
      <c r="B80" s="27"/>
      <c r="C80" s="272"/>
      <c r="D80" s="27"/>
      <c r="E80" s="27"/>
      <c r="F80" s="27"/>
      <c r="G80" s="27"/>
      <c r="H80" s="28"/>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row>
    <row r="81" spans="1:62" ht="15.75" customHeight="1">
      <c r="A81" s="27"/>
      <c r="B81" s="27"/>
      <c r="C81" s="272"/>
      <c r="D81" s="27"/>
      <c r="E81" s="27"/>
      <c r="F81" s="27"/>
      <c r="G81" s="27"/>
      <c r="H81" s="28"/>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row>
    <row r="82" spans="1:62" ht="15.75" customHeight="1">
      <c r="A82" s="27"/>
      <c r="B82" s="27"/>
      <c r="C82" s="272"/>
      <c r="D82" s="27"/>
      <c r="E82" s="27"/>
      <c r="F82" s="27"/>
      <c r="G82" s="27"/>
      <c r="H82" s="28"/>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row>
    <row r="83" spans="1:62" ht="15.75" customHeight="1">
      <c r="A83" s="27"/>
      <c r="B83" s="27"/>
      <c r="C83" s="272"/>
      <c r="D83" s="27"/>
      <c r="E83" s="27"/>
      <c r="F83" s="27"/>
      <c r="G83" s="27"/>
      <c r="H83" s="28"/>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row>
    <row r="84" spans="1:62" ht="15.75" customHeight="1">
      <c r="A84" s="27"/>
      <c r="B84" s="27"/>
      <c r="C84" s="272"/>
      <c r="D84" s="27"/>
      <c r="E84" s="27"/>
      <c r="F84" s="27"/>
      <c r="G84" s="27"/>
      <c r="H84" s="28"/>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row>
    <row r="85" spans="1:62" ht="15.75" customHeight="1">
      <c r="A85" s="27"/>
      <c r="B85" s="27"/>
      <c r="C85" s="272"/>
      <c r="D85" s="27"/>
      <c r="E85" s="27"/>
      <c r="F85" s="27"/>
      <c r="G85" s="27"/>
      <c r="H85" s="28"/>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row>
    <row r="86" spans="1:62" ht="15.75" customHeight="1">
      <c r="A86" s="27"/>
      <c r="B86" s="27"/>
      <c r="C86" s="272"/>
      <c r="D86" s="27"/>
      <c r="E86" s="27"/>
      <c r="F86" s="27"/>
      <c r="G86" s="27"/>
      <c r="H86" s="28"/>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row>
    <row r="87" spans="1:62" ht="15.75" customHeight="1">
      <c r="A87" s="27"/>
      <c r="B87" s="27"/>
      <c r="C87" s="272"/>
      <c r="D87" s="27"/>
      <c r="E87" s="27"/>
      <c r="F87" s="27"/>
      <c r="G87" s="27"/>
      <c r="H87" s="28"/>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row>
    <row r="88" spans="1:62" ht="15.75" customHeight="1">
      <c r="A88" s="27"/>
      <c r="B88" s="27"/>
      <c r="C88" s="272"/>
      <c r="D88" s="27"/>
      <c r="E88" s="27"/>
      <c r="F88" s="27"/>
      <c r="G88" s="27"/>
      <c r="H88" s="28"/>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row>
    <row r="89" spans="1:62" ht="15.75" customHeight="1">
      <c r="A89" s="27"/>
      <c r="B89" s="27"/>
      <c r="C89" s="272"/>
      <c r="D89" s="27"/>
      <c r="E89" s="27"/>
      <c r="F89" s="27"/>
      <c r="G89" s="27"/>
      <c r="H89" s="28"/>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row>
    <row r="90" spans="1:62" ht="15.75" customHeight="1">
      <c r="A90" s="27"/>
      <c r="B90" s="27"/>
      <c r="C90" s="272"/>
      <c r="D90" s="27"/>
      <c r="E90" s="27"/>
      <c r="F90" s="27"/>
      <c r="G90" s="27"/>
      <c r="H90" s="28"/>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row>
    <row r="91" spans="1:62" ht="15.75" customHeight="1">
      <c r="A91" s="27"/>
      <c r="B91" s="27"/>
      <c r="C91" s="272"/>
      <c r="D91" s="27"/>
      <c r="E91" s="27"/>
      <c r="F91" s="27"/>
      <c r="G91" s="27"/>
      <c r="H91" s="28"/>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row>
    <row r="92" spans="1:62" ht="15.75" customHeight="1">
      <c r="A92" s="27"/>
      <c r="B92" s="27"/>
      <c r="C92" s="272"/>
      <c r="D92" s="27"/>
      <c r="E92" s="27"/>
      <c r="F92" s="27"/>
      <c r="G92" s="27"/>
      <c r="H92" s="28"/>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row>
    <row r="93" spans="1:62" ht="15.75" customHeight="1">
      <c r="A93" s="27"/>
      <c r="B93" s="27"/>
      <c r="C93" s="272"/>
      <c r="D93" s="27"/>
      <c r="E93" s="27"/>
      <c r="F93" s="27"/>
      <c r="G93" s="27"/>
      <c r="H93" s="28"/>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row>
    <row r="94" spans="1:62" ht="15.75" customHeight="1">
      <c r="A94" s="27"/>
      <c r="B94" s="27"/>
      <c r="C94" s="272"/>
      <c r="D94" s="27"/>
      <c r="E94" s="27"/>
      <c r="F94" s="27"/>
      <c r="G94" s="27"/>
      <c r="H94" s="28"/>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row>
    <row r="95" spans="1:62" ht="15.75" customHeight="1">
      <c r="A95" s="27"/>
      <c r="B95" s="27"/>
      <c r="C95" s="272"/>
      <c r="D95" s="27"/>
      <c r="E95" s="27"/>
      <c r="F95" s="27"/>
      <c r="G95" s="27"/>
      <c r="H95" s="28"/>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row>
    <row r="96" spans="1:62" ht="15.75" customHeight="1">
      <c r="A96" s="27"/>
      <c r="B96" s="27"/>
      <c r="C96" s="272"/>
      <c r="D96" s="27"/>
      <c r="E96" s="27"/>
      <c r="F96" s="27"/>
      <c r="G96" s="27"/>
      <c r="H96" s="28"/>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row>
    <row r="97" spans="1:62" ht="15.75" customHeight="1">
      <c r="A97" s="27"/>
      <c r="B97" s="27"/>
      <c r="C97" s="272"/>
      <c r="D97" s="27"/>
      <c r="E97" s="27"/>
      <c r="F97" s="27"/>
      <c r="G97" s="27"/>
      <c r="H97" s="28"/>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2" ht="15.75" customHeight="1">
      <c r="A98" s="27"/>
      <c r="B98" s="27"/>
      <c r="C98" s="272"/>
      <c r="D98" s="27"/>
      <c r="E98" s="27"/>
      <c r="F98" s="27"/>
      <c r="G98" s="27"/>
      <c r="H98" s="28"/>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2" ht="15.75" customHeight="1">
      <c r="A99" s="27"/>
      <c r="B99" s="27"/>
      <c r="C99" s="272"/>
      <c r="D99" s="27"/>
      <c r="E99" s="27"/>
      <c r="F99" s="27"/>
      <c r="G99" s="27"/>
      <c r="H99" s="28"/>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2" ht="15.75" customHeight="1">
      <c r="A100" s="27"/>
      <c r="B100" s="27"/>
      <c r="C100" s="272"/>
      <c r="D100" s="27"/>
      <c r="E100" s="27"/>
      <c r="F100" s="27"/>
      <c r="G100" s="27"/>
      <c r="H100" s="28"/>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row>
    <row r="101" spans="1:62" ht="15.75" customHeight="1">
      <c r="C101" s="273"/>
    </row>
    <row r="102" spans="1:62" ht="15.75" customHeight="1">
      <c r="C102" s="273"/>
    </row>
    <row r="103" spans="1:62" ht="15.75" customHeight="1">
      <c r="C103" s="273"/>
    </row>
    <row r="104" spans="1:62" ht="15.75" customHeight="1">
      <c r="C104" s="273"/>
    </row>
    <row r="105" spans="1:62" ht="15.75" customHeight="1">
      <c r="C105" s="273"/>
    </row>
    <row r="106" spans="1:62" ht="15.75" customHeight="1">
      <c r="C106" s="273"/>
    </row>
    <row r="107" spans="1:62" ht="15.75" customHeight="1">
      <c r="C107" s="273"/>
    </row>
    <row r="108" spans="1:62" ht="15.75" customHeight="1">
      <c r="C108" s="273"/>
    </row>
    <row r="109" spans="1:62" ht="15.75" customHeight="1">
      <c r="C109" s="273"/>
    </row>
    <row r="110" spans="1:62" ht="15.75" customHeight="1">
      <c r="C110" s="273"/>
    </row>
    <row r="111" spans="1:62" ht="15.75" customHeight="1">
      <c r="C111" s="273"/>
    </row>
    <row r="112" spans="1:62" ht="15.75" customHeight="1">
      <c r="C112" s="273"/>
    </row>
    <row r="113" spans="3:3" ht="15.75" customHeight="1">
      <c r="C113" s="273"/>
    </row>
    <row r="114" spans="3:3" ht="15.75" customHeight="1">
      <c r="C114" s="273"/>
    </row>
    <row r="115" spans="3:3" ht="15.75" customHeight="1">
      <c r="C115" s="273"/>
    </row>
    <row r="116" spans="3:3" ht="15.75" customHeight="1">
      <c r="C116" s="273"/>
    </row>
    <row r="117" spans="3:3" ht="15.75" customHeight="1">
      <c r="C117" s="273"/>
    </row>
    <row r="118" spans="3:3" ht="15.75" customHeight="1">
      <c r="C118" s="273"/>
    </row>
    <row r="119" spans="3:3" ht="15.75" customHeight="1">
      <c r="C119" s="273"/>
    </row>
    <row r="120" spans="3:3" ht="15.75" customHeight="1">
      <c r="C120" s="273"/>
    </row>
    <row r="121" spans="3:3" ht="15.75" customHeight="1">
      <c r="C121" s="273"/>
    </row>
    <row r="122" spans="3:3" ht="15.75" customHeight="1">
      <c r="C122" s="273"/>
    </row>
    <row r="123" spans="3:3" ht="15.75" customHeight="1">
      <c r="C123" s="273"/>
    </row>
    <row r="124" spans="3:3" ht="15.75" customHeight="1">
      <c r="C124" s="273"/>
    </row>
    <row r="125" spans="3:3" ht="15.75" customHeight="1">
      <c r="C125" s="273"/>
    </row>
    <row r="126" spans="3:3" ht="15.75" customHeight="1">
      <c r="C126" s="273"/>
    </row>
    <row r="127" spans="3:3" ht="15.75" customHeight="1">
      <c r="C127" s="273"/>
    </row>
    <row r="128" spans="3:3" ht="15.75" customHeight="1">
      <c r="C128" s="273"/>
    </row>
    <row r="129" spans="3:3" ht="15.75" customHeight="1">
      <c r="C129" s="273"/>
    </row>
    <row r="130" spans="3:3" ht="15.75" customHeight="1">
      <c r="C130" s="273"/>
    </row>
    <row r="131" spans="3:3" ht="15.75" customHeight="1">
      <c r="C131" s="273"/>
    </row>
    <row r="132" spans="3:3" ht="15.75" customHeight="1">
      <c r="C132" s="273"/>
    </row>
    <row r="133" spans="3:3" ht="15.75" customHeight="1">
      <c r="C133" s="273"/>
    </row>
    <row r="134" spans="3:3" ht="15.75" customHeight="1">
      <c r="C134" s="273"/>
    </row>
    <row r="135" spans="3:3" ht="15.75" customHeight="1">
      <c r="C135" s="273"/>
    </row>
    <row r="136" spans="3:3" ht="15.75" customHeight="1">
      <c r="C136" s="273"/>
    </row>
    <row r="137" spans="3:3" ht="15.75" customHeight="1">
      <c r="C137" s="273"/>
    </row>
    <row r="138" spans="3:3" ht="15.75" customHeight="1">
      <c r="C138" s="273"/>
    </row>
    <row r="139" spans="3:3" ht="15.75" customHeight="1">
      <c r="C139" s="273"/>
    </row>
    <row r="140" spans="3:3" ht="15.75" customHeight="1">
      <c r="C140" s="273"/>
    </row>
    <row r="141" spans="3:3" ht="15.75" customHeight="1">
      <c r="C141" s="273"/>
    </row>
    <row r="142" spans="3:3" ht="15.75" customHeight="1">
      <c r="C142" s="273"/>
    </row>
    <row r="143" spans="3:3" ht="15.75" customHeight="1">
      <c r="C143" s="273"/>
    </row>
    <row r="144" spans="3:3" ht="15.75" customHeight="1">
      <c r="C144" s="273"/>
    </row>
    <row r="145" spans="3:3" ht="15.75" customHeight="1">
      <c r="C145" s="273"/>
    </row>
    <row r="146" spans="3:3" ht="15.75" customHeight="1">
      <c r="C146" s="273"/>
    </row>
    <row r="147" spans="3:3" ht="15.75" customHeight="1">
      <c r="C147" s="273"/>
    </row>
    <row r="148" spans="3:3" ht="15.75" customHeight="1">
      <c r="C148" s="273"/>
    </row>
    <row r="149" spans="3:3" ht="15.75" customHeight="1">
      <c r="C149" s="273"/>
    </row>
    <row r="150" spans="3:3" ht="15.75" customHeight="1">
      <c r="C150" s="273"/>
    </row>
    <row r="151" spans="3:3" ht="15.75" customHeight="1">
      <c r="C151" s="273"/>
    </row>
    <row r="152" spans="3:3" ht="15.75" customHeight="1">
      <c r="C152" s="273"/>
    </row>
    <row r="153" spans="3:3" ht="15.75" customHeight="1">
      <c r="C153" s="273"/>
    </row>
    <row r="154" spans="3:3" ht="15.75" customHeight="1">
      <c r="C154" s="273"/>
    </row>
    <row r="155" spans="3:3" ht="15.75" customHeight="1">
      <c r="C155" s="273"/>
    </row>
    <row r="156" spans="3:3" ht="15.75" customHeight="1">
      <c r="C156" s="273"/>
    </row>
    <row r="157" spans="3:3" ht="15.75" customHeight="1">
      <c r="C157" s="273"/>
    </row>
    <row r="158" spans="3:3" ht="15.75" customHeight="1">
      <c r="C158" s="273"/>
    </row>
    <row r="159" spans="3:3" ht="15.75" customHeight="1">
      <c r="C159" s="273"/>
    </row>
    <row r="160" spans="3:3" ht="15.75" customHeight="1">
      <c r="C160" s="273"/>
    </row>
    <row r="161" spans="3:3" ht="15.75" customHeight="1">
      <c r="C161" s="273"/>
    </row>
    <row r="162" spans="3:3" ht="15.75" customHeight="1">
      <c r="C162" s="273"/>
    </row>
    <row r="163" spans="3:3" ht="15.75" customHeight="1">
      <c r="C163" s="273"/>
    </row>
    <row r="164" spans="3:3" ht="15.75" customHeight="1">
      <c r="C164" s="273"/>
    </row>
    <row r="165" spans="3:3" ht="15.75" customHeight="1">
      <c r="C165" s="273"/>
    </row>
    <row r="166" spans="3:3" ht="15.75" customHeight="1">
      <c r="C166" s="273"/>
    </row>
    <row r="167" spans="3:3" ht="15.75" customHeight="1">
      <c r="C167" s="273"/>
    </row>
    <row r="168" spans="3:3" ht="15.75" customHeight="1">
      <c r="C168" s="273"/>
    </row>
    <row r="169" spans="3:3" ht="15.75" customHeight="1">
      <c r="C169" s="273"/>
    </row>
    <row r="170" spans="3:3" ht="15.75" customHeight="1">
      <c r="C170" s="273"/>
    </row>
    <row r="171" spans="3:3" ht="15.75" customHeight="1">
      <c r="C171" s="273"/>
    </row>
    <row r="172" spans="3:3" ht="15.75" customHeight="1">
      <c r="C172" s="273"/>
    </row>
    <row r="173" spans="3:3" ht="15.75" customHeight="1">
      <c r="C173" s="273"/>
    </row>
    <row r="174" spans="3:3" ht="15.75" customHeight="1">
      <c r="C174" s="273"/>
    </row>
    <row r="175" spans="3:3" ht="15.75" customHeight="1">
      <c r="C175" s="273"/>
    </row>
    <row r="176" spans="3:3" ht="15.75" customHeight="1">
      <c r="C176" s="273"/>
    </row>
    <row r="177" spans="3:3" ht="15.75" customHeight="1">
      <c r="C177" s="273"/>
    </row>
    <row r="178" spans="3:3" ht="15.75" customHeight="1">
      <c r="C178" s="273"/>
    </row>
    <row r="179" spans="3:3" ht="15.75" customHeight="1">
      <c r="C179" s="273"/>
    </row>
    <row r="180" spans="3:3" ht="15.75" customHeight="1">
      <c r="C180" s="273"/>
    </row>
    <row r="181" spans="3:3" ht="15.75" customHeight="1">
      <c r="C181" s="273"/>
    </row>
    <row r="182" spans="3:3" ht="15.75" customHeight="1">
      <c r="C182" s="273"/>
    </row>
    <row r="183" spans="3:3" ht="15.75" customHeight="1">
      <c r="C183" s="273"/>
    </row>
    <row r="184" spans="3:3" ht="15.75" customHeight="1">
      <c r="C184" s="273"/>
    </row>
    <row r="185" spans="3:3" ht="15.75" customHeight="1">
      <c r="C185" s="273"/>
    </row>
    <row r="186" spans="3:3" ht="15.75" customHeight="1">
      <c r="C186" s="273"/>
    </row>
    <row r="187" spans="3:3" ht="15.75" customHeight="1">
      <c r="C187" s="273"/>
    </row>
    <row r="188" spans="3:3" ht="15.75" customHeight="1">
      <c r="C188" s="273"/>
    </row>
    <row r="189" spans="3:3" ht="15.75" customHeight="1">
      <c r="C189" s="273"/>
    </row>
    <row r="190" spans="3:3" ht="15.75" customHeight="1">
      <c r="C190" s="273"/>
    </row>
    <row r="191" spans="3:3" ht="15.75" customHeight="1">
      <c r="C191" s="273"/>
    </row>
    <row r="192" spans="3:3" ht="15.75" customHeight="1">
      <c r="C192" s="273"/>
    </row>
    <row r="193" spans="3:3" ht="15.75" customHeight="1">
      <c r="C193" s="273"/>
    </row>
    <row r="194" spans="3:3" ht="15.75" customHeight="1">
      <c r="C194" s="273"/>
    </row>
    <row r="195" spans="3:3" ht="15.75" customHeight="1">
      <c r="C195" s="273"/>
    </row>
    <row r="196" spans="3:3" ht="15.75" customHeight="1">
      <c r="C196" s="273"/>
    </row>
    <row r="197" spans="3:3" ht="15.75" customHeight="1">
      <c r="C197" s="273"/>
    </row>
    <row r="198" spans="3:3" ht="15.75" customHeight="1">
      <c r="C198" s="273"/>
    </row>
    <row r="199" spans="3:3" ht="15.75" customHeight="1">
      <c r="C199" s="273"/>
    </row>
    <row r="200" spans="3:3" ht="15.75" customHeight="1">
      <c r="C200" s="273"/>
    </row>
    <row r="201" spans="3:3" ht="15.75" customHeight="1">
      <c r="C201" s="273"/>
    </row>
    <row r="202" spans="3:3" ht="15.75" customHeight="1">
      <c r="C202" s="273"/>
    </row>
    <row r="203" spans="3:3" ht="15.75" customHeight="1">
      <c r="C203" s="273"/>
    </row>
    <row r="204" spans="3:3" ht="15.75" customHeight="1">
      <c r="C204" s="273"/>
    </row>
    <row r="205" spans="3:3" ht="15.75" customHeight="1">
      <c r="C205" s="273"/>
    </row>
    <row r="206" spans="3:3" ht="15.75" customHeight="1">
      <c r="C206" s="273"/>
    </row>
    <row r="207" spans="3:3" ht="15.75" customHeight="1">
      <c r="C207" s="273"/>
    </row>
    <row r="208" spans="3:3" ht="15.75" customHeight="1">
      <c r="C208" s="273"/>
    </row>
    <row r="209" spans="3:3" ht="15.75" customHeight="1">
      <c r="C209" s="273"/>
    </row>
    <row r="210" spans="3:3" ht="15.75" customHeight="1">
      <c r="C210" s="273"/>
    </row>
    <row r="211" spans="3:3" ht="15.75" customHeight="1">
      <c r="C211" s="273"/>
    </row>
    <row r="212" spans="3:3" ht="15.75" customHeight="1">
      <c r="C212" s="273"/>
    </row>
    <row r="213" spans="3:3" ht="15.75" customHeight="1">
      <c r="C213" s="273"/>
    </row>
    <row r="214" spans="3:3" ht="15.75" customHeight="1">
      <c r="C214" s="273"/>
    </row>
    <row r="215" spans="3:3" ht="15.75" customHeight="1">
      <c r="C215" s="273"/>
    </row>
    <row r="216" spans="3:3" ht="15.75" customHeight="1">
      <c r="C216" s="273"/>
    </row>
    <row r="217" spans="3:3" ht="15.75" customHeight="1">
      <c r="C217" s="273"/>
    </row>
    <row r="218" spans="3:3" ht="15.75" customHeight="1">
      <c r="C218" s="273"/>
    </row>
    <row r="219" spans="3:3" ht="15.75" customHeight="1">
      <c r="C219" s="273"/>
    </row>
    <row r="220" spans="3:3" ht="15.75" customHeight="1">
      <c r="C220" s="273"/>
    </row>
    <row r="221" spans="3:3" ht="15.75" customHeight="1">
      <c r="C221" s="273"/>
    </row>
    <row r="222" spans="3:3" ht="15.75" customHeight="1">
      <c r="C222" s="273"/>
    </row>
    <row r="223" spans="3:3" ht="15.75" customHeight="1">
      <c r="C223" s="273"/>
    </row>
    <row r="224" spans="3:3" ht="15.75" customHeight="1">
      <c r="C224" s="273"/>
    </row>
    <row r="225" spans="3:3" ht="15.75" customHeight="1">
      <c r="C225" s="273"/>
    </row>
    <row r="226" spans="3:3" ht="15.75" customHeight="1">
      <c r="C226" s="273"/>
    </row>
    <row r="227" spans="3:3" ht="15.75" customHeight="1">
      <c r="C227" s="273"/>
    </row>
    <row r="228" spans="3:3" ht="15.75" customHeight="1">
      <c r="C228" s="273"/>
    </row>
    <row r="229" spans="3:3" ht="15.75" customHeight="1">
      <c r="C229" s="273"/>
    </row>
    <row r="230" spans="3:3" ht="15.75" customHeight="1">
      <c r="C230" s="273"/>
    </row>
    <row r="231" spans="3:3" ht="15.75" customHeight="1">
      <c r="C231" s="273"/>
    </row>
    <row r="232" spans="3:3" ht="15.75" customHeight="1">
      <c r="C232" s="273"/>
    </row>
    <row r="233" spans="3:3" ht="15.75" customHeight="1">
      <c r="C233" s="273"/>
    </row>
    <row r="234" spans="3:3" ht="15.75" customHeight="1">
      <c r="C234" s="273"/>
    </row>
    <row r="235" spans="3:3" ht="15.75" customHeight="1">
      <c r="C235" s="273"/>
    </row>
    <row r="236" spans="3:3" ht="15.75" customHeight="1">
      <c r="C236" s="273"/>
    </row>
    <row r="237" spans="3:3" ht="15.75" customHeight="1">
      <c r="C237" s="273"/>
    </row>
    <row r="238" spans="3:3" ht="15.75" customHeight="1">
      <c r="C238" s="273"/>
    </row>
    <row r="239" spans="3:3" ht="15.75" customHeight="1">
      <c r="C239" s="273"/>
    </row>
    <row r="240" spans="3:3" ht="15.75" customHeight="1">
      <c r="C240" s="273"/>
    </row>
    <row r="241" spans="3:3" ht="15.75" customHeight="1">
      <c r="C241" s="273"/>
    </row>
    <row r="242" spans="3:3" ht="15.75" customHeight="1">
      <c r="C242" s="273"/>
    </row>
    <row r="243" spans="3:3" ht="15.75" customHeight="1">
      <c r="C243" s="273"/>
    </row>
    <row r="244" spans="3:3" ht="15.75" customHeight="1">
      <c r="C244" s="273"/>
    </row>
    <row r="245" spans="3:3" ht="15.75" customHeight="1">
      <c r="C245" s="273"/>
    </row>
    <row r="246" spans="3:3" ht="15.75" customHeight="1">
      <c r="C246" s="273"/>
    </row>
    <row r="247" spans="3:3" ht="15.75" customHeight="1">
      <c r="C247" s="273"/>
    </row>
    <row r="248" spans="3:3" ht="15.75" customHeight="1">
      <c r="C248" s="273"/>
    </row>
    <row r="249" spans="3:3" ht="15.75" customHeight="1">
      <c r="C249" s="273"/>
    </row>
    <row r="250" spans="3:3" ht="15.75" customHeight="1">
      <c r="C250" s="273"/>
    </row>
    <row r="251" spans="3:3" ht="15.75" customHeight="1">
      <c r="C251" s="273"/>
    </row>
    <row r="252" spans="3:3" ht="15.75" customHeight="1">
      <c r="C252" s="273"/>
    </row>
    <row r="253" spans="3:3" ht="15.75" customHeight="1">
      <c r="C253" s="273"/>
    </row>
    <row r="254" spans="3:3" ht="15.75" customHeight="1">
      <c r="C254" s="273"/>
    </row>
    <row r="255" spans="3:3" ht="15.75" customHeight="1">
      <c r="C255" s="273"/>
    </row>
    <row r="256" spans="3:3" ht="15.75" customHeight="1">
      <c r="C256" s="273"/>
    </row>
    <row r="257" spans="3:3" ht="15.75" customHeight="1">
      <c r="C257" s="273"/>
    </row>
    <row r="258" spans="3:3" ht="15.75" customHeight="1">
      <c r="C258" s="273"/>
    </row>
    <row r="259" spans="3:3" ht="15.75" customHeight="1">
      <c r="C259" s="273"/>
    </row>
    <row r="260" spans="3:3" ht="15.75" customHeight="1">
      <c r="C260" s="273"/>
    </row>
    <row r="261" spans="3:3" ht="15.75" customHeight="1">
      <c r="C261" s="273"/>
    </row>
    <row r="262" spans="3:3" ht="15.75" customHeight="1">
      <c r="C262" s="273"/>
    </row>
    <row r="263" spans="3:3" ht="15.75" customHeight="1">
      <c r="C263" s="273"/>
    </row>
    <row r="264" spans="3:3" ht="15.75" customHeight="1">
      <c r="C264" s="273"/>
    </row>
    <row r="265" spans="3:3" ht="15.75" customHeight="1">
      <c r="C265" s="273"/>
    </row>
    <row r="266" spans="3:3" ht="15.75" customHeight="1">
      <c r="C266" s="273"/>
    </row>
    <row r="267" spans="3:3" ht="15.75" customHeight="1">
      <c r="C267" s="273"/>
    </row>
    <row r="268" spans="3:3" ht="15.75" customHeight="1">
      <c r="C268" s="273"/>
    </row>
    <row r="269" spans="3:3" ht="15.75" customHeight="1">
      <c r="C269" s="273"/>
    </row>
    <row r="270" spans="3:3" ht="15.75" customHeight="1">
      <c r="C270" s="273"/>
    </row>
    <row r="271" spans="3:3" ht="15.75" customHeight="1">
      <c r="C271" s="273"/>
    </row>
    <row r="272" spans="3:3" ht="15.75" customHeight="1">
      <c r="C272" s="273"/>
    </row>
    <row r="273" spans="3:3" ht="15.75" customHeight="1">
      <c r="C273" s="273"/>
    </row>
    <row r="274" spans="3:3" ht="15.75" customHeight="1">
      <c r="C274" s="273"/>
    </row>
    <row r="275" spans="3:3" ht="15.75" customHeight="1">
      <c r="C275" s="273"/>
    </row>
    <row r="276" spans="3:3" ht="15.75" customHeight="1">
      <c r="C276" s="273"/>
    </row>
    <row r="277" spans="3:3" ht="15.75" customHeight="1">
      <c r="C277" s="273"/>
    </row>
    <row r="278" spans="3:3" ht="15.75" customHeight="1">
      <c r="C278" s="273"/>
    </row>
    <row r="279" spans="3:3" ht="15.75" customHeight="1">
      <c r="C279" s="273"/>
    </row>
    <row r="280" spans="3:3" ht="15.75" customHeight="1">
      <c r="C280" s="273"/>
    </row>
    <row r="281" spans="3:3" ht="15.75" customHeight="1">
      <c r="C281" s="273"/>
    </row>
    <row r="282" spans="3:3" ht="15.75" customHeight="1">
      <c r="C282" s="273"/>
    </row>
    <row r="283" spans="3:3" ht="15.75" customHeight="1">
      <c r="C283" s="273"/>
    </row>
    <row r="284" spans="3:3" ht="15.75" customHeight="1">
      <c r="C284" s="273"/>
    </row>
    <row r="285" spans="3:3" ht="15.75" customHeight="1">
      <c r="C285" s="273"/>
    </row>
    <row r="286" spans="3:3" ht="15.75" customHeight="1">
      <c r="C286" s="273"/>
    </row>
    <row r="287" spans="3:3" ht="15.75" customHeight="1">
      <c r="C287" s="273"/>
    </row>
    <row r="288" spans="3:3" ht="15.75" customHeight="1">
      <c r="C288" s="273"/>
    </row>
    <row r="289" spans="3:3" ht="15.75" customHeight="1">
      <c r="C289" s="273"/>
    </row>
    <row r="290" spans="3:3" ht="15.75" customHeight="1">
      <c r="C290" s="273"/>
    </row>
    <row r="291" spans="3:3" ht="15.75" customHeight="1">
      <c r="C291" s="273"/>
    </row>
    <row r="292" spans="3:3" ht="15.75" customHeight="1">
      <c r="C292" s="273"/>
    </row>
    <row r="293" spans="3:3" ht="15.75" customHeight="1">
      <c r="C293" s="273"/>
    </row>
    <row r="294" spans="3:3" ht="15.75" customHeight="1">
      <c r="C294" s="273"/>
    </row>
    <row r="295" spans="3:3" ht="15.75" customHeight="1">
      <c r="C295" s="273"/>
    </row>
    <row r="296" spans="3:3" ht="15.75" customHeight="1">
      <c r="C296" s="273"/>
    </row>
    <row r="297" spans="3:3" ht="15.75" customHeight="1">
      <c r="C297" s="273"/>
    </row>
    <row r="298" spans="3:3" ht="15.75" customHeight="1">
      <c r="C298" s="273"/>
    </row>
    <row r="299" spans="3:3" ht="15.75" customHeight="1">
      <c r="C299" s="273"/>
    </row>
    <row r="300" spans="3:3" ht="15.75" customHeight="1">
      <c r="C300" s="273"/>
    </row>
    <row r="301" spans="3:3" ht="15.75" customHeight="1">
      <c r="C301" s="273"/>
    </row>
    <row r="302" spans="3:3" ht="15.75" customHeight="1">
      <c r="C302" s="273"/>
    </row>
    <row r="303" spans="3:3" ht="15.75" customHeight="1">
      <c r="C303" s="273"/>
    </row>
    <row r="304" spans="3:3" ht="15.75" customHeight="1">
      <c r="C304" s="273"/>
    </row>
    <row r="305" spans="3:3" ht="15.75" customHeight="1">
      <c r="C305" s="273"/>
    </row>
    <row r="306" spans="3:3" ht="15.75" customHeight="1">
      <c r="C306" s="273"/>
    </row>
    <row r="307" spans="3:3" ht="15.75" customHeight="1">
      <c r="C307" s="273"/>
    </row>
    <row r="308" spans="3:3" ht="15.75" customHeight="1">
      <c r="C308" s="273"/>
    </row>
    <row r="309" spans="3:3" ht="15.75" customHeight="1">
      <c r="C309" s="273"/>
    </row>
    <row r="310" spans="3:3" ht="15.75" customHeight="1">
      <c r="C310" s="273"/>
    </row>
    <row r="311" spans="3:3" ht="15.75" customHeight="1">
      <c r="C311" s="273"/>
    </row>
    <row r="312" spans="3:3" ht="15.75" customHeight="1">
      <c r="C312" s="273"/>
    </row>
    <row r="313" spans="3:3" ht="15.75" customHeight="1">
      <c r="C313" s="273"/>
    </row>
    <row r="314" spans="3:3" ht="15.75" customHeight="1">
      <c r="C314" s="273"/>
    </row>
    <row r="315" spans="3:3" ht="15.75" customHeight="1">
      <c r="C315" s="273"/>
    </row>
    <row r="316" spans="3:3" ht="15.75" customHeight="1">
      <c r="C316" s="273"/>
    </row>
    <row r="317" spans="3:3" ht="15.75" customHeight="1">
      <c r="C317" s="273"/>
    </row>
    <row r="318" spans="3:3" ht="15.75" customHeight="1">
      <c r="C318" s="273"/>
    </row>
    <row r="319" spans="3:3" ht="15.75" customHeight="1">
      <c r="C319" s="273"/>
    </row>
    <row r="320" spans="3:3" ht="15.75" customHeight="1">
      <c r="C320" s="273"/>
    </row>
    <row r="321" spans="3:3" ht="15.75" customHeight="1">
      <c r="C321" s="273"/>
    </row>
    <row r="322" spans="3:3" ht="15.75" customHeight="1">
      <c r="C322" s="273"/>
    </row>
    <row r="323" spans="3:3" ht="15.75" customHeight="1">
      <c r="C323" s="273"/>
    </row>
    <row r="324" spans="3:3" ht="15.75" customHeight="1">
      <c r="C324" s="273"/>
    </row>
    <row r="325" spans="3:3" ht="15.75" customHeight="1">
      <c r="C325" s="273"/>
    </row>
    <row r="326" spans="3:3" ht="15.75" customHeight="1">
      <c r="C326" s="273"/>
    </row>
    <row r="327" spans="3:3" ht="15.75" customHeight="1">
      <c r="C327" s="273"/>
    </row>
    <row r="328" spans="3:3" ht="15.75" customHeight="1">
      <c r="C328" s="273"/>
    </row>
    <row r="329" spans="3:3" ht="15.75" customHeight="1">
      <c r="C329" s="273"/>
    </row>
    <row r="330" spans="3:3" ht="15.75" customHeight="1">
      <c r="C330" s="273"/>
    </row>
    <row r="331" spans="3:3" ht="15.75" customHeight="1">
      <c r="C331" s="273"/>
    </row>
    <row r="332" spans="3:3" ht="15.75" customHeight="1">
      <c r="C332" s="273"/>
    </row>
    <row r="333" spans="3:3" ht="15.75" customHeight="1">
      <c r="C333" s="273"/>
    </row>
    <row r="334" spans="3:3" ht="15.75" customHeight="1">
      <c r="C334" s="273"/>
    </row>
    <row r="335" spans="3:3" ht="15.75" customHeight="1">
      <c r="C335" s="273"/>
    </row>
    <row r="336" spans="3:3" ht="15.75" customHeight="1">
      <c r="C336" s="273"/>
    </row>
    <row r="337" spans="3:3" ht="15.75" customHeight="1">
      <c r="C337" s="273"/>
    </row>
    <row r="338" spans="3:3" ht="15.75" customHeight="1">
      <c r="C338" s="273"/>
    </row>
    <row r="339" spans="3:3" ht="15.75" customHeight="1">
      <c r="C339" s="273"/>
    </row>
    <row r="340" spans="3:3" ht="15.75" customHeight="1">
      <c r="C340" s="273"/>
    </row>
    <row r="341" spans="3:3" ht="15.75" customHeight="1">
      <c r="C341" s="273"/>
    </row>
    <row r="342" spans="3:3" ht="15.75" customHeight="1">
      <c r="C342" s="273"/>
    </row>
    <row r="343" spans="3:3" ht="15.75" customHeight="1">
      <c r="C343" s="273"/>
    </row>
    <row r="344" spans="3:3" ht="15.75" customHeight="1">
      <c r="C344" s="273"/>
    </row>
    <row r="345" spans="3:3" ht="15.75" customHeight="1">
      <c r="C345" s="273"/>
    </row>
    <row r="346" spans="3:3" ht="15.75" customHeight="1">
      <c r="C346" s="273"/>
    </row>
    <row r="347" spans="3:3" ht="15.75" customHeight="1">
      <c r="C347" s="273"/>
    </row>
    <row r="348" spans="3:3" ht="15.75" customHeight="1">
      <c r="C348" s="273"/>
    </row>
    <row r="349" spans="3:3" ht="15.75" customHeight="1">
      <c r="C349" s="273"/>
    </row>
    <row r="350" spans="3:3" ht="15.75" customHeight="1">
      <c r="C350" s="273"/>
    </row>
    <row r="351" spans="3:3" ht="15.75" customHeight="1">
      <c r="C351" s="273"/>
    </row>
    <row r="352" spans="3:3" ht="15.75" customHeight="1">
      <c r="C352" s="273"/>
    </row>
    <row r="353" spans="3:3" ht="15.75" customHeight="1">
      <c r="C353" s="273"/>
    </row>
    <row r="354" spans="3:3" ht="15.75" customHeight="1">
      <c r="C354" s="273"/>
    </row>
    <row r="355" spans="3:3" ht="15.75" customHeight="1">
      <c r="C355" s="273"/>
    </row>
    <row r="356" spans="3:3" ht="15.75" customHeight="1">
      <c r="C356" s="273"/>
    </row>
    <row r="357" spans="3:3" ht="15.75" customHeight="1">
      <c r="C357" s="273"/>
    </row>
    <row r="358" spans="3:3" ht="15.75" customHeight="1">
      <c r="C358" s="273"/>
    </row>
    <row r="359" spans="3:3" ht="15.75" customHeight="1">
      <c r="C359" s="273"/>
    </row>
    <row r="360" spans="3:3" ht="15.75" customHeight="1">
      <c r="C360" s="273"/>
    </row>
    <row r="361" spans="3:3" ht="15.75" customHeight="1">
      <c r="C361" s="273"/>
    </row>
    <row r="362" spans="3:3" ht="15.75" customHeight="1">
      <c r="C362" s="273"/>
    </row>
    <row r="363" spans="3:3" ht="15.75" customHeight="1">
      <c r="C363" s="273"/>
    </row>
    <row r="364" spans="3:3" ht="15.75" customHeight="1">
      <c r="C364" s="273"/>
    </row>
    <row r="365" spans="3:3" ht="15.75" customHeight="1">
      <c r="C365" s="273"/>
    </row>
    <row r="366" spans="3:3" ht="15.75" customHeight="1">
      <c r="C366" s="273"/>
    </row>
    <row r="367" spans="3:3" ht="15.75" customHeight="1">
      <c r="C367" s="273"/>
    </row>
    <row r="368" spans="3:3" ht="15.75" customHeight="1">
      <c r="C368" s="273"/>
    </row>
    <row r="369" spans="3:3" ht="15.75" customHeight="1">
      <c r="C369" s="273"/>
    </row>
    <row r="370" spans="3:3" ht="15.75" customHeight="1">
      <c r="C370" s="273"/>
    </row>
    <row r="371" spans="3:3" ht="15.75" customHeight="1">
      <c r="C371" s="273"/>
    </row>
    <row r="372" spans="3:3" ht="15.75" customHeight="1">
      <c r="C372" s="273"/>
    </row>
    <row r="373" spans="3:3" ht="15.75" customHeight="1">
      <c r="C373" s="273"/>
    </row>
    <row r="374" spans="3:3" ht="15.75" customHeight="1">
      <c r="C374" s="273"/>
    </row>
    <row r="375" spans="3:3" ht="15.75" customHeight="1">
      <c r="C375" s="273"/>
    </row>
    <row r="376" spans="3:3" ht="15.75" customHeight="1">
      <c r="C376" s="273"/>
    </row>
    <row r="377" spans="3:3" ht="15.75" customHeight="1">
      <c r="C377" s="273"/>
    </row>
    <row r="378" spans="3:3" ht="15.75" customHeight="1">
      <c r="C378" s="273"/>
    </row>
    <row r="379" spans="3:3" ht="15.75" customHeight="1">
      <c r="C379" s="273"/>
    </row>
    <row r="380" spans="3:3" ht="15.75" customHeight="1">
      <c r="C380" s="273"/>
    </row>
    <row r="381" spans="3:3" ht="15.75" customHeight="1">
      <c r="C381" s="273"/>
    </row>
    <row r="382" spans="3:3" ht="15.75" customHeight="1">
      <c r="C382" s="273"/>
    </row>
    <row r="383" spans="3:3" ht="15.75" customHeight="1">
      <c r="C383" s="273"/>
    </row>
    <row r="384" spans="3:3" ht="15.75" customHeight="1">
      <c r="C384" s="273"/>
    </row>
    <row r="385" spans="3:3" ht="15.75" customHeight="1">
      <c r="C385" s="273"/>
    </row>
    <row r="386" spans="3:3" ht="15.75" customHeight="1">
      <c r="C386" s="273"/>
    </row>
    <row r="387" spans="3:3" ht="15.75" customHeight="1">
      <c r="C387" s="273"/>
    </row>
    <row r="388" spans="3:3" ht="15.75" customHeight="1">
      <c r="C388" s="273"/>
    </row>
    <row r="389" spans="3:3" ht="15.75" customHeight="1">
      <c r="C389" s="273"/>
    </row>
    <row r="390" spans="3:3" ht="15.75" customHeight="1">
      <c r="C390" s="273"/>
    </row>
    <row r="391" spans="3:3" ht="15.75" customHeight="1">
      <c r="C391" s="273"/>
    </row>
    <row r="392" spans="3:3" ht="15.75" customHeight="1">
      <c r="C392" s="273"/>
    </row>
    <row r="393" spans="3:3" ht="15.75" customHeight="1">
      <c r="C393" s="273"/>
    </row>
    <row r="394" spans="3:3" ht="15.75" customHeight="1">
      <c r="C394" s="273"/>
    </row>
    <row r="395" spans="3:3" ht="15.75" customHeight="1">
      <c r="C395" s="273"/>
    </row>
    <row r="396" spans="3:3" ht="15.75" customHeight="1">
      <c r="C396" s="273"/>
    </row>
    <row r="397" spans="3:3" ht="15.75" customHeight="1">
      <c r="C397" s="273"/>
    </row>
    <row r="398" spans="3:3" ht="15.75" customHeight="1">
      <c r="C398" s="273"/>
    </row>
    <row r="399" spans="3:3" ht="15.75" customHeight="1">
      <c r="C399" s="273"/>
    </row>
    <row r="400" spans="3:3" ht="15.75" customHeight="1">
      <c r="C400" s="273"/>
    </row>
    <row r="401" spans="3:3" ht="15.75" customHeight="1">
      <c r="C401" s="273"/>
    </row>
    <row r="402" spans="3:3" ht="15.75" customHeight="1">
      <c r="C402" s="273"/>
    </row>
    <row r="403" spans="3:3" ht="15.75" customHeight="1">
      <c r="C403" s="273"/>
    </row>
    <row r="404" spans="3:3" ht="15.75" customHeight="1">
      <c r="C404" s="273"/>
    </row>
    <row r="405" spans="3:3" ht="15.75" customHeight="1">
      <c r="C405" s="273"/>
    </row>
    <row r="406" spans="3:3" ht="15.75" customHeight="1">
      <c r="C406" s="273"/>
    </row>
    <row r="407" spans="3:3" ht="15.75" customHeight="1">
      <c r="C407" s="273"/>
    </row>
    <row r="408" spans="3:3" ht="15.75" customHeight="1">
      <c r="C408" s="273"/>
    </row>
    <row r="409" spans="3:3" ht="15.75" customHeight="1">
      <c r="C409" s="273"/>
    </row>
    <row r="410" spans="3:3" ht="15.75" customHeight="1">
      <c r="C410" s="273"/>
    </row>
    <row r="411" spans="3:3" ht="15.75" customHeight="1">
      <c r="C411" s="273"/>
    </row>
    <row r="412" spans="3:3" ht="15.75" customHeight="1">
      <c r="C412" s="273"/>
    </row>
    <row r="413" spans="3:3" ht="15.75" customHeight="1">
      <c r="C413" s="273"/>
    </row>
    <row r="414" spans="3:3" ht="15.75" customHeight="1">
      <c r="C414" s="273"/>
    </row>
    <row r="415" spans="3:3" ht="15.75" customHeight="1">
      <c r="C415" s="273"/>
    </row>
    <row r="416" spans="3:3" ht="15.75" customHeight="1">
      <c r="C416" s="273"/>
    </row>
    <row r="417" spans="3:3" ht="15.75" customHeight="1">
      <c r="C417" s="273"/>
    </row>
    <row r="418" spans="3:3" ht="15.75" customHeight="1">
      <c r="C418" s="273"/>
    </row>
    <row r="419" spans="3:3" ht="15.75" customHeight="1">
      <c r="C419" s="273"/>
    </row>
    <row r="420" spans="3:3" ht="15.75" customHeight="1">
      <c r="C420" s="273"/>
    </row>
    <row r="421" spans="3:3" ht="15.75" customHeight="1">
      <c r="C421" s="273"/>
    </row>
    <row r="422" spans="3:3" ht="15.75" customHeight="1">
      <c r="C422" s="273"/>
    </row>
    <row r="423" spans="3:3" ht="15.75" customHeight="1">
      <c r="C423" s="273"/>
    </row>
    <row r="424" spans="3:3" ht="15.75" customHeight="1">
      <c r="C424" s="273"/>
    </row>
    <row r="425" spans="3:3" ht="15.75" customHeight="1">
      <c r="C425" s="273"/>
    </row>
    <row r="426" spans="3:3" ht="15.75" customHeight="1">
      <c r="C426" s="273"/>
    </row>
    <row r="427" spans="3:3" ht="15.75" customHeight="1">
      <c r="C427" s="273"/>
    </row>
    <row r="428" spans="3:3" ht="15.75" customHeight="1">
      <c r="C428" s="273"/>
    </row>
    <row r="429" spans="3:3" ht="15.75" customHeight="1">
      <c r="C429" s="273"/>
    </row>
    <row r="430" spans="3:3" ht="15.75" customHeight="1">
      <c r="C430" s="273"/>
    </row>
    <row r="431" spans="3:3" ht="15.75" customHeight="1">
      <c r="C431" s="273"/>
    </row>
    <row r="432" spans="3:3" ht="15.75" customHeight="1">
      <c r="C432" s="273"/>
    </row>
    <row r="433" spans="3:3" ht="15.75" customHeight="1">
      <c r="C433" s="273"/>
    </row>
    <row r="434" spans="3:3" ht="15.75" customHeight="1">
      <c r="C434" s="273"/>
    </row>
    <row r="435" spans="3:3" ht="15.75" customHeight="1">
      <c r="C435" s="273"/>
    </row>
    <row r="436" spans="3:3" ht="15.75" customHeight="1">
      <c r="C436" s="273"/>
    </row>
    <row r="437" spans="3:3" ht="15.75" customHeight="1">
      <c r="C437" s="273"/>
    </row>
    <row r="438" spans="3:3" ht="15.75" customHeight="1">
      <c r="C438" s="273"/>
    </row>
    <row r="439" spans="3:3" ht="15.75" customHeight="1">
      <c r="C439" s="273"/>
    </row>
    <row r="440" spans="3:3" ht="15.75" customHeight="1">
      <c r="C440" s="273"/>
    </row>
    <row r="441" spans="3:3" ht="15.75" customHeight="1">
      <c r="C441" s="273"/>
    </row>
    <row r="442" spans="3:3" ht="15.75" customHeight="1">
      <c r="C442" s="273"/>
    </row>
    <row r="443" spans="3:3" ht="15.75" customHeight="1">
      <c r="C443" s="273"/>
    </row>
    <row r="444" spans="3:3" ht="15.75" customHeight="1">
      <c r="C444" s="273"/>
    </row>
    <row r="445" spans="3:3" ht="15.75" customHeight="1">
      <c r="C445" s="273"/>
    </row>
    <row r="446" spans="3:3" ht="15.75" customHeight="1">
      <c r="C446" s="273"/>
    </row>
    <row r="447" spans="3:3" ht="15.75" customHeight="1">
      <c r="C447" s="273"/>
    </row>
    <row r="448" spans="3:3" ht="15.75" customHeight="1">
      <c r="C448" s="273"/>
    </row>
    <row r="449" spans="3:3" ht="15.75" customHeight="1">
      <c r="C449" s="273"/>
    </row>
    <row r="450" spans="3:3" ht="15.75" customHeight="1">
      <c r="C450" s="273"/>
    </row>
    <row r="451" spans="3:3" ht="15.75" customHeight="1">
      <c r="C451" s="273"/>
    </row>
    <row r="452" spans="3:3" ht="15.75" customHeight="1">
      <c r="C452" s="273"/>
    </row>
    <row r="453" spans="3:3" ht="15.75" customHeight="1">
      <c r="C453" s="273"/>
    </row>
    <row r="454" spans="3:3" ht="15.75" customHeight="1">
      <c r="C454" s="273"/>
    </row>
    <row r="455" spans="3:3" ht="15.75" customHeight="1">
      <c r="C455" s="273"/>
    </row>
    <row r="456" spans="3:3" ht="15.75" customHeight="1">
      <c r="C456" s="273"/>
    </row>
    <row r="457" spans="3:3" ht="15.75" customHeight="1">
      <c r="C457" s="273"/>
    </row>
    <row r="458" spans="3:3" ht="15.75" customHeight="1">
      <c r="C458" s="273"/>
    </row>
    <row r="459" spans="3:3" ht="15.75" customHeight="1">
      <c r="C459" s="273"/>
    </row>
    <row r="460" spans="3:3" ht="15.75" customHeight="1">
      <c r="C460" s="273"/>
    </row>
    <row r="461" spans="3:3" ht="15.75" customHeight="1">
      <c r="C461" s="273"/>
    </row>
    <row r="462" spans="3:3" ht="15.75" customHeight="1">
      <c r="C462" s="273"/>
    </row>
    <row r="463" spans="3:3" ht="15.75" customHeight="1">
      <c r="C463" s="273"/>
    </row>
    <row r="464" spans="3:3" ht="15.75" customHeight="1">
      <c r="C464" s="273"/>
    </row>
    <row r="465" spans="3:3" ht="15.75" customHeight="1">
      <c r="C465" s="273"/>
    </row>
    <row r="466" spans="3:3" ht="15.75" customHeight="1">
      <c r="C466" s="273"/>
    </row>
    <row r="467" spans="3:3" ht="15.75" customHeight="1">
      <c r="C467" s="273"/>
    </row>
    <row r="468" spans="3:3" ht="15.75" customHeight="1">
      <c r="C468" s="273"/>
    </row>
    <row r="469" spans="3:3" ht="15.75" customHeight="1">
      <c r="C469" s="273"/>
    </row>
    <row r="470" spans="3:3" ht="15.75" customHeight="1">
      <c r="C470" s="273"/>
    </row>
    <row r="471" spans="3:3" ht="15.75" customHeight="1">
      <c r="C471" s="273"/>
    </row>
    <row r="472" spans="3:3" ht="15.75" customHeight="1">
      <c r="C472" s="273"/>
    </row>
    <row r="473" spans="3:3" ht="15.75" customHeight="1">
      <c r="C473" s="273"/>
    </row>
    <row r="474" spans="3:3" ht="15.75" customHeight="1">
      <c r="C474" s="273"/>
    </row>
    <row r="475" spans="3:3" ht="15.75" customHeight="1">
      <c r="C475" s="273"/>
    </row>
    <row r="476" spans="3:3" ht="15.75" customHeight="1">
      <c r="C476" s="273"/>
    </row>
    <row r="477" spans="3:3" ht="15.75" customHeight="1">
      <c r="C477" s="273"/>
    </row>
    <row r="478" spans="3:3" ht="15.75" customHeight="1">
      <c r="C478" s="273"/>
    </row>
    <row r="479" spans="3:3" ht="15.75" customHeight="1">
      <c r="C479" s="273"/>
    </row>
    <row r="480" spans="3:3" ht="15.75" customHeight="1">
      <c r="C480" s="273"/>
    </row>
    <row r="481" spans="3:3" ht="15.75" customHeight="1">
      <c r="C481" s="273"/>
    </row>
    <row r="482" spans="3:3" ht="15.75" customHeight="1">
      <c r="C482" s="273"/>
    </row>
    <row r="483" spans="3:3" ht="15.75" customHeight="1">
      <c r="C483" s="273"/>
    </row>
    <row r="484" spans="3:3" ht="15.75" customHeight="1">
      <c r="C484" s="273"/>
    </row>
    <row r="485" spans="3:3" ht="15.75" customHeight="1">
      <c r="C485" s="273"/>
    </row>
    <row r="486" spans="3:3" ht="15.75" customHeight="1">
      <c r="C486" s="273"/>
    </row>
    <row r="487" spans="3:3" ht="15.75" customHeight="1">
      <c r="C487" s="273"/>
    </row>
    <row r="488" spans="3:3" ht="15.75" customHeight="1">
      <c r="C488" s="273"/>
    </row>
    <row r="489" spans="3:3" ht="15.75" customHeight="1">
      <c r="C489" s="273"/>
    </row>
    <row r="490" spans="3:3" ht="15.75" customHeight="1">
      <c r="C490" s="273"/>
    </row>
    <row r="491" spans="3:3" ht="15.75" customHeight="1">
      <c r="C491" s="273"/>
    </row>
    <row r="492" spans="3:3" ht="15.75" customHeight="1">
      <c r="C492" s="273"/>
    </row>
    <row r="493" spans="3:3" ht="15.75" customHeight="1">
      <c r="C493" s="273"/>
    </row>
    <row r="494" spans="3:3" ht="15.75" customHeight="1">
      <c r="C494" s="273"/>
    </row>
    <row r="495" spans="3:3" ht="15.75" customHeight="1">
      <c r="C495" s="273"/>
    </row>
    <row r="496" spans="3:3" ht="15.75" customHeight="1">
      <c r="C496" s="273"/>
    </row>
    <row r="497" spans="3:3" ht="15.75" customHeight="1">
      <c r="C497" s="273"/>
    </row>
    <row r="498" spans="3:3" ht="15.75" customHeight="1">
      <c r="C498" s="273"/>
    </row>
    <row r="499" spans="3:3" ht="15.75" customHeight="1">
      <c r="C499" s="273"/>
    </row>
    <row r="500" spans="3:3" ht="15.75" customHeight="1">
      <c r="C500" s="273"/>
    </row>
    <row r="501" spans="3:3" ht="15.75" customHeight="1">
      <c r="C501" s="273"/>
    </row>
    <row r="502" spans="3:3" ht="15.75" customHeight="1">
      <c r="C502" s="273"/>
    </row>
    <row r="503" spans="3:3" ht="15.75" customHeight="1">
      <c r="C503" s="273"/>
    </row>
    <row r="504" spans="3:3" ht="15.75" customHeight="1">
      <c r="C504" s="273"/>
    </row>
    <row r="505" spans="3:3" ht="15.75" customHeight="1">
      <c r="C505" s="273"/>
    </row>
    <row r="506" spans="3:3" ht="15.75" customHeight="1">
      <c r="C506" s="273"/>
    </row>
    <row r="507" spans="3:3" ht="15.75" customHeight="1">
      <c r="C507" s="273"/>
    </row>
    <row r="508" spans="3:3" ht="15.75" customHeight="1">
      <c r="C508" s="273"/>
    </row>
    <row r="509" spans="3:3" ht="15.75" customHeight="1">
      <c r="C509" s="273"/>
    </row>
    <row r="510" spans="3:3" ht="15.75" customHeight="1">
      <c r="C510" s="273"/>
    </row>
    <row r="511" spans="3:3" ht="15.75" customHeight="1">
      <c r="C511" s="273"/>
    </row>
    <row r="512" spans="3:3" ht="15.75" customHeight="1">
      <c r="C512" s="273"/>
    </row>
    <row r="513" spans="3:3" ht="15.75" customHeight="1">
      <c r="C513" s="273"/>
    </row>
    <row r="514" spans="3:3" ht="15.75" customHeight="1">
      <c r="C514" s="273"/>
    </row>
    <row r="515" spans="3:3" ht="15.75" customHeight="1">
      <c r="C515" s="273"/>
    </row>
    <row r="516" spans="3:3" ht="15.75" customHeight="1">
      <c r="C516" s="273"/>
    </row>
    <row r="517" spans="3:3" ht="15.75" customHeight="1">
      <c r="C517" s="273"/>
    </row>
    <row r="518" spans="3:3" ht="15.75" customHeight="1">
      <c r="C518" s="273"/>
    </row>
    <row r="519" spans="3:3" ht="15.75" customHeight="1">
      <c r="C519" s="273"/>
    </row>
    <row r="520" spans="3:3" ht="15.75" customHeight="1">
      <c r="C520" s="273"/>
    </row>
    <row r="521" spans="3:3" ht="15.75" customHeight="1">
      <c r="C521" s="273"/>
    </row>
    <row r="522" spans="3:3" ht="15.75" customHeight="1">
      <c r="C522" s="273"/>
    </row>
    <row r="523" spans="3:3" ht="15.75" customHeight="1">
      <c r="C523" s="273"/>
    </row>
    <row r="524" spans="3:3" ht="15.75" customHeight="1">
      <c r="C524" s="273"/>
    </row>
    <row r="525" spans="3:3" ht="15.75" customHeight="1">
      <c r="C525" s="273"/>
    </row>
    <row r="526" spans="3:3" ht="15.75" customHeight="1">
      <c r="C526" s="273"/>
    </row>
    <row r="527" spans="3:3" ht="15.75" customHeight="1">
      <c r="C527" s="273"/>
    </row>
    <row r="528" spans="3:3" ht="15.75" customHeight="1">
      <c r="C528" s="273"/>
    </row>
    <row r="529" spans="3:3" ht="15.75" customHeight="1">
      <c r="C529" s="273"/>
    </row>
    <row r="530" spans="3:3" ht="15.75" customHeight="1">
      <c r="C530" s="273"/>
    </row>
    <row r="531" spans="3:3" ht="15.75" customHeight="1">
      <c r="C531" s="273"/>
    </row>
    <row r="532" spans="3:3" ht="15.75" customHeight="1">
      <c r="C532" s="273"/>
    </row>
    <row r="533" spans="3:3" ht="15.75" customHeight="1">
      <c r="C533" s="273"/>
    </row>
    <row r="534" spans="3:3" ht="15.75" customHeight="1">
      <c r="C534" s="273"/>
    </row>
    <row r="535" spans="3:3" ht="15.75" customHeight="1">
      <c r="C535" s="273"/>
    </row>
    <row r="536" spans="3:3" ht="15.75" customHeight="1">
      <c r="C536" s="273"/>
    </row>
    <row r="537" spans="3:3" ht="15.75" customHeight="1">
      <c r="C537" s="273"/>
    </row>
    <row r="538" spans="3:3" ht="15.75" customHeight="1">
      <c r="C538" s="273"/>
    </row>
    <row r="539" spans="3:3" ht="15.75" customHeight="1">
      <c r="C539" s="273"/>
    </row>
    <row r="540" spans="3:3" ht="15.75" customHeight="1">
      <c r="C540" s="273"/>
    </row>
    <row r="541" spans="3:3" ht="15.75" customHeight="1">
      <c r="C541" s="273"/>
    </row>
    <row r="542" spans="3:3" ht="15.75" customHeight="1">
      <c r="C542" s="273"/>
    </row>
    <row r="543" spans="3:3" ht="15.75" customHeight="1">
      <c r="C543" s="273"/>
    </row>
    <row r="544" spans="3:3" ht="15.75" customHeight="1">
      <c r="C544" s="273"/>
    </row>
    <row r="545" spans="3:3" ht="15.75" customHeight="1">
      <c r="C545" s="273"/>
    </row>
    <row r="546" spans="3:3" ht="15.75" customHeight="1">
      <c r="C546" s="273"/>
    </row>
    <row r="547" spans="3:3" ht="15.75" customHeight="1">
      <c r="C547" s="273"/>
    </row>
    <row r="548" spans="3:3" ht="15.75" customHeight="1">
      <c r="C548" s="273"/>
    </row>
    <row r="549" spans="3:3" ht="15.75" customHeight="1">
      <c r="C549" s="273"/>
    </row>
    <row r="550" spans="3:3" ht="15.75" customHeight="1">
      <c r="C550" s="273"/>
    </row>
    <row r="551" spans="3:3" ht="15.75" customHeight="1">
      <c r="C551" s="273"/>
    </row>
    <row r="552" spans="3:3" ht="15.75" customHeight="1">
      <c r="C552" s="273"/>
    </row>
    <row r="553" spans="3:3" ht="15.75" customHeight="1">
      <c r="C553" s="273"/>
    </row>
    <row r="554" spans="3:3" ht="15.75" customHeight="1">
      <c r="C554" s="273"/>
    </row>
    <row r="555" spans="3:3" ht="15.75" customHeight="1">
      <c r="C555" s="273"/>
    </row>
    <row r="556" spans="3:3" ht="15.75" customHeight="1">
      <c r="C556" s="273"/>
    </row>
    <row r="557" spans="3:3" ht="15.75" customHeight="1">
      <c r="C557" s="273"/>
    </row>
    <row r="558" spans="3:3" ht="15.75" customHeight="1">
      <c r="C558" s="273"/>
    </row>
    <row r="559" spans="3:3" ht="15.75" customHeight="1">
      <c r="C559" s="273"/>
    </row>
    <row r="560" spans="3:3" ht="15.75" customHeight="1">
      <c r="C560" s="273"/>
    </row>
    <row r="561" spans="3:3" ht="15.75" customHeight="1">
      <c r="C561" s="273"/>
    </row>
    <row r="562" spans="3:3" ht="15.75" customHeight="1">
      <c r="C562" s="273"/>
    </row>
    <row r="563" spans="3:3" ht="15.75" customHeight="1">
      <c r="C563" s="273"/>
    </row>
    <row r="564" spans="3:3" ht="15.75" customHeight="1">
      <c r="C564" s="273"/>
    </row>
    <row r="565" spans="3:3" ht="15.75" customHeight="1">
      <c r="C565" s="273"/>
    </row>
    <row r="566" spans="3:3" ht="15.75" customHeight="1">
      <c r="C566" s="273"/>
    </row>
    <row r="567" spans="3:3" ht="15.75" customHeight="1">
      <c r="C567" s="273"/>
    </row>
    <row r="568" spans="3:3" ht="15.75" customHeight="1">
      <c r="C568" s="273"/>
    </row>
    <row r="569" spans="3:3" ht="15.75" customHeight="1">
      <c r="C569" s="273"/>
    </row>
    <row r="570" spans="3:3" ht="15.75" customHeight="1">
      <c r="C570" s="273"/>
    </row>
    <row r="571" spans="3:3" ht="15.75" customHeight="1">
      <c r="C571" s="273"/>
    </row>
    <row r="572" spans="3:3" ht="15.75" customHeight="1">
      <c r="C572" s="273"/>
    </row>
    <row r="573" spans="3:3" ht="15.75" customHeight="1">
      <c r="C573" s="273"/>
    </row>
    <row r="574" spans="3:3" ht="15.75" customHeight="1">
      <c r="C574" s="273"/>
    </row>
    <row r="575" spans="3:3" ht="15.75" customHeight="1">
      <c r="C575" s="273"/>
    </row>
    <row r="576" spans="3:3" ht="15.75" customHeight="1">
      <c r="C576" s="273"/>
    </row>
    <row r="577" spans="3:3" ht="15.75" customHeight="1">
      <c r="C577" s="273"/>
    </row>
    <row r="578" spans="3:3" ht="15.75" customHeight="1">
      <c r="C578" s="273"/>
    </row>
    <row r="579" spans="3:3" ht="15.75" customHeight="1">
      <c r="C579" s="273"/>
    </row>
    <row r="580" spans="3:3" ht="15.75" customHeight="1">
      <c r="C580" s="273"/>
    </row>
    <row r="581" spans="3:3" ht="15.75" customHeight="1">
      <c r="C581" s="273"/>
    </row>
    <row r="582" spans="3:3" ht="15.75" customHeight="1">
      <c r="C582" s="273"/>
    </row>
    <row r="583" spans="3:3" ht="15.75" customHeight="1">
      <c r="C583" s="273"/>
    </row>
    <row r="584" spans="3:3" ht="15.75" customHeight="1">
      <c r="C584" s="273"/>
    </row>
    <row r="585" spans="3:3" ht="15.75" customHeight="1">
      <c r="C585" s="273"/>
    </row>
    <row r="586" spans="3:3" ht="15.75" customHeight="1">
      <c r="C586" s="273"/>
    </row>
    <row r="587" spans="3:3" ht="15.75" customHeight="1">
      <c r="C587" s="273"/>
    </row>
    <row r="588" spans="3:3" ht="15.75" customHeight="1">
      <c r="C588" s="273"/>
    </row>
    <row r="589" spans="3:3" ht="15.75" customHeight="1">
      <c r="C589" s="273"/>
    </row>
    <row r="590" spans="3:3" ht="15.75" customHeight="1">
      <c r="C590" s="273"/>
    </row>
    <row r="591" spans="3:3" ht="15.75" customHeight="1">
      <c r="C591" s="273"/>
    </row>
    <row r="592" spans="3:3" ht="15.75" customHeight="1">
      <c r="C592" s="273"/>
    </row>
    <row r="593" spans="3:3" ht="15.75" customHeight="1">
      <c r="C593" s="273"/>
    </row>
    <row r="594" spans="3:3" ht="15.75" customHeight="1">
      <c r="C594" s="273"/>
    </row>
    <row r="595" spans="3:3" ht="15.75" customHeight="1">
      <c r="C595" s="273"/>
    </row>
    <row r="596" spans="3:3" ht="15.75" customHeight="1">
      <c r="C596" s="273"/>
    </row>
    <row r="597" spans="3:3" ht="15.75" customHeight="1">
      <c r="C597" s="273"/>
    </row>
    <row r="598" spans="3:3" ht="15.75" customHeight="1">
      <c r="C598" s="273"/>
    </row>
    <row r="599" spans="3:3" ht="15.75" customHeight="1">
      <c r="C599" s="273"/>
    </row>
    <row r="600" spans="3:3" ht="15.75" customHeight="1">
      <c r="C600" s="273"/>
    </row>
    <row r="601" spans="3:3" ht="15.75" customHeight="1">
      <c r="C601" s="273"/>
    </row>
    <row r="602" spans="3:3" ht="15.75" customHeight="1">
      <c r="C602" s="273"/>
    </row>
    <row r="603" spans="3:3" ht="15.75" customHeight="1">
      <c r="C603" s="273"/>
    </row>
    <row r="604" spans="3:3" ht="15.75" customHeight="1">
      <c r="C604" s="273"/>
    </row>
    <row r="605" spans="3:3" ht="15.75" customHeight="1">
      <c r="C605" s="273"/>
    </row>
    <row r="606" spans="3:3" ht="15.75" customHeight="1">
      <c r="C606" s="273"/>
    </row>
    <row r="607" spans="3:3" ht="15.75" customHeight="1">
      <c r="C607" s="273"/>
    </row>
    <row r="608" spans="3:3" ht="15.75" customHeight="1">
      <c r="C608" s="273"/>
    </row>
    <row r="609" spans="3:3" ht="15.75" customHeight="1">
      <c r="C609" s="273"/>
    </row>
    <row r="610" spans="3:3" ht="15.75" customHeight="1">
      <c r="C610" s="273"/>
    </row>
    <row r="611" spans="3:3" ht="15.75" customHeight="1">
      <c r="C611" s="273"/>
    </row>
    <row r="612" spans="3:3" ht="15.75" customHeight="1">
      <c r="C612" s="273"/>
    </row>
    <row r="613" spans="3:3" ht="15.75" customHeight="1">
      <c r="C613" s="273"/>
    </row>
    <row r="614" spans="3:3" ht="15.75" customHeight="1">
      <c r="C614" s="273"/>
    </row>
    <row r="615" spans="3:3" ht="15.75" customHeight="1">
      <c r="C615" s="273"/>
    </row>
    <row r="616" spans="3:3" ht="15.75" customHeight="1">
      <c r="C616" s="273"/>
    </row>
    <row r="617" spans="3:3" ht="15.75" customHeight="1">
      <c r="C617" s="273"/>
    </row>
    <row r="618" spans="3:3" ht="15.75" customHeight="1">
      <c r="C618" s="273"/>
    </row>
    <row r="619" spans="3:3" ht="15.75" customHeight="1">
      <c r="C619" s="273"/>
    </row>
    <row r="620" spans="3:3" ht="15.75" customHeight="1">
      <c r="C620" s="273"/>
    </row>
    <row r="621" spans="3:3" ht="15.75" customHeight="1">
      <c r="C621" s="273"/>
    </row>
    <row r="622" spans="3:3" ht="15.75" customHeight="1">
      <c r="C622" s="273"/>
    </row>
    <row r="623" spans="3:3" ht="15.75" customHeight="1">
      <c r="C623" s="273"/>
    </row>
    <row r="624" spans="3:3" ht="15.75" customHeight="1">
      <c r="C624" s="273"/>
    </row>
    <row r="625" spans="3:3" ht="15.75" customHeight="1">
      <c r="C625" s="273"/>
    </row>
    <row r="626" spans="3:3" ht="15.75" customHeight="1">
      <c r="C626" s="273"/>
    </row>
    <row r="627" spans="3:3" ht="15.75" customHeight="1">
      <c r="C627" s="273"/>
    </row>
    <row r="628" spans="3:3" ht="15.75" customHeight="1">
      <c r="C628" s="273"/>
    </row>
    <row r="629" spans="3:3" ht="15.75" customHeight="1">
      <c r="C629" s="273"/>
    </row>
    <row r="630" spans="3:3" ht="15.75" customHeight="1">
      <c r="C630" s="273"/>
    </row>
    <row r="631" spans="3:3" ht="15.75" customHeight="1">
      <c r="C631" s="273"/>
    </row>
    <row r="632" spans="3:3" ht="15.75" customHeight="1">
      <c r="C632" s="273"/>
    </row>
    <row r="633" spans="3:3" ht="15.75" customHeight="1">
      <c r="C633" s="273"/>
    </row>
    <row r="634" spans="3:3" ht="15.75" customHeight="1">
      <c r="C634" s="273"/>
    </row>
    <row r="635" spans="3:3" ht="15.75" customHeight="1">
      <c r="C635" s="273"/>
    </row>
    <row r="636" spans="3:3" ht="15.75" customHeight="1">
      <c r="C636" s="273"/>
    </row>
    <row r="637" spans="3:3" ht="15.75" customHeight="1">
      <c r="C637" s="273"/>
    </row>
    <row r="638" spans="3:3" ht="15.75" customHeight="1">
      <c r="C638" s="273"/>
    </row>
    <row r="639" spans="3:3" ht="15.75" customHeight="1">
      <c r="C639" s="273"/>
    </row>
    <row r="640" spans="3:3" ht="15.75" customHeight="1">
      <c r="C640" s="273"/>
    </row>
    <row r="641" spans="3:3" ht="15.75" customHeight="1">
      <c r="C641" s="273"/>
    </row>
    <row r="642" spans="3:3" ht="15.75" customHeight="1">
      <c r="C642" s="273"/>
    </row>
    <row r="643" spans="3:3" ht="15.75" customHeight="1">
      <c r="C643" s="273"/>
    </row>
    <row r="644" spans="3:3" ht="15.75" customHeight="1">
      <c r="C644" s="273"/>
    </row>
    <row r="645" spans="3:3" ht="15.75" customHeight="1">
      <c r="C645" s="273"/>
    </row>
    <row r="646" spans="3:3" ht="15.75" customHeight="1">
      <c r="C646" s="273"/>
    </row>
    <row r="647" spans="3:3" ht="15.75" customHeight="1">
      <c r="C647" s="273"/>
    </row>
    <row r="648" spans="3:3" ht="15.75" customHeight="1">
      <c r="C648" s="273"/>
    </row>
    <row r="649" spans="3:3" ht="15.75" customHeight="1">
      <c r="C649" s="273"/>
    </row>
    <row r="650" spans="3:3" ht="15.75" customHeight="1">
      <c r="C650" s="273"/>
    </row>
    <row r="651" spans="3:3" ht="15.75" customHeight="1">
      <c r="C651" s="273"/>
    </row>
    <row r="652" spans="3:3" ht="15.75" customHeight="1">
      <c r="C652" s="273"/>
    </row>
    <row r="653" spans="3:3" ht="15.75" customHeight="1">
      <c r="C653" s="273"/>
    </row>
    <row r="654" spans="3:3" ht="15.75" customHeight="1">
      <c r="C654" s="273"/>
    </row>
    <row r="655" spans="3:3" ht="15.75" customHeight="1">
      <c r="C655" s="273"/>
    </row>
    <row r="656" spans="3:3" ht="15.75" customHeight="1">
      <c r="C656" s="273"/>
    </row>
    <row r="657" spans="3:3" ht="15.75" customHeight="1">
      <c r="C657" s="273"/>
    </row>
    <row r="658" spans="3:3" ht="15.75" customHeight="1">
      <c r="C658" s="273"/>
    </row>
    <row r="659" spans="3:3" ht="15.75" customHeight="1">
      <c r="C659" s="273"/>
    </row>
    <row r="660" spans="3:3" ht="15.75" customHeight="1">
      <c r="C660" s="273"/>
    </row>
    <row r="661" spans="3:3" ht="15.75" customHeight="1">
      <c r="C661" s="273"/>
    </row>
    <row r="662" spans="3:3" ht="15.75" customHeight="1">
      <c r="C662" s="273"/>
    </row>
    <row r="663" spans="3:3" ht="15.75" customHeight="1">
      <c r="C663" s="273"/>
    </row>
    <row r="664" spans="3:3" ht="15.75" customHeight="1">
      <c r="C664" s="273"/>
    </row>
    <row r="665" spans="3:3" ht="15.75" customHeight="1">
      <c r="C665" s="273"/>
    </row>
    <row r="666" spans="3:3" ht="15.75" customHeight="1">
      <c r="C666" s="273"/>
    </row>
    <row r="667" spans="3:3" ht="15.75" customHeight="1">
      <c r="C667" s="273"/>
    </row>
    <row r="668" spans="3:3" ht="15.75" customHeight="1">
      <c r="C668" s="273"/>
    </row>
    <row r="669" spans="3:3" ht="15.75" customHeight="1">
      <c r="C669" s="273"/>
    </row>
    <row r="670" spans="3:3" ht="15.75" customHeight="1">
      <c r="C670" s="273"/>
    </row>
    <row r="671" spans="3:3" ht="15.75" customHeight="1">
      <c r="C671" s="273"/>
    </row>
    <row r="672" spans="3:3" ht="15.75" customHeight="1">
      <c r="C672" s="273"/>
    </row>
    <row r="673" spans="3:3" ht="15.75" customHeight="1">
      <c r="C673" s="273"/>
    </row>
    <row r="674" spans="3:3" ht="15.75" customHeight="1">
      <c r="C674" s="273"/>
    </row>
    <row r="675" spans="3:3" ht="15.75" customHeight="1">
      <c r="C675" s="273"/>
    </row>
    <row r="676" spans="3:3" ht="15.75" customHeight="1">
      <c r="C676" s="273"/>
    </row>
    <row r="677" spans="3:3" ht="15.75" customHeight="1">
      <c r="C677" s="273"/>
    </row>
    <row r="678" spans="3:3" ht="15.75" customHeight="1">
      <c r="C678" s="273"/>
    </row>
    <row r="679" spans="3:3" ht="15.75" customHeight="1">
      <c r="C679" s="273"/>
    </row>
    <row r="680" spans="3:3" ht="15.75" customHeight="1">
      <c r="C680" s="273"/>
    </row>
    <row r="681" spans="3:3" ht="15.75" customHeight="1">
      <c r="C681" s="273"/>
    </row>
    <row r="682" spans="3:3" ht="15.75" customHeight="1">
      <c r="C682" s="273"/>
    </row>
    <row r="683" spans="3:3" ht="15.75" customHeight="1">
      <c r="C683" s="273"/>
    </row>
    <row r="684" spans="3:3" ht="15.75" customHeight="1">
      <c r="C684" s="273"/>
    </row>
    <row r="685" spans="3:3" ht="15.75" customHeight="1">
      <c r="C685" s="273"/>
    </row>
    <row r="686" spans="3:3" ht="15.75" customHeight="1">
      <c r="C686" s="273"/>
    </row>
    <row r="687" spans="3:3" ht="15.75" customHeight="1">
      <c r="C687" s="273"/>
    </row>
    <row r="688" spans="3:3" ht="15.75" customHeight="1">
      <c r="C688" s="273"/>
    </row>
    <row r="689" spans="3:3" ht="15.75" customHeight="1">
      <c r="C689" s="273"/>
    </row>
    <row r="690" spans="3:3" ht="15.75" customHeight="1">
      <c r="C690" s="273"/>
    </row>
    <row r="691" spans="3:3" ht="15.75" customHeight="1">
      <c r="C691" s="273"/>
    </row>
    <row r="692" spans="3:3" ht="15.75" customHeight="1">
      <c r="C692" s="273"/>
    </row>
    <row r="693" spans="3:3" ht="15.75" customHeight="1">
      <c r="C693" s="273"/>
    </row>
    <row r="694" spans="3:3" ht="15.75" customHeight="1">
      <c r="C694" s="273"/>
    </row>
    <row r="695" spans="3:3" ht="15.75" customHeight="1">
      <c r="C695" s="273"/>
    </row>
    <row r="696" spans="3:3" ht="15.75" customHeight="1">
      <c r="C696" s="273"/>
    </row>
    <row r="697" spans="3:3" ht="15.75" customHeight="1">
      <c r="C697" s="273"/>
    </row>
    <row r="698" spans="3:3" ht="15.75" customHeight="1">
      <c r="C698" s="273"/>
    </row>
    <row r="699" spans="3:3" ht="15.75" customHeight="1">
      <c r="C699" s="273"/>
    </row>
    <row r="700" spans="3:3" ht="15.75" customHeight="1">
      <c r="C700" s="273"/>
    </row>
    <row r="701" spans="3:3" ht="15.75" customHeight="1">
      <c r="C701" s="273"/>
    </row>
    <row r="702" spans="3:3" ht="15.75" customHeight="1">
      <c r="C702" s="273"/>
    </row>
    <row r="703" spans="3:3" ht="15.75" customHeight="1">
      <c r="C703" s="273"/>
    </row>
    <row r="704" spans="3:3" ht="15.75" customHeight="1">
      <c r="C704" s="273"/>
    </row>
    <row r="705" spans="3:3" ht="15.75" customHeight="1">
      <c r="C705" s="273"/>
    </row>
    <row r="706" spans="3:3" ht="15.75" customHeight="1">
      <c r="C706" s="273"/>
    </row>
    <row r="707" spans="3:3" ht="15.75" customHeight="1">
      <c r="C707" s="273"/>
    </row>
    <row r="708" spans="3:3" ht="15.75" customHeight="1">
      <c r="C708" s="273"/>
    </row>
    <row r="709" spans="3:3" ht="15.75" customHeight="1">
      <c r="C709" s="273"/>
    </row>
    <row r="710" spans="3:3" ht="15.75" customHeight="1">
      <c r="C710" s="273"/>
    </row>
    <row r="711" spans="3:3" ht="15.75" customHeight="1">
      <c r="C711" s="273"/>
    </row>
    <row r="712" spans="3:3" ht="15.75" customHeight="1">
      <c r="C712" s="273"/>
    </row>
    <row r="713" spans="3:3" ht="15.75" customHeight="1">
      <c r="C713" s="273"/>
    </row>
    <row r="714" spans="3:3" ht="15.75" customHeight="1">
      <c r="C714" s="273"/>
    </row>
    <row r="715" spans="3:3" ht="15.75" customHeight="1">
      <c r="C715" s="273"/>
    </row>
    <row r="716" spans="3:3" ht="15.75" customHeight="1">
      <c r="C716" s="273"/>
    </row>
    <row r="717" spans="3:3" ht="15.75" customHeight="1">
      <c r="C717" s="273"/>
    </row>
    <row r="718" spans="3:3" ht="15.75" customHeight="1">
      <c r="C718" s="273"/>
    </row>
    <row r="719" spans="3:3" ht="15.75" customHeight="1">
      <c r="C719" s="273"/>
    </row>
    <row r="720" spans="3:3" ht="15.75" customHeight="1">
      <c r="C720" s="273"/>
    </row>
    <row r="721" spans="3:3" ht="15.75" customHeight="1">
      <c r="C721" s="273"/>
    </row>
    <row r="722" spans="3:3" ht="15.75" customHeight="1">
      <c r="C722" s="273"/>
    </row>
    <row r="723" spans="3:3" ht="15.75" customHeight="1">
      <c r="C723" s="273"/>
    </row>
    <row r="724" spans="3:3" ht="15.75" customHeight="1">
      <c r="C724" s="273"/>
    </row>
    <row r="725" spans="3:3" ht="15.75" customHeight="1">
      <c r="C725" s="273"/>
    </row>
    <row r="726" spans="3:3" ht="15.75" customHeight="1">
      <c r="C726" s="273"/>
    </row>
    <row r="727" spans="3:3" ht="15.75" customHeight="1">
      <c r="C727" s="273"/>
    </row>
    <row r="728" spans="3:3" ht="15.75" customHeight="1">
      <c r="C728" s="273"/>
    </row>
    <row r="729" spans="3:3" ht="15.75" customHeight="1">
      <c r="C729" s="273"/>
    </row>
    <row r="730" spans="3:3" ht="15.75" customHeight="1">
      <c r="C730" s="273"/>
    </row>
    <row r="731" spans="3:3" ht="15.75" customHeight="1">
      <c r="C731" s="273"/>
    </row>
    <row r="732" spans="3:3" ht="15.75" customHeight="1">
      <c r="C732" s="273"/>
    </row>
    <row r="733" spans="3:3" ht="15.75" customHeight="1">
      <c r="C733" s="273"/>
    </row>
    <row r="734" spans="3:3" ht="15.75" customHeight="1">
      <c r="C734" s="273"/>
    </row>
    <row r="735" spans="3:3" ht="15.75" customHeight="1">
      <c r="C735" s="273"/>
    </row>
    <row r="736" spans="3:3" ht="15.75" customHeight="1">
      <c r="C736" s="273"/>
    </row>
    <row r="737" spans="3:3" ht="15.75" customHeight="1">
      <c r="C737" s="273"/>
    </row>
    <row r="738" spans="3:3" ht="15.75" customHeight="1">
      <c r="C738" s="273"/>
    </row>
    <row r="739" spans="3:3" ht="15.75" customHeight="1">
      <c r="C739" s="273"/>
    </row>
    <row r="740" spans="3:3" ht="15.75" customHeight="1">
      <c r="C740" s="273"/>
    </row>
    <row r="741" spans="3:3" ht="15.75" customHeight="1">
      <c r="C741" s="273"/>
    </row>
    <row r="742" spans="3:3" ht="15.75" customHeight="1">
      <c r="C742" s="273"/>
    </row>
    <row r="743" spans="3:3" ht="15.75" customHeight="1">
      <c r="C743" s="273"/>
    </row>
    <row r="744" spans="3:3" ht="15.75" customHeight="1">
      <c r="C744" s="273"/>
    </row>
    <row r="745" spans="3:3" ht="15.75" customHeight="1">
      <c r="C745" s="273"/>
    </row>
    <row r="746" spans="3:3" ht="15.75" customHeight="1">
      <c r="C746" s="273"/>
    </row>
    <row r="747" spans="3:3" ht="15.75" customHeight="1">
      <c r="C747" s="273"/>
    </row>
    <row r="748" spans="3:3" ht="15.75" customHeight="1">
      <c r="C748" s="273"/>
    </row>
    <row r="749" spans="3:3" ht="15.75" customHeight="1">
      <c r="C749" s="273"/>
    </row>
    <row r="750" spans="3:3" ht="15.75" customHeight="1">
      <c r="C750" s="273"/>
    </row>
    <row r="751" spans="3:3" ht="15.75" customHeight="1">
      <c r="C751" s="273"/>
    </row>
    <row r="752" spans="3:3" ht="15.75" customHeight="1">
      <c r="C752" s="273"/>
    </row>
    <row r="753" spans="3:3" ht="15.75" customHeight="1">
      <c r="C753" s="273"/>
    </row>
    <row r="754" spans="3:3" ht="15.75" customHeight="1">
      <c r="C754" s="273"/>
    </row>
    <row r="755" spans="3:3" ht="15.75" customHeight="1">
      <c r="C755" s="273"/>
    </row>
    <row r="756" spans="3:3" ht="15.75" customHeight="1">
      <c r="C756" s="273"/>
    </row>
    <row r="757" spans="3:3" ht="15.75" customHeight="1">
      <c r="C757" s="273"/>
    </row>
    <row r="758" spans="3:3" ht="15.75" customHeight="1">
      <c r="C758" s="273"/>
    </row>
    <row r="759" spans="3:3" ht="15.75" customHeight="1">
      <c r="C759" s="273"/>
    </row>
    <row r="760" spans="3:3" ht="15.75" customHeight="1">
      <c r="C760" s="273"/>
    </row>
    <row r="761" spans="3:3" ht="15.75" customHeight="1">
      <c r="C761" s="273"/>
    </row>
    <row r="762" spans="3:3" ht="15.75" customHeight="1">
      <c r="C762" s="273"/>
    </row>
    <row r="763" spans="3:3" ht="15.75" customHeight="1">
      <c r="C763" s="273"/>
    </row>
    <row r="764" spans="3:3" ht="15.75" customHeight="1">
      <c r="C764" s="273"/>
    </row>
    <row r="765" spans="3:3" ht="15.75" customHeight="1">
      <c r="C765" s="273"/>
    </row>
    <row r="766" spans="3:3" ht="15.75" customHeight="1">
      <c r="C766" s="273"/>
    </row>
    <row r="767" spans="3:3" ht="15.75" customHeight="1">
      <c r="C767" s="273"/>
    </row>
    <row r="768" spans="3:3" ht="15.75" customHeight="1">
      <c r="C768" s="273"/>
    </row>
    <row r="769" spans="3:3" ht="15.75" customHeight="1">
      <c r="C769" s="273"/>
    </row>
    <row r="770" spans="3:3" ht="15.75" customHeight="1">
      <c r="C770" s="273"/>
    </row>
    <row r="771" spans="3:3" ht="15.75" customHeight="1">
      <c r="C771" s="273"/>
    </row>
    <row r="772" spans="3:3" ht="15.75" customHeight="1">
      <c r="C772" s="273"/>
    </row>
    <row r="773" spans="3:3" ht="15.75" customHeight="1">
      <c r="C773" s="273"/>
    </row>
    <row r="774" spans="3:3" ht="15.75" customHeight="1">
      <c r="C774" s="273"/>
    </row>
    <row r="775" spans="3:3" ht="15.75" customHeight="1">
      <c r="C775" s="273"/>
    </row>
    <row r="776" spans="3:3" ht="15.75" customHeight="1">
      <c r="C776" s="273"/>
    </row>
    <row r="777" spans="3:3" ht="15.75" customHeight="1">
      <c r="C777" s="273"/>
    </row>
    <row r="778" spans="3:3" ht="15.75" customHeight="1">
      <c r="C778" s="273"/>
    </row>
    <row r="779" spans="3:3" ht="15.75" customHeight="1">
      <c r="C779" s="273"/>
    </row>
    <row r="780" spans="3:3" ht="15.75" customHeight="1">
      <c r="C780" s="273"/>
    </row>
    <row r="781" spans="3:3" ht="15.75" customHeight="1">
      <c r="C781" s="273"/>
    </row>
    <row r="782" spans="3:3" ht="15.75" customHeight="1">
      <c r="C782" s="273"/>
    </row>
    <row r="783" spans="3:3" ht="15.75" customHeight="1">
      <c r="C783" s="273"/>
    </row>
    <row r="784" spans="3:3" ht="15.75" customHeight="1">
      <c r="C784" s="273"/>
    </row>
    <row r="785" spans="3:3" ht="15.75" customHeight="1">
      <c r="C785" s="273"/>
    </row>
    <row r="786" spans="3:3" ht="15.75" customHeight="1">
      <c r="C786" s="273"/>
    </row>
    <row r="787" spans="3:3" ht="15.75" customHeight="1">
      <c r="C787" s="273"/>
    </row>
    <row r="788" spans="3:3" ht="15.75" customHeight="1">
      <c r="C788" s="273"/>
    </row>
    <row r="789" spans="3:3" ht="15.75" customHeight="1">
      <c r="C789" s="273"/>
    </row>
    <row r="790" spans="3:3" ht="15.75" customHeight="1">
      <c r="C790" s="273"/>
    </row>
    <row r="791" spans="3:3" ht="15.75" customHeight="1">
      <c r="C791" s="273"/>
    </row>
    <row r="792" spans="3:3" ht="15.75" customHeight="1">
      <c r="C792" s="273"/>
    </row>
    <row r="793" spans="3:3" ht="15.75" customHeight="1">
      <c r="C793" s="273"/>
    </row>
    <row r="794" spans="3:3" ht="15.75" customHeight="1">
      <c r="C794" s="273"/>
    </row>
    <row r="795" spans="3:3" ht="15.75" customHeight="1">
      <c r="C795" s="273"/>
    </row>
    <row r="796" spans="3:3" ht="15.75" customHeight="1">
      <c r="C796" s="273"/>
    </row>
    <row r="797" spans="3:3" ht="15.75" customHeight="1">
      <c r="C797" s="273"/>
    </row>
    <row r="798" spans="3:3" ht="15.75" customHeight="1">
      <c r="C798" s="273"/>
    </row>
    <row r="799" spans="3:3" ht="15.75" customHeight="1">
      <c r="C799" s="273"/>
    </row>
    <row r="800" spans="3:3" ht="15.75" customHeight="1">
      <c r="C800" s="273"/>
    </row>
    <row r="801" spans="3:3" ht="15.75" customHeight="1">
      <c r="C801" s="273"/>
    </row>
    <row r="802" spans="3:3" ht="15.75" customHeight="1">
      <c r="C802" s="273"/>
    </row>
    <row r="803" spans="3:3" ht="15.75" customHeight="1">
      <c r="C803" s="273"/>
    </row>
    <row r="804" spans="3:3" ht="15.75" customHeight="1">
      <c r="C804" s="273"/>
    </row>
    <row r="805" spans="3:3" ht="15.75" customHeight="1">
      <c r="C805" s="273"/>
    </row>
    <row r="806" spans="3:3" ht="15.75" customHeight="1">
      <c r="C806" s="273"/>
    </row>
    <row r="807" spans="3:3" ht="15.75" customHeight="1">
      <c r="C807" s="273"/>
    </row>
    <row r="808" spans="3:3" ht="15.75" customHeight="1">
      <c r="C808" s="273"/>
    </row>
    <row r="809" spans="3:3" ht="15.75" customHeight="1">
      <c r="C809" s="273"/>
    </row>
    <row r="810" spans="3:3" ht="15.75" customHeight="1">
      <c r="C810" s="273"/>
    </row>
    <row r="811" spans="3:3" ht="15.75" customHeight="1">
      <c r="C811" s="273"/>
    </row>
    <row r="812" spans="3:3" ht="15.75" customHeight="1">
      <c r="C812" s="273"/>
    </row>
    <row r="813" spans="3:3" ht="15.75" customHeight="1">
      <c r="C813" s="273"/>
    </row>
    <row r="814" spans="3:3" ht="15.75" customHeight="1">
      <c r="C814" s="273"/>
    </row>
    <row r="815" spans="3:3" ht="15.75" customHeight="1">
      <c r="C815" s="273"/>
    </row>
    <row r="816" spans="3:3" ht="15.75" customHeight="1">
      <c r="C816" s="273"/>
    </row>
    <row r="817" spans="3:3" ht="15.75" customHeight="1">
      <c r="C817" s="273"/>
    </row>
    <row r="818" spans="3:3" ht="15.75" customHeight="1">
      <c r="C818" s="273"/>
    </row>
    <row r="819" spans="3:3" ht="15.75" customHeight="1">
      <c r="C819" s="273"/>
    </row>
    <row r="820" spans="3:3" ht="15.75" customHeight="1">
      <c r="C820" s="273"/>
    </row>
    <row r="821" spans="3:3" ht="15.75" customHeight="1">
      <c r="C821" s="273"/>
    </row>
    <row r="822" spans="3:3" ht="15.75" customHeight="1">
      <c r="C822" s="273"/>
    </row>
    <row r="823" spans="3:3" ht="15.75" customHeight="1">
      <c r="C823" s="273"/>
    </row>
    <row r="824" spans="3:3" ht="15.75" customHeight="1">
      <c r="C824" s="273"/>
    </row>
    <row r="825" spans="3:3" ht="15.75" customHeight="1">
      <c r="C825" s="273"/>
    </row>
    <row r="826" spans="3:3" ht="15.75" customHeight="1">
      <c r="C826" s="273"/>
    </row>
    <row r="827" spans="3:3" ht="15.75" customHeight="1">
      <c r="C827" s="273"/>
    </row>
    <row r="828" spans="3:3" ht="15.75" customHeight="1">
      <c r="C828" s="273"/>
    </row>
    <row r="829" spans="3:3" ht="15.75" customHeight="1">
      <c r="C829" s="273"/>
    </row>
    <row r="830" spans="3:3" ht="15.75" customHeight="1">
      <c r="C830" s="273"/>
    </row>
  </sheetData>
  <mergeCells count="3">
    <mergeCell ref="C1:G1"/>
    <mergeCell ref="H1:L1"/>
    <mergeCell ref="M1:R1"/>
  </mergeCells>
  <conditionalFormatting sqref="J3:J10">
    <cfRule type="colorScale" priority="1">
      <colorScale>
        <cfvo type="min"/>
        <cfvo type="percentile" val="50"/>
        <cfvo type="max"/>
        <color rgb="FF57BB8A"/>
        <color rgb="FFFFFFFF"/>
        <color rgb="FFE67C73"/>
      </colorScale>
    </cfRule>
  </conditionalFormatting>
  <conditionalFormatting sqref="K15:K20">
    <cfRule type="containsText" dxfId="6" priority="3" operator="containsText" text="Acierto">
      <formula>NOT(ISERROR(SEARCH(("Acierto"),(K15))))</formula>
    </cfRule>
    <cfRule type="cellIs" dxfId="5" priority="4" operator="equal">
      <formula>"Incorrecta"</formula>
    </cfRule>
    <cfRule type="containsText" dxfId="4" priority="5" operator="containsText" text="Neutral">
      <formula>NOT(ISERROR(SEARCH(("Neutral"),(K15))))</formula>
    </cfRule>
  </conditionalFormatting>
  <conditionalFormatting sqref="L3:L10">
    <cfRule type="colorScale" priority="2">
      <colorScale>
        <cfvo type="min"/>
        <cfvo type="max"/>
        <color rgb="FF57BB8A"/>
        <color rgb="FFFFFFFF"/>
      </colorScale>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I87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7.88671875" customWidth="1"/>
    <col min="8" max="8" width="8.88671875" customWidth="1"/>
    <col min="9"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27"/>
      <c r="B1" s="27"/>
      <c r="C1" s="479" t="s">
        <v>25</v>
      </c>
      <c r="D1" s="480"/>
      <c r="E1" s="480"/>
      <c r="F1" s="481"/>
      <c r="G1" s="482"/>
      <c r="H1" s="480"/>
      <c r="I1" s="480"/>
      <c r="J1" s="480"/>
      <c r="K1" s="481"/>
      <c r="L1" s="479" t="s">
        <v>27</v>
      </c>
      <c r="M1" s="480"/>
      <c r="N1" s="480"/>
      <c r="O1" s="480"/>
      <c r="P1" s="480"/>
      <c r="Q1" s="481"/>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row>
    <row r="2" spans="1:61" ht="48">
      <c r="A2" s="36"/>
      <c r="B2" s="37" t="s">
        <v>0</v>
      </c>
      <c r="C2" s="38" t="s">
        <v>1</v>
      </c>
      <c r="D2" s="37" t="s">
        <v>30</v>
      </c>
      <c r="E2" s="37" t="s">
        <v>2</v>
      </c>
      <c r="F2" s="37" t="s">
        <v>31</v>
      </c>
      <c r="G2" s="39" t="s">
        <v>3</v>
      </c>
      <c r="H2" s="39" t="s">
        <v>250</v>
      </c>
      <c r="I2" s="40" t="s">
        <v>239</v>
      </c>
      <c r="J2" s="40" t="s">
        <v>240</v>
      </c>
      <c r="K2" s="40" t="s">
        <v>241</v>
      </c>
      <c r="L2" s="41" t="s">
        <v>4</v>
      </c>
      <c r="M2" s="37" t="s">
        <v>46</v>
      </c>
      <c r="N2" s="37" t="s">
        <v>47</v>
      </c>
      <c r="O2" s="37" t="s">
        <v>48</v>
      </c>
      <c r="P2" s="37" t="s">
        <v>49</v>
      </c>
      <c r="Q2" s="37" t="s">
        <v>50</v>
      </c>
      <c r="R2" s="44"/>
      <c r="S2" s="44"/>
      <c r="T2" s="44"/>
      <c r="U2" s="44"/>
      <c r="V2" s="44"/>
      <c r="W2" s="44"/>
      <c r="X2" s="44"/>
      <c r="Y2" s="44"/>
      <c r="Z2" s="44"/>
      <c r="AA2" s="44"/>
      <c r="AB2" s="44"/>
      <c r="AC2" s="44"/>
      <c r="AD2" s="44"/>
      <c r="AE2" s="44"/>
      <c r="AF2" s="44"/>
      <c r="AG2" s="44"/>
      <c r="AH2" s="44"/>
      <c r="AI2" s="44"/>
      <c r="AJ2" s="44"/>
      <c r="AK2" s="44"/>
      <c r="AL2" s="44"/>
      <c r="AM2" s="44"/>
      <c r="AN2" s="36"/>
      <c r="AO2" s="36"/>
      <c r="AP2" s="36"/>
      <c r="AQ2" s="36"/>
      <c r="AR2" s="36"/>
      <c r="AS2" s="36"/>
      <c r="AT2" s="36"/>
      <c r="AU2" s="36"/>
      <c r="AV2" s="36"/>
      <c r="AW2" s="36"/>
      <c r="AX2" s="36"/>
      <c r="AY2" s="36"/>
      <c r="AZ2" s="36"/>
    </row>
    <row r="3" spans="1:61" ht="13.2">
      <c r="A3" s="180"/>
      <c r="B3" s="274" t="s">
        <v>251</v>
      </c>
      <c r="C3" s="275"/>
      <c r="D3" s="276"/>
      <c r="E3" s="277"/>
      <c r="F3" s="277"/>
      <c r="G3" s="278"/>
      <c r="H3" s="278"/>
      <c r="I3" s="278"/>
      <c r="J3" s="278"/>
      <c r="K3" s="278"/>
      <c r="L3" s="278"/>
      <c r="M3" s="278"/>
      <c r="N3" s="278"/>
      <c r="O3" s="278"/>
      <c r="P3" s="278"/>
      <c r="Q3" s="278"/>
      <c r="R3" s="22"/>
      <c r="S3" s="22"/>
      <c r="T3" s="22"/>
      <c r="U3" s="22"/>
      <c r="V3" s="27"/>
      <c r="W3" s="22"/>
      <c r="X3" s="27"/>
      <c r="Y3" s="22"/>
      <c r="Z3" s="27"/>
      <c r="AA3" s="22"/>
      <c r="AB3" s="27"/>
      <c r="AC3" s="22"/>
      <c r="AD3" s="27"/>
      <c r="AE3" s="24"/>
      <c r="AF3" s="24"/>
      <c r="AG3" s="24"/>
      <c r="AH3" s="24"/>
      <c r="AK3" s="24"/>
      <c r="AQ3" s="24"/>
      <c r="AR3" s="24"/>
      <c r="AS3" s="24"/>
      <c r="AT3" s="24"/>
      <c r="AU3" s="24"/>
      <c r="AV3" s="24"/>
      <c r="AW3" s="24"/>
      <c r="AX3" s="24"/>
      <c r="AY3" s="24"/>
      <c r="AZ3" s="24"/>
    </row>
    <row r="4" spans="1:61" ht="13.2">
      <c r="A4" s="45">
        <v>1</v>
      </c>
      <c r="B4" s="1" t="s">
        <v>252</v>
      </c>
      <c r="C4" s="46" t="str">
        <f ca="1">IFERROR(__xludf.DUMMYFUNCTION("GoogleFinance(B4,""name"")"),"CVS Health Corp")</f>
        <v>CVS Health Corp</v>
      </c>
      <c r="D4" s="47">
        <f ca="1">IFERROR(__xludf.DUMMYFUNCTION("GoogleFinance(B4,""marketcap"")/1000000"),97026.415979)</f>
        <v>97026.415978999998</v>
      </c>
      <c r="E4" s="23" t="s">
        <v>15</v>
      </c>
      <c r="F4" s="23" t="s">
        <v>121</v>
      </c>
      <c r="G4" s="50">
        <f ca="1">IFERROR(__xludf.DUMMYFUNCTION("GOOGLEFINANCE(B4)"),77.1)</f>
        <v>77.099999999999994</v>
      </c>
      <c r="H4" s="346">
        <v>67</v>
      </c>
      <c r="I4" s="55">
        <f ca="1">H4/G4-1</f>
        <v>-0.13099870298313876</v>
      </c>
      <c r="J4" s="48">
        <v>90</v>
      </c>
      <c r="K4" s="76">
        <f ca="1">J4/G4-1</f>
        <v>0.16731517509727634</v>
      </c>
      <c r="L4" s="10">
        <v>6.5000000000000006E-3</v>
      </c>
      <c r="M4" s="10">
        <v>-2.4582740328633612E-3</v>
      </c>
      <c r="N4" s="10">
        <v>5.2990986069379797E-2</v>
      </c>
      <c r="O4" s="10">
        <v>0.12950483445648975</v>
      </c>
      <c r="P4" s="10">
        <v>0.14937388193202139</v>
      </c>
      <c r="Q4" s="10">
        <v>-0.17265801051614982</v>
      </c>
      <c r="R4" s="2"/>
      <c r="S4" s="2"/>
      <c r="T4" s="2"/>
      <c r="U4" s="2" t="str">
        <f ca="1">IFERROR(__xludf.DUMMYFUNCTION("GoogleFinance(B4,""price"",today()-7)"),"#N/A")</f>
        <v>#N/A</v>
      </c>
      <c r="V4" s="27"/>
      <c r="W4" s="2" t="str">
        <f ca="1">IFERROR(__xludf.DUMMYFUNCTION("GoogleFinance(B4,""price"",today()-31)"),"#N/A")</f>
        <v>#N/A</v>
      </c>
      <c r="X4" s="27"/>
      <c r="Y4" s="2" t="str">
        <f ca="1">IFERROR(__xludf.DUMMYFUNCTION("GoogleFinance(B4,""price"",today()-91)"),"#N/A")</f>
        <v>#N/A</v>
      </c>
      <c r="Z4" s="27"/>
      <c r="AA4" s="2" t="str">
        <f ca="1">IFERROR(__xludf.DUMMYFUNCTION("GoogleFinance(B4,""price"",today()-182)"),"#N/A")</f>
        <v>#N/A</v>
      </c>
      <c r="AB4" s="27"/>
      <c r="AC4" s="2" t="str">
        <f ca="1">IFERROR(__xludf.DUMMYFUNCTION("GoogleFinance(B4,""price"",DATE(2022,12,30))"),"Date")</f>
        <v>Date</v>
      </c>
      <c r="AD4" s="27" t="str">
        <f ca="1">IFERROR(__xludf.DUMMYFUNCTION("""COMPUTED_VALUE"""),"Close")</f>
        <v>Close</v>
      </c>
      <c r="AE4" s="5"/>
      <c r="AF4" s="5"/>
      <c r="AG4" s="5"/>
      <c r="AH4" s="5"/>
      <c r="AK4" s="5"/>
      <c r="AQ4" s="5"/>
      <c r="AR4" s="5"/>
      <c r="AS4" s="5"/>
      <c r="AT4" s="5"/>
      <c r="AU4" s="5"/>
      <c r="AV4" s="5"/>
      <c r="AW4" s="5"/>
      <c r="AX4" s="5"/>
      <c r="AY4" s="5"/>
      <c r="AZ4" s="5"/>
    </row>
    <row r="5" spans="1:61" ht="13.2" hidden="1">
      <c r="A5" s="45" t="e">
        <f>1+#REF!</f>
        <v>#REF!</v>
      </c>
      <c r="B5" s="310"/>
      <c r="C5" s="311"/>
      <c r="D5" s="310"/>
      <c r="E5" s="310"/>
      <c r="F5" s="310"/>
      <c r="G5" s="312"/>
      <c r="H5" s="312"/>
      <c r="I5" s="314"/>
      <c r="J5" s="314"/>
      <c r="K5" s="314"/>
      <c r="L5" s="315"/>
      <c r="M5" s="315"/>
      <c r="N5" s="315"/>
      <c r="O5" s="315"/>
      <c r="P5" s="315"/>
      <c r="Q5" s="315"/>
      <c r="R5" s="22"/>
      <c r="S5" s="22"/>
      <c r="T5" s="22"/>
      <c r="U5" s="22"/>
      <c r="V5" s="21"/>
      <c r="W5" s="22"/>
      <c r="X5" s="21"/>
      <c r="Y5" s="22"/>
      <c r="Z5" s="21"/>
      <c r="AA5" s="22"/>
      <c r="AB5" s="21"/>
      <c r="AC5" s="22">
        <f ca="1">IFERROR(__xludf.DUMMYFUNCTION("""COMPUTED_VALUE"""),44925.6666666666)</f>
        <v>44925.666666666599</v>
      </c>
      <c r="AD5" s="21">
        <f ca="1">IFERROR(__xludf.DUMMYFUNCTION("""COMPUTED_VALUE"""),93.19)</f>
        <v>93.19</v>
      </c>
      <c r="AE5" s="24"/>
      <c r="AF5" s="24"/>
      <c r="AG5" s="24"/>
      <c r="AH5" s="24"/>
      <c r="AI5" s="318"/>
      <c r="AJ5" s="318"/>
      <c r="AK5" s="24"/>
      <c r="AL5" s="318"/>
      <c r="AM5" s="318"/>
      <c r="AN5" s="318"/>
      <c r="AO5" s="318"/>
      <c r="AP5" s="318"/>
      <c r="AQ5" s="24"/>
      <c r="AR5" s="24"/>
      <c r="AS5" s="24"/>
      <c r="AT5" s="24"/>
      <c r="AU5" s="24"/>
      <c r="AV5" s="24"/>
      <c r="AW5" s="24"/>
      <c r="AX5" s="24"/>
      <c r="AY5" s="24"/>
      <c r="AZ5" s="24"/>
      <c r="BA5" s="318"/>
      <c r="BB5" s="318"/>
      <c r="BC5" s="318"/>
      <c r="BD5" s="318"/>
      <c r="BE5" s="318"/>
      <c r="BF5" s="318"/>
      <c r="BG5" s="318"/>
      <c r="BH5" s="318"/>
      <c r="BI5" s="318"/>
    </row>
    <row r="6" spans="1:61" ht="13.2">
      <c r="A6" s="45">
        <f t="shared" ref="A6:A10" si="0">1+A4</f>
        <v>2</v>
      </c>
      <c r="B6" s="1" t="s">
        <v>253</v>
      </c>
      <c r="C6" s="46" t="str">
        <f ca="1">IFERROR(__xludf.DUMMYFUNCTION("GoogleFinance(B6,""name"")"),"Lockheed Martin Corp")</f>
        <v>Lockheed Martin Corp</v>
      </c>
      <c r="D6" s="47">
        <f ca="1">IFERROR(__xludf.DUMMYFUNCTION("GoogleFinance(B6,""marketcap"")/1000000"),102473.633593)</f>
        <v>102473.63359300001</v>
      </c>
      <c r="E6" s="23" t="s">
        <v>10</v>
      </c>
      <c r="F6" s="23" t="s">
        <v>254</v>
      </c>
      <c r="G6" s="50">
        <f ca="1">IFERROR(__xludf.DUMMYFUNCTION("GOOGLEFINANCE(B6)"),424.07)</f>
        <v>424.07</v>
      </c>
      <c r="H6" s="57">
        <v>430</v>
      </c>
      <c r="I6" s="55">
        <f ca="1">H6/G6-1</f>
        <v>1.3983540453227139E-2</v>
      </c>
      <c r="J6" s="48">
        <v>540</v>
      </c>
      <c r="K6" s="76">
        <f ca="1">J6/G6-1</f>
        <v>0.27337467870870369</v>
      </c>
      <c r="L6" s="10">
        <v>2.2000000000000001E-3</v>
      </c>
      <c r="M6" s="10">
        <v>-9.3442661246991854E-3</v>
      </c>
      <c r="N6" s="10">
        <v>-7.3597518350227209E-2</v>
      </c>
      <c r="O6" s="10">
        <v>-4.4478493048827228E-2</v>
      </c>
      <c r="P6" s="10">
        <v>-6.073224213160866E-2</v>
      </c>
      <c r="Q6" s="10">
        <v>-0.12830685111718643</v>
      </c>
      <c r="R6" s="2"/>
      <c r="S6" s="2"/>
      <c r="T6" s="2"/>
      <c r="U6" s="2" t="str">
        <f ca="1">IFERROR(__xludf.DUMMYFUNCTION("GoogleFinance(B6,""price"",today()-7)"),"#N/A")</f>
        <v>#N/A</v>
      </c>
      <c r="V6" s="27"/>
      <c r="W6" s="2" t="str">
        <f ca="1">IFERROR(__xludf.DUMMYFUNCTION("GoogleFinance(B6,""price"",today()-31)"),"#N/A")</f>
        <v>#N/A</v>
      </c>
      <c r="X6" s="27"/>
      <c r="Y6" s="2" t="str">
        <f ca="1">IFERROR(__xludf.DUMMYFUNCTION("GoogleFinance(B6,""price"",today()-91)"),"#N/A")</f>
        <v>#N/A</v>
      </c>
      <c r="Z6" s="27"/>
      <c r="AA6" s="2" t="str">
        <f ca="1">IFERROR(__xludf.DUMMYFUNCTION("GoogleFinance(B6,""price"",today()-182)"),"#N/A")</f>
        <v>#N/A</v>
      </c>
      <c r="AB6" s="27"/>
      <c r="AC6" s="2" t="str">
        <f ca="1">IFERROR(__xludf.DUMMYFUNCTION("GoogleFinance(B6,""price"",DATE(2022,12,30))"),"Date")</f>
        <v>Date</v>
      </c>
      <c r="AD6" s="27" t="str">
        <f ca="1">IFERROR(__xludf.DUMMYFUNCTION("""COMPUTED_VALUE"""),"Close")</f>
        <v>Close</v>
      </c>
      <c r="AE6" s="5"/>
      <c r="AF6" s="5"/>
      <c r="AG6" s="5"/>
      <c r="AH6" s="5"/>
      <c r="AK6" s="5"/>
      <c r="AQ6" s="5"/>
      <c r="AR6" s="5"/>
      <c r="AS6" s="5"/>
      <c r="AT6" s="5"/>
      <c r="AU6" s="5"/>
      <c r="AV6" s="5"/>
      <c r="AW6" s="5"/>
      <c r="AX6" s="5"/>
      <c r="AY6" s="5"/>
      <c r="AZ6" s="5"/>
    </row>
    <row r="7" spans="1:61" ht="13.2" hidden="1">
      <c r="A7" s="45" t="e">
        <f t="shared" si="0"/>
        <v>#REF!</v>
      </c>
      <c r="B7" s="310"/>
      <c r="C7" s="311"/>
      <c r="D7" s="310"/>
      <c r="E7" s="310"/>
      <c r="F7" s="310"/>
      <c r="G7" s="312"/>
      <c r="H7" s="312"/>
      <c r="I7" s="314"/>
      <c r="J7" s="314"/>
      <c r="K7" s="314"/>
      <c r="L7" s="315"/>
      <c r="M7" s="315"/>
      <c r="N7" s="315"/>
      <c r="O7" s="315"/>
      <c r="P7" s="315"/>
      <c r="Q7" s="315"/>
      <c r="R7" s="22"/>
      <c r="S7" s="22"/>
      <c r="T7" s="22"/>
      <c r="U7" s="22"/>
      <c r="V7" s="21"/>
      <c r="W7" s="22"/>
      <c r="X7" s="21"/>
      <c r="Y7" s="22"/>
      <c r="Z7" s="21"/>
      <c r="AA7" s="22"/>
      <c r="AB7" s="21"/>
      <c r="AC7" s="22">
        <f ca="1">IFERROR(__xludf.DUMMYFUNCTION("""COMPUTED_VALUE"""),44925.6666666666)</f>
        <v>44925.666666666599</v>
      </c>
      <c r="AD7" s="21">
        <f ca="1">IFERROR(__xludf.DUMMYFUNCTION("""COMPUTED_VALUE"""),486.49)</f>
        <v>486.49</v>
      </c>
      <c r="AE7" s="24"/>
      <c r="AF7" s="24"/>
      <c r="AG7" s="24"/>
      <c r="AH7" s="24"/>
      <c r="AI7" s="318"/>
      <c r="AJ7" s="318"/>
      <c r="AK7" s="24"/>
      <c r="AL7" s="318"/>
      <c r="AM7" s="318"/>
      <c r="AN7" s="318"/>
      <c r="AO7" s="318"/>
      <c r="AP7" s="318"/>
      <c r="AQ7" s="24"/>
      <c r="AR7" s="24"/>
      <c r="AS7" s="24"/>
      <c r="AT7" s="24"/>
      <c r="AU7" s="24"/>
      <c r="AV7" s="24"/>
      <c r="AW7" s="24"/>
      <c r="AX7" s="24"/>
      <c r="AY7" s="24"/>
      <c r="AZ7" s="24"/>
      <c r="BA7" s="318"/>
      <c r="BB7" s="318"/>
      <c r="BC7" s="318"/>
      <c r="BD7" s="318"/>
      <c r="BE7" s="318"/>
      <c r="BF7" s="318"/>
      <c r="BG7" s="318"/>
      <c r="BH7" s="318"/>
      <c r="BI7" s="318"/>
    </row>
    <row r="8" spans="1:61" ht="13.2">
      <c r="A8" s="45">
        <f t="shared" si="0"/>
        <v>3</v>
      </c>
      <c r="B8" s="1" t="s">
        <v>255</v>
      </c>
      <c r="C8" s="46" t="str">
        <f ca="1">IFERROR(__xludf.DUMMYFUNCTION("GoogleFinance(B8,""name"")"),"Northrop Grumman Corp")</f>
        <v>Northrop Grumman Corp</v>
      </c>
      <c r="D8" s="47">
        <f ca="1">IFERROR(__xludf.DUMMYFUNCTION("GoogleFinance(B8,""marketcap"")/1000000"),67660.097989)</f>
        <v>67660.097989000002</v>
      </c>
      <c r="E8" s="23" t="s">
        <v>10</v>
      </c>
      <c r="F8" s="23" t="s">
        <v>254</v>
      </c>
      <c r="G8" s="50">
        <f ca="1">IFERROR(__xludf.DUMMYFUNCTION("GOOGLEFINANCE(B8)"),450.96)</f>
        <v>450.96</v>
      </c>
      <c r="H8" s="57">
        <v>450</v>
      </c>
      <c r="I8" s="55">
        <f ca="1">H8/G8-1</f>
        <v>-2.1287919105906772E-3</v>
      </c>
      <c r="J8" s="48">
        <v>540</v>
      </c>
      <c r="K8" s="76">
        <f ca="1">J8/G8-1</f>
        <v>0.19744544970729128</v>
      </c>
      <c r="L8" s="10">
        <v>2.0999999999999999E-3</v>
      </c>
      <c r="M8" s="10">
        <v>-1.129643165659E-3</v>
      </c>
      <c r="N8" s="10">
        <v>-4.1489542594796869E-2</v>
      </c>
      <c r="O8" s="10">
        <v>-3.1900734189171831E-2</v>
      </c>
      <c r="P8" s="10">
        <v>3.982107034978899E-2</v>
      </c>
      <c r="Q8" s="10">
        <v>-0.17347555946555238</v>
      </c>
      <c r="R8" s="2"/>
      <c r="S8" s="2"/>
      <c r="T8" s="2"/>
      <c r="U8" s="2" t="str">
        <f ca="1">IFERROR(__xludf.DUMMYFUNCTION("GoogleFinance(B8,""price"",today()-7)"),"#N/A")</f>
        <v>#N/A</v>
      </c>
      <c r="V8" s="27"/>
      <c r="W8" s="2" t="str">
        <f ca="1">IFERROR(__xludf.DUMMYFUNCTION("GoogleFinance(B8,""price"",today()-31)"),"#N/A")</f>
        <v>#N/A</v>
      </c>
      <c r="X8" s="27"/>
      <c r="Y8" s="2" t="str">
        <f ca="1">IFERROR(__xludf.DUMMYFUNCTION("GoogleFinance(B8,""price"",today()-91)"),"#N/A")</f>
        <v>#N/A</v>
      </c>
      <c r="Z8" s="27"/>
      <c r="AA8" s="2" t="str">
        <f ca="1">IFERROR(__xludf.DUMMYFUNCTION("GoogleFinance(B8,""price"",today()-182)"),"#N/A")</f>
        <v>#N/A</v>
      </c>
      <c r="AB8" s="27"/>
      <c r="AC8" s="2" t="str">
        <f ca="1">IFERROR(__xludf.DUMMYFUNCTION("GoogleFinance(B8,""price"",DATE(2022,12,30))"),"Date")</f>
        <v>Date</v>
      </c>
      <c r="AD8" s="27" t="str">
        <f ca="1">IFERROR(__xludf.DUMMYFUNCTION("""COMPUTED_VALUE"""),"Close")</f>
        <v>Close</v>
      </c>
      <c r="AE8" s="5"/>
      <c r="AF8" s="5"/>
      <c r="AG8" s="5"/>
      <c r="AH8" s="5"/>
      <c r="AK8" s="5"/>
      <c r="AQ8" s="5"/>
      <c r="AR8" s="5"/>
      <c r="AS8" s="5"/>
      <c r="AT8" s="5"/>
      <c r="AU8" s="5"/>
      <c r="AV8" s="5"/>
      <c r="AW8" s="5"/>
      <c r="AX8" s="5"/>
      <c r="AY8" s="5"/>
      <c r="AZ8" s="5"/>
    </row>
    <row r="9" spans="1:61" ht="13.2" hidden="1">
      <c r="A9" s="45" t="e">
        <f t="shared" si="0"/>
        <v>#REF!</v>
      </c>
      <c r="B9" s="310"/>
      <c r="C9" s="311"/>
      <c r="D9" s="310"/>
      <c r="E9" s="310"/>
      <c r="F9" s="310"/>
      <c r="G9" s="312"/>
      <c r="H9" s="312"/>
      <c r="I9" s="314"/>
      <c r="J9" s="314"/>
      <c r="K9" s="314"/>
      <c r="L9" s="315"/>
      <c r="M9" s="315"/>
      <c r="N9" s="315"/>
      <c r="O9" s="315"/>
      <c r="P9" s="315"/>
      <c r="Q9" s="315"/>
      <c r="R9" s="22"/>
      <c r="S9" s="22"/>
      <c r="T9" s="22"/>
      <c r="U9" s="22"/>
      <c r="V9" s="21"/>
      <c r="W9" s="22"/>
      <c r="X9" s="21"/>
      <c r="Y9" s="22"/>
      <c r="Z9" s="21"/>
      <c r="AA9" s="22"/>
      <c r="AB9" s="21"/>
      <c r="AC9" s="22">
        <f ca="1">IFERROR(__xludf.DUMMYFUNCTION("""COMPUTED_VALUE"""),44925.6666666666)</f>
        <v>44925.666666666599</v>
      </c>
      <c r="AD9" s="21">
        <f ca="1">IFERROR(__xludf.DUMMYFUNCTION("""COMPUTED_VALUE"""),545.61)</f>
        <v>545.61</v>
      </c>
      <c r="AE9" s="24"/>
      <c r="AF9" s="24"/>
      <c r="AG9" s="24"/>
      <c r="AH9" s="24"/>
      <c r="AI9" s="318"/>
      <c r="AJ9" s="318"/>
      <c r="AK9" s="24"/>
      <c r="AL9" s="318"/>
      <c r="AM9" s="318"/>
      <c r="AN9" s="318"/>
      <c r="AO9" s="318"/>
      <c r="AP9" s="318"/>
      <c r="AQ9" s="24"/>
      <c r="AR9" s="24"/>
      <c r="AS9" s="24"/>
      <c r="AT9" s="24"/>
      <c r="AU9" s="24"/>
      <c r="AV9" s="24"/>
      <c r="AW9" s="24"/>
      <c r="AX9" s="24"/>
      <c r="AY9" s="24"/>
      <c r="AZ9" s="24"/>
      <c r="BA9" s="318"/>
      <c r="BB9" s="318"/>
      <c r="BC9" s="318"/>
      <c r="BD9" s="318"/>
      <c r="BE9" s="318"/>
      <c r="BF9" s="318"/>
      <c r="BG9" s="318"/>
      <c r="BH9" s="318"/>
      <c r="BI9" s="318"/>
    </row>
    <row r="10" spans="1:61" ht="13.2">
      <c r="A10" s="45">
        <f t="shared" si="0"/>
        <v>4</v>
      </c>
      <c r="B10" s="1" t="s">
        <v>256</v>
      </c>
      <c r="C10" s="46" t="str">
        <f ca="1">IFERROR(__xludf.DUMMYFUNCTION("GoogleFinance(B10,""name"")"),"Verizon Communications Inc.")</f>
        <v>Verizon Communications Inc.</v>
      </c>
      <c r="D10" s="47">
        <f ca="1">IFERROR(__xludf.DUMMYFUNCTION("GoogleFinance(B10,""marketcap"")/1000000"),170230.939846)</f>
        <v>170230.93984599999</v>
      </c>
      <c r="E10" s="48" t="s">
        <v>12</v>
      </c>
      <c r="F10" s="48" t="s">
        <v>121</v>
      </c>
      <c r="G10" s="50">
        <f ca="1">IFERROR(__xludf.DUMMYFUNCTION("GOOGLEFINANCE(B10)"),40.49)</f>
        <v>40.49</v>
      </c>
      <c r="H10" s="57">
        <v>35</v>
      </c>
      <c r="I10" s="55">
        <f ca="1">H10/G10-1</f>
        <v>-0.13558903432946412</v>
      </c>
      <c r="J10" s="48">
        <v>47</v>
      </c>
      <c r="K10" s="76">
        <f ca="1">J10/G10-1</f>
        <v>0.16078043961471966</v>
      </c>
      <c r="L10" s="10">
        <v>-2.5000000000000001E-3</v>
      </c>
      <c r="M10" s="10">
        <v>9.7256857855361201E-3</v>
      </c>
      <c r="N10" s="10">
        <v>2.949402491736608E-2</v>
      </c>
      <c r="O10" s="10">
        <v>0.102368635992377</v>
      </c>
      <c r="P10" s="10">
        <v>0.22696969696969704</v>
      </c>
      <c r="Q10" s="10">
        <v>2.7664974619289406E-2</v>
      </c>
      <c r="R10" s="2"/>
      <c r="S10" s="2"/>
      <c r="T10" s="2"/>
      <c r="U10" s="2" t="str">
        <f ca="1">IFERROR(__xludf.DUMMYFUNCTION("GoogleFinance(B10,""price"",today()-7)"),"#N/A")</f>
        <v>#N/A</v>
      </c>
      <c r="V10" s="21"/>
      <c r="W10" s="2" t="str">
        <f ca="1">IFERROR(__xludf.DUMMYFUNCTION("GoogleFinance(B10,""price"",today()-31)"),"#N/A")</f>
        <v>#N/A</v>
      </c>
      <c r="X10" s="21"/>
      <c r="Y10" s="2" t="str">
        <f ca="1">IFERROR(__xludf.DUMMYFUNCTION("GoogleFinance(B10,""price"",today()-91)"),"#N/A")</f>
        <v>#N/A</v>
      </c>
      <c r="Z10" s="21"/>
      <c r="AA10" s="2" t="str">
        <f ca="1">IFERROR(__xludf.DUMMYFUNCTION("GoogleFinance(B10,""price"",today()-182)"),"#N/A")</f>
        <v>#N/A</v>
      </c>
      <c r="AB10" s="21"/>
      <c r="AC10" s="2" t="str">
        <f ca="1">IFERROR(__xludf.DUMMYFUNCTION("GoogleFinance(B10,""price"",DATE(2022,12,30))"),"Date")</f>
        <v>Date</v>
      </c>
      <c r="AD10" s="21" t="str">
        <f ca="1">IFERROR(__xludf.DUMMYFUNCTION("""COMPUTED_VALUE"""),"Close")</f>
        <v>Close</v>
      </c>
      <c r="AE10" s="5"/>
      <c r="AF10" s="5"/>
      <c r="AG10" s="5"/>
      <c r="AH10" s="5"/>
      <c r="AI10" s="318"/>
      <c r="AJ10" s="318"/>
      <c r="AK10" s="5"/>
      <c r="AL10" s="318"/>
      <c r="AM10" s="318"/>
      <c r="AN10" s="318"/>
      <c r="AO10" s="318"/>
      <c r="AP10" s="318"/>
      <c r="AQ10" s="5"/>
      <c r="AR10" s="5"/>
      <c r="AS10" s="5"/>
      <c r="AT10" s="5"/>
      <c r="AU10" s="5"/>
      <c r="AV10" s="5"/>
      <c r="AW10" s="5"/>
      <c r="AX10" s="5"/>
      <c r="AY10" s="5"/>
      <c r="AZ10" s="5"/>
      <c r="BA10" s="318"/>
      <c r="BB10" s="318"/>
      <c r="BC10" s="318"/>
      <c r="BD10" s="318"/>
      <c r="BE10" s="318"/>
      <c r="BF10" s="318"/>
      <c r="BG10" s="318"/>
      <c r="BH10" s="318"/>
      <c r="BI10" s="318"/>
    </row>
    <row r="11" spans="1:61" ht="13.2" hidden="1">
      <c r="A11" s="180"/>
      <c r="B11" s="462"/>
      <c r="C11" s="463"/>
      <c r="D11" s="464"/>
      <c r="E11" s="465"/>
      <c r="F11" s="465"/>
      <c r="G11" s="337"/>
      <c r="H11" s="337"/>
      <c r="I11" s="466"/>
      <c r="J11" s="466"/>
      <c r="K11" s="466"/>
      <c r="L11" s="467"/>
      <c r="M11" s="468"/>
      <c r="N11" s="468"/>
      <c r="O11" s="468"/>
      <c r="P11" s="468"/>
      <c r="Q11" s="468"/>
      <c r="R11" s="22"/>
      <c r="S11" s="22"/>
      <c r="T11" s="22"/>
      <c r="U11" s="22"/>
      <c r="V11" s="21"/>
      <c r="W11" s="22"/>
      <c r="X11" s="21"/>
      <c r="Y11" s="22"/>
      <c r="Z11" s="21"/>
      <c r="AA11" s="22"/>
      <c r="AB11" s="21"/>
      <c r="AC11" s="22">
        <f ca="1">IFERROR(__xludf.DUMMYFUNCTION("""COMPUTED_VALUE"""),44925.6666666666)</f>
        <v>44925.666666666599</v>
      </c>
      <c r="AD11" s="21">
        <f ca="1">IFERROR(__xludf.DUMMYFUNCTION("""COMPUTED_VALUE"""),39.4)</f>
        <v>39.4</v>
      </c>
      <c r="AE11" s="24"/>
      <c r="AF11" s="24"/>
      <c r="AG11" s="24"/>
      <c r="AH11" s="24"/>
      <c r="AI11" s="318"/>
      <c r="AJ11" s="318"/>
      <c r="AK11" s="24"/>
      <c r="AL11" s="318"/>
      <c r="AM11" s="318"/>
      <c r="AN11" s="318"/>
      <c r="AO11" s="318"/>
      <c r="AP11" s="318"/>
      <c r="AQ11" s="24"/>
      <c r="AR11" s="24"/>
      <c r="AS11" s="24"/>
      <c r="AT11" s="24"/>
      <c r="AU11" s="24"/>
      <c r="AV11" s="24"/>
      <c r="AW11" s="24"/>
      <c r="AX11" s="24"/>
      <c r="AY11" s="24"/>
      <c r="AZ11" s="24"/>
      <c r="BA11" s="318"/>
      <c r="BB11" s="318"/>
      <c r="BC11" s="318"/>
      <c r="BD11" s="318"/>
      <c r="BE11" s="318"/>
      <c r="BF11" s="318"/>
      <c r="BG11" s="318"/>
      <c r="BH11" s="318"/>
      <c r="BI11" s="318"/>
    </row>
    <row r="12" spans="1:61" ht="13.2">
      <c r="A12" s="45">
        <f>1+A10</f>
        <v>5</v>
      </c>
      <c r="B12" s="1" t="s">
        <v>257</v>
      </c>
      <c r="C12" s="46" t="str">
        <f ca="1">IFERROR(__xludf.DUMMYFUNCTION("GoogleFinance(B12,""name"")"),"Crowdstrike Holdings Inc")</f>
        <v>Crowdstrike Holdings Inc</v>
      </c>
      <c r="D12" s="47">
        <f ca="1">IFERROR(__xludf.DUMMYFUNCTION("GoogleFinance(B12,""marketcap"")/1000000"),79065.27)</f>
        <v>79065.27</v>
      </c>
      <c r="E12" s="48" t="s">
        <v>7</v>
      </c>
      <c r="F12" s="48" t="s">
        <v>258</v>
      </c>
      <c r="G12" s="50">
        <f ca="1">IFERROR(__xludf.DUMMYFUNCTION("GOOGLEFINANCE(B12)"),329.24)</f>
        <v>329.24</v>
      </c>
      <c r="H12" s="57">
        <v>240</v>
      </c>
      <c r="I12" s="55">
        <f ca="1">H12/G12-1</f>
        <v>-0.27104847527639409</v>
      </c>
      <c r="J12" s="48">
        <v>420</v>
      </c>
      <c r="K12" s="76">
        <f ca="1">J12/G12-1</f>
        <v>0.27566516826631027</v>
      </c>
      <c r="L12" s="10">
        <v>-6.5000000000000006E-3</v>
      </c>
      <c r="M12" s="10">
        <v>2.474400074698857E-2</v>
      </c>
      <c r="N12" s="10">
        <v>0.13320024781441453</v>
      </c>
      <c r="O12" s="10">
        <v>0.58494199200885788</v>
      </c>
      <c r="P12" s="10">
        <v>1.1393112410656272</v>
      </c>
      <c r="Q12" s="10">
        <v>2.1269826194320447</v>
      </c>
      <c r="R12" s="2"/>
      <c r="S12" s="2"/>
      <c r="T12" s="2"/>
      <c r="U12" s="2" t="str">
        <f ca="1">IFERROR(__xludf.DUMMYFUNCTION("GoogleFinance(B12,""price"",today()-7)"),"#N/A")</f>
        <v>#N/A</v>
      </c>
      <c r="V12" s="21"/>
      <c r="W12" s="2" t="str">
        <f ca="1">IFERROR(__xludf.DUMMYFUNCTION("GoogleFinance(B12,""price"",today()-31)"),"#N/A")</f>
        <v>#N/A</v>
      </c>
      <c r="X12" s="21"/>
      <c r="Y12" s="2" t="str">
        <f ca="1">IFERROR(__xludf.DUMMYFUNCTION("GoogleFinance(B12,""price"",today()-91)"),"#N/A")</f>
        <v>#N/A</v>
      </c>
      <c r="Z12" s="21"/>
      <c r="AA12" s="2" t="str">
        <f ca="1">IFERROR(__xludf.DUMMYFUNCTION("GoogleFinance(B12,""price"",today()-182)"),"#N/A")</f>
        <v>#N/A</v>
      </c>
      <c r="AB12" s="21"/>
      <c r="AC12" s="2" t="str">
        <f ca="1">IFERROR(__xludf.DUMMYFUNCTION("GoogleFinance(B12,""price"",DATE(2022,12,30))"),"Date")</f>
        <v>Date</v>
      </c>
      <c r="AD12" s="21" t="str">
        <f ca="1">IFERROR(__xludf.DUMMYFUNCTION("""COMPUTED_VALUE"""),"Close")</f>
        <v>Close</v>
      </c>
      <c r="AE12" s="5"/>
      <c r="AF12" s="5"/>
      <c r="AG12" s="5"/>
      <c r="AH12" s="5"/>
      <c r="AI12" s="318"/>
      <c r="AJ12" s="318"/>
      <c r="AK12" s="5"/>
      <c r="AL12" s="318"/>
      <c r="AM12" s="318"/>
      <c r="AN12" s="318"/>
      <c r="AO12" s="318"/>
      <c r="AP12" s="318"/>
      <c r="AQ12" s="5"/>
      <c r="AR12" s="5"/>
      <c r="AS12" s="5"/>
      <c r="AT12" s="5"/>
      <c r="AU12" s="5"/>
      <c r="AV12" s="5"/>
      <c r="AW12" s="5"/>
      <c r="AX12" s="5"/>
      <c r="AY12" s="5"/>
      <c r="AZ12" s="5"/>
      <c r="BA12" s="318"/>
      <c r="BB12" s="318"/>
      <c r="BC12" s="318"/>
      <c r="BD12" s="318"/>
      <c r="BE12" s="318"/>
      <c r="BF12" s="318"/>
      <c r="BG12" s="318"/>
      <c r="BH12" s="318"/>
      <c r="BI12" s="318"/>
    </row>
    <row r="13" spans="1:61" ht="13.2" hidden="1">
      <c r="A13" s="180"/>
      <c r="B13" s="462"/>
      <c r="C13" s="463"/>
      <c r="D13" s="464"/>
      <c r="E13" s="465"/>
      <c r="F13" s="465"/>
      <c r="G13" s="337"/>
      <c r="H13" s="337"/>
      <c r="I13" s="466"/>
      <c r="J13" s="466"/>
      <c r="K13" s="466"/>
      <c r="L13" s="467"/>
      <c r="M13" s="468"/>
      <c r="N13" s="468"/>
      <c r="O13" s="468"/>
      <c r="P13" s="468"/>
      <c r="Q13" s="468"/>
      <c r="R13" s="22"/>
      <c r="S13" s="22"/>
      <c r="T13" s="22"/>
      <c r="U13" s="22"/>
      <c r="V13" s="21"/>
      <c r="W13" s="22"/>
      <c r="X13" s="21"/>
      <c r="Y13" s="22"/>
      <c r="Z13" s="21"/>
      <c r="AA13" s="22"/>
      <c r="AB13" s="21"/>
      <c r="AC13" s="22">
        <f ca="1">IFERROR(__xludf.DUMMYFUNCTION("""COMPUTED_VALUE"""),44925.6666666666)</f>
        <v>44925.666666666599</v>
      </c>
      <c r="AD13" s="21">
        <f ca="1">IFERROR(__xludf.DUMMYFUNCTION("""COMPUTED_VALUE"""),105.29)</f>
        <v>105.29</v>
      </c>
      <c r="AE13" s="24"/>
      <c r="AF13" s="24"/>
      <c r="AG13" s="24"/>
      <c r="AH13" s="24"/>
      <c r="AI13" s="318"/>
      <c r="AJ13" s="318"/>
      <c r="AK13" s="24"/>
      <c r="AL13" s="318"/>
      <c r="AM13" s="318"/>
      <c r="AN13" s="318"/>
      <c r="AO13" s="318"/>
      <c r="AP13" s="318"/>
      <c r="AQ13" s="24"/>
      <c r="AR13" s="24"/>
      <c r="AS13" s="24"/>
      <c r="AT13" s="24"/>
      <c r="AU13" s="24"/>
      <c r="AV13" s="24"/>
      <c r="AW13" s="24"/>
      <c r="AX13" s="24"/>
      <c r="AY13" s="24"/>
      <c r="AZ13" s="24"/>
      <c r="BA13" s="318"/>
      <c r="BB13" s="318"/>
      <c r="BC13" s="318"/>
      <c r="BD13" s="318"/>
      <c r="BE13" s="318"/>
      <c r="BF13" s="318"/>
      <c r="BG13" s="318"/>
      <c r="BH13" s="318"/>
      <c r="BI13" s="318"/>
    </row>
    <row r="14" spans="1:61" ht="13.2">
      <c r="A14" s="45">
        <f>1+A12</f>
        <v>6</v>
      </c>
      <c r="B14" s="1" t="s">
        <v>259</v>
      </c>
      <c r="C14" s="46" t="str">
        <f ca="1">IFERROR(__xludf.DUMMYFUNCTION("GoogleFinance(B14,""name"")"),"Smith &amp; Wesson Brands Inc")</f>
        <v>Smith &amp; Wesson Brands Inc</v>
      </c>
      <c r="D14" s="47">
        <f ca="1">IFERROR(__xludf.DUMMYFUNCTION("GoogleFinance(B14,""marketcap"")/1000000"),617.044032)</f>
        <v>617.04403200000002</v>
      </c>
      <c r="E14" s="48" t="s">
        <v>10</v>
      </c>
      <c r="F14" s="48"/>
      <c r="G14" s="50">
        <f ca="1">IFERROR(__xludf.DUMMYFUNCTION("GOOGLEFINANCE(B14)"),13.52)</f>
        <v>13.52</v>
      </c>
      <c r="H14" s="57">
        <v>12.7</v>
      </c>
      <c r="I14" s="55">
        <f ca="1">H14/G14-1</f>
        <v>-6.0650887573964529E-2</v>
      </c>
      <c r="J14" s="48">
        <v>17</v>
      </c>
      <c r="K14" s="76">
        <f ca="1">J14/G14-1</f>
        <v>0.25739644970414211</v>
      </c>
      <c r="L14" s="10">
        <v>-1.1000000000000001E-2</v>
      </c>
      <c r="M14" s="10">
        <v>-2.3826714801444049E-2</v>
      </c>
      <c r="N14" s="10">
        <v>2.9702970297029507E-2</v>
      </c>
      <c r="O14" s="10">
        <v>-3.4975017844396827E-2</v>
      </c>
      <c r="P14" s="10">
        <v>5.3780202650038911E-2</v>
      </c>
      <c r="Q14" s="10">
        <v>0.55760368663594462</v>
      </c>
      <c r="R14" s="2"/>
      <c r="S14" s="2"/>
      <c r="T14" s="2"/>
      <c r="U14" s="2" t="str">
        <f ca="1">IFERROR(__xludf.DUMMYFUNCTION("GoogleFinance(B14,""price"",today()-7)"),"#N/A")</f>
        <v>#N/A</v>
      </c>
      <c r="V14" s="21"/>
      <c r="W14" s="2" t="str">
        <f ca="1">IFERROR(__xludf.DUMMYFUNCTION("GoogleFinance(B14,""price"",today()-31)"),"#N/A")</f>
        <v>#N/A</v>
      </c>
      <c r="X14" s="21"/>
      <c r="Y14" s="2" t="str">
        <f ca="1">IFERROR(__xludf.DUMMYFUNCTION("GoogleFinance(B14,""price"",today()-91)"),"#N/A")</f>
        <v>#N/A</v>
      </c>
      <c r="Z14" s="21"/>
      <c r="AA14" s="2" t="str">
        <f ca="1">IFERROR(__xludf.DUMMYFUNCTION("GoogleFinance(B14,""price"",today()-182)"),"#N/A")</f>
        <v>#N/A</v>
      </c>
      <c r="AB14" s="21"/>
      <c r="AC14" s="2" t="str">
        <f ca="1">IFERROR(__xludf.DUMMYFUNCTION("GoogleFinance(B14,""price"",DATE(2022,12,30))"),"Date")</f>
        <v>Date</v>
      </c>
      <c r="AD14" s="21" t="str">
        <f ca="1">IFERROR(__xludf.DUMMYFUNCTION("""COMPUTED_VALUE"""),"Close")</f>
        <v>Close</v>
      </c>
      <c r="AE14" s="5"/>
      <c r="AF14" s="5"/>
      <c r="AG14" s="5"/>
      <c r="AH14" s="5"/>
      <c r="AI14" s="318"/>
      <c r="AJ14" s="318"/>
      <c r="AK14" s="5"/>
      <c r="AL14" s="318"/>
      <c r="AM14" s="318"/>
      <c r="AN14" s="318"/>
      <c r="AO14" s="318"/>
      <c r="AP14" s="318"/>
      <c r="AQ14" s="5"/>
      <c r="AR14" s="5"/>
      <c r="AS14" s="5"/>
      <c r="AT14" s="5"/>
      <c r="AU14" s="5"/>
      <c r="AV14" s="5"/>
      <c r="AW14" s="5"/>
      <c r="AX14" s="5"/>
      <c r="AY14" s="5"/>
      <c r="AZ14" s="5"/>
      <c r="BA14" s="318"/>
      <c r="BB14" s="318"/>
      <c r="BC14" s="318"/>
      <c r="BD14" s="318"/>
      <c r="BE14" s="318"/>
      <c r="BF14" s="318"/>
      <c r="BG14" s="318"/>
      <c r="BH14" s="318"/>
      <c r="BI14" s="318"/>
    </row>
    <row r="15" spans="1:61" ht="13.2" hidden="1">
      <c r="A15" s="180"/>
      <c r="B15" s="462"/>
      <c r="C15" s="463"/>
      <c r="D15" s="464"/>
      <c r="E15" s="465"/>
      <c r="F15" s="465"/>
      <c r="G15" s="337"/>
      <c r="H15" s="337"/>
      <c r="I15" s="466"/>
      <c r="J15" s="466"/>
      <c r="K15" s="466"/>
      <c r="L15" s="467"/>
      <c r="M15" s="468"/>
      <c r="N15" s="468"/>
      <c r="O15" s="468"/>
      <c r="P15" s="468"/>
      <c r="Q15" s="468"/>
      <c r="R15" s="22"/>
      <c r="S15" s="22"/>
      <c r="T15" s="22"/>
      <c r="U15" s="22"/>
      <c r="V15" s="21"/>
      <c r="W15" s="22"/>
      <c r="X15" s="21"/>
      <c r="Y15" s="22"/>
      <c r="Z15" s="21"/>
      <c r="AA15" s="22"/>
      <c r="AB15" s="21"/>
      <c r="AC15" s="22">
        <f ca="1">IFERROR(__xludf.DUMMYFUNCTION("""COMPUTED_VALUE"""),44925.6666666666)</f>
        <v>44925.666666666599</v>
      </c>
      <c r="AD15" s="21">
        <f ca="1">IFERROR(__xludf.DUMMYFUNCTION("""COMPUTED_VALUE"""),8.68)</f>
        <v>8.68</v>
      </c>
      <c r="AE15" s="24"/>
      <c r="AF15" s="24"/>
      <c r="AG15" s="24"/>
      <c r="AH15" s="24"/>
      <c r="AI15" s="318"/>
      <c r="AJ15" s="318"/>
      <c r="AK15" s="24"/>
      <c r="AL15" s="318"/>
      <c r="AM15" s="318"/>
      <c r="AN15" s="318"/>
      <c r="AO15" s="318"/>
      <c r="AP15" s="318"/>
      <c r="AQ15" s="24"/>
      <c r="AR15" s="24"/>
      <c r="AS15" s="24"/>
      <c r="AT15" s="24"/>
      <c r="AU15" s="24"/>
      <c r="AV15" s="24"/>
      <c r="AW15" s="24"/>
      <c r="AX15" s="24"/>
      <c r="AY15" s="24"/>
      <c r="AZ15" s="24"/>
      <c r="BA15" s="318"/>
      <c r="BB15" s="318"/>
      <c r="BC15" s="318"/>
      <c r="BD15" s="318"/>
      <c r="BE15" s="318"/>
      <c r="BF15" s="318"/>
      <c r="BG15" s="318"/>
      <c r="BH15" s="318"/>
      <c r="BI15" s="318"/>
    </row>
    <row r="16" spans="1:61" ht="13.2">
      <c r="A16" s="134">
        <f>1+A14</f>
        <v>7</v>
      </c>
      <c r="B16" s="26" t="s">
        <v>260</v>
      </c>
      <c r="C16" s="90" t="str">
        <f ca="1">IFERROR(__xludf.DUMMYFUNCTION("GoogleFinance(B16,""name"")"),"Albemarle Corporation")</f>
        <v>Albemarle Corporation</v>
      </c>
      <c r="D16" s="91">
        <f ca="1">IFERROR(__xludf.DUMMYFUNCTION("GoogleFinance(B16,""marketcap"")/1000000"),14386.328358)</f>
        <v>14386.328358000001</v>
      </c>
      <c r="E16" s="92" t="s">
        <v>11</v>
      </c>
      <c r="F16" s="92" t="s">
        <v>261</v>
      </c>
      <c r="G16" s="96">
        <f ca="1">IFERROR(__xludf.DUMMYFUNCTION("GOOGLEFINANCE(B16)"),122.59)</f>
        <v>122.59</v>
      </c>
      <c r="H16" s="346">
        <v>117</v>
      </c>
      <c r="I16" s="103">
        <f ca="1">H16/G16-1</f>
        <v>-4.5599151643690328E-2</v>
      </c>
      <c r="J16" s="92">
        <v>180</v>
      </c>
      <c r="K16" s="469">
        <f ca="1">J16/G16-1</f>
        <v>0.46830899747124555</v>
      </c>
      <c r="L16" s="104">
        <v>4.3299999999999998E-2</v>
      </c>
      <c r="M16" s="104">
        <v>2.0817720043300847E-2</v>
      </c>
      <c r="N16" s="104">
        <v>6.4796317206636145E-2</v>
      </c>
      <c r="O16" s="104">
        <v>-5.9604173059220722E-2</v>
      </c>
      <c r="P16" s="104">
        <v>-0.34816823523156271</v>
      </c>
      <c r="Q16" s="104">
        <v>-0.43470441759660616</v>
      </c>
      <c r="R16" s="94"/>
      <c r="S16" s="94"/>
      <c r="T16" s="94"/>
      <c r="U16" s="94" t="str">
        <f ca="1">IFERROR(__xludf.DUMMYFUNCTION("GoogleFinance(B16,""price"",today()-7)"),"#N/A")</f>
        <v>#N/A</v>
      </c>
      <c r="V16" s="208"/>
      <c r="W16" s="94" t="str">
        <f ca="1">IFERROR(__xludf.DUMMYFUNCTION("GoogleFinance(B16,""price"",today()-31)"),"#N/A")</f>
        <v>#N/A</v>
      </c>
      <c r="X16" s="208"/>
      <c r="Y16" s="94" t="str">
        <f ca="1">IFERROR(__xludf.DUMMYFUNCTION("GoogleFinance(B16,""price"",today()-91)"),"#N/A")</f>
        <v>#N/A</v>
      </c>
      <c r="Z16" s="208"/>
      <c r="AA16" s="94" t="str">
        <f ca="1">IFERROR(__xludf.DUMMYFUNCTION("GoogleFinance(B16,""price"",today()-182)"),"#N/A")</f>
        <v>#N/A</v>
      </c>
      <c r="AB16" s="208"/>
      <c r="AC16" s="94" t="str">
        <f ca="1">IFERROR(__xludf.DUMMYFUNCTION("GoogleFinance(B16,""price"",DATE(2022,12,30))"),"Date")</f>
        <v>Date</v>
      </c>
      <c r="AD16" s="208" t="str">
        <f ca="1">IFERROR(__xludf.DUMMYFUNCTION("""COMPUTED_VALUE"""),"Close")</f>
        <v>Close</v>
      </c>
      <c r="AE16" s="109"/>
      <c r="AF16" s="109"/>
      <c r="AG16" s="109"/>
      <c r="AH16" s="109"/>
      <c r="AI16" s="470"/>
      <c r="AJ16" s="470"/>
      <c r="AK16" s="109"/>
      <c r="AL16" s="470"/>
      <c r="AM16" s="470"/>
      <c r="AN16" s="470"/>
      <c r="AO16" s="470"/>
      <c r="AP16" s="470"/>
      <c r="AQ16" s="109"/>
      <c r="AR16" s="109"/>
      <c r="AS16" s="109"/>
      <c r="AT16" s="109"/>
      <c r="AU16" s="109"/>
      <c r="AV16" s="109"/>
      <c r="AW16" s="109"/>
      <c r="AX16" s="109"/>
      <c r="AY16" s="109"/>
      <c r="AZ16" s="109"/>
      <c r="BA16" s="470"/>
      <c r="BB16" s="470"/>
      <c r="BC16" s="470"/>
      <c r="BD16" s="470"/>
      <c r="BE16" s="470"/>
      <c r="BF16" s="470"/>
      <c r="BG16" s="470"/>
      <c r="BH16" s="470"/>
      <c r="BI16" s="470"/>
    </row>
    <row r="17" spans="1:61" ht="13.2" hidden="1">
      <c r="A17" s="180"/>
      <c r="B17" s="462"/>
      <c r="C17" s="463"/>
      <c r="D17" s="464"/>
      <c r="E17" s="465"/>
      <c r="F17" s="465"/>
      <c r="G17" s="337"/>
      <c r="H17" s="337"/>
      <c r="I17" s="466"/>
      <c r="J17" s="466"/>
      <c r="K17" s="466"/>
      <c r="L17" s="467"/>
      <c r="M17" s="468"/>
      <c r="N17" s="468"/>
      <c r="O17" s="468"/>
      <c r="P17" s="468"/>
      <c r="Q17" s="468"/>
      <c r="R17" s="22"/>
      <c r="S17" s="22"/>
      <c r="T17" s="22"/>
      <c r="U17" s="22"/>
      <c r="V17" s="21"/>
      <c r="W17" s="22"/>
      <c r="X17" s="21"/>
      <c r="Y17" s="22"/>
      <c r="Z17" s="21"/>
      <c r="AA17" s="22"/>
      <c r="AB17" s="21"/>
      <c r="AC17" s="22">
        <f ca="1">IFERROR(__xludf.DUMMYFUNCTION("""COMPUTED_VALUE"""),44925.6666666666)</f>
        <v>44925.666666666599</v>
      </c>
      <c r="AD17" s="21">
        <f ca="1">IFERROR(__xludf.DUMMYFUNCTION("""COMPUTED_VALUE"""),216.86)</f>
        <v>216.86</v>
      </c>
      <c r="AE17" s="24"/>
      <c r="AF17" s="24"/>
      <c r="AG17" s="24"/>
      <c r="AH17" s="24"/>
      <c r="AI17" s="318"/>
      <c r="AJ17" s="318"/>
      <c r="AK17" s="24"/>
      <c r="AL17" s="318"/>
      <c r="AM17" s="318"/>
      <c r="AN17" s="318"/>
      <c r="AO17" s="318"/>
      <c r="AP17" s="318"/>
      <c r="AQ17" s="24"/>
      <c r="AR17" s="24"/>
      <c r="AS17" s="24"/>
      <c r="AT17" s="24"/>
      <c r="AU17" s="24"/>
      <c r="AV17" s="24"/>
      <c r="AW17" s="24"/>
      <c r="AX17" s="24"/>
      <c r="AY17" s="24"/>
      <c r="AZ17" s="24"/>
      <c r="BA17" s="318"/>
      <c r="BB17" s="318"/>
      <c r="BC17" s="318"/>
      <c r="BD17" s="318"/>
      <c r="BE17" s="318"/>
      <c r="BF17" s="318"/>
      <c r="BG17" s="318"/>
      <c r="BH17" s="318"/>
      <c r="BI17" s="318"/>
    </row>
    <row r="18" spans="1:61" ht="13.2">
      <c r="A18" s="134">
        <f>1+A16</f>
        <v>8</v>
      </c>
      <c r="B18" s="26" t="s">
        <v>262</v>
      </c>
      <c r="C18" s="90" t="str">
        <f ca="1">IFERROR(__xludf.DUMMYFUNCTION("GoogleFinance(B18,""name"")"),"First Trust Natural Gas ETF")</f>
        <v>First Trust Natural Gas ETF</v>
      </c>
      <c r="D18" s="91" t="str">
        <f ca="1">IFERROR(__xludf.DUMMYFUNCTION("GoogleFinance(B18,""marketcap"")/1000000"),"#N/A")</f>
        <v>#N/A</v>
      </c>
      <c r="E18" s="92" t="s">
        <v>11</v>
      </c>
      <c r="F18" s="92" t="s">
        <v>261</v>
      </c>
      <c r="G18" s="96">
        <f ca="1">IFERROR(__xludf.DUMMYFUNCTION("GOOGLEFINANCE(B18)"),24.17)</f>
        <v>24.17</v>
      </c>
      <c r="H18" s="346">
        <v>23</v>
      </c>
      <c r="I18" s="103">
        <f ca="1">H18/G18-1</f>
        <v>-4.8407116259826299E-2</v>
      </c>
      <c r="J18" s="92">
        <v>36</v>
      </c>
      <c r="K18" s="469">
        <f ca="1">J18/G18-1</f>
        <v>0.48944973107157619</v>
      </c>
      <c r="L18" s="104">
        <v>5.7999999999999996E-3</v>
      </c>
      <c r="M18" s="104">
        <v>3.0264279624893531E-2</v>
      </c>
      <c r="N18" s="104">
        <v>6.1950790861159843E-2</v>
      </c>
      <c r="O18" s="104">
        <v>-3.4744408945686756E-2</v>
      </c>
      <c r="P18" s="104">
        <v>-8.2732447817836841E-2</v>
      </c>
      <c r="Q18" s="104">
        <v>-1.3871889024887785E-2</v>
      </c>
      <c r="R18" s="94"/>
      <c r="S18" s="94"/>
      <c r="T18" s="94"/>
      <c r="U18" s="94" t="str">
        <f ca="1">IFERROR(__xludf.DUMMYFUNCTION("GoogleFinance(B18,""price"",today()-7)"),"#N/A")</f>
        <v>#N/A</v>
      </c>
      <c r="V18" s="208"/>
      <c r="W18" s="94" t="str">
        <f ca="1">IFERROR(__xludf.DUMMYFUNCTION("GoogleFinance(B18,""price"",today()-31)"),"#N/A")</f>
        <v>#N/A</v>
      </c>
      <c r="X18" s="208"/>
      <c r="Y18" s="94" t="str">
        <f ca="1">IFERROR(__xludf.DUMMYFUNCTION("GoogleFinance(B18,""price"",today()-91)"),"#N/A")</f>
        <v>#N/A</v>
      </c>
      <c r="Z18" s="208"/>
      <c r="AA18" s="94" t="str">
        <f ca="1">IFERROR(__xludf.DUMMYFUNCTION("GoogleFinance(B18,""price"",today()-182)"),"#N/A")</f>
        <v>#N/A</v>
      </c>
      <c r="AB18" s="208"/>
      <c r="AC18" s="94" t="str">
        <f ca="1">IFERROR(__xludf.DUMMYFUNCTION("GoogleFinance(B18,""price"",DATE(2022,12,30))"),"Date")</f>
        <v>Date</v>
      </c>
      <c r="AD18" s="208" t="str">
        <f ca="1">IFERROR(__xludf.DUMMYFUNCTION("""COMPUTED_VALUE"""),"Close")</f>
        <v>Close</v>
      </c>
      <c r="AE18" s="109"/>
      <c r="AF18" s="109"/>
      <c r="AG18" s="109"/>
      <c r="AH18" s="109"/>
      <c r="AI18" s="470"/>
      <c r="AJ18" s="470"/>
      <c r="AK18" s="109"/>
      <c r="AL18" s="470"/>
      <c r="AM18" s="470"/>
      <c r="AN18" s="470"/>
      <c r="AO18" s="470"/>
      <c r="AP18" s="470"/>
      <c r="AQ18" s="109"/>
      <c r="AR18" s="109"/>
      <c r="AS18" s="109"/>
      <c r="AT18" s="109"/>
      <c r="AU18" s="109"/>
      <c r="AV18" s="109"/>
      <c r="AW18" s="109"/>
      <c r="AX18" s="109"/>
      <c r="AY18" s="109"/>
      <c r="AZ18" s="109"/>
      <c r="BA18" s="470"/>
      <c r="BB18" s="470"/>
      <c r="BC18" s="470"/>
      <c r="BD18" s="470"/>
      <c r="BE18" s="470"/>
      <c r="BF18" s="470"/>
      <c r="BG18" s="470"/>
      <c r="BH18" s="470"/>
      <c r="BI18" s="470"/>
    </row>
    <row r="19" spans="1:61" ht="13.2" hidden="1">
      <c r="A19" s="180"/>
      <c r="B19" s="462"/>
      <c r="C19" s="463"/>
      <c r="D19" s="464"/>
      <c r="E19" s="465"/>
      <c r="F19" s="465"/>
      <c r="G19" s="337"/>
      <c r="H19" s="337"/>
      <c r="I19" s="466"/>
      <c r="J19" s="466"/>
      <c r="K19" s="466"/>
      <c r="L19" s="467"/>
      <c r="M19" s="468"/>
      <c r="N19" s="468"/>
      <c r="O19" s="468"/>
      <c r="P19" s="468"/>
      <c r="Q19" s="468"/>
      <c r="R19" s="22"/>
      <c r="S19" s="22"/>
      <c r="T19" s="22"/>
      <c r="U19" s="22"/>
      <c r="V19" s="21"/>
      <c r="W19" s="22"/>
      <c r="X19" s="21"/>
      <c r="Y19" s="22"/>
      <c r="Z19" s="21"/>
      <c r="AA19" s="22"/>
      <c r="AB19" s="21"/>
      <c r="AC19" s="22">
        <f ca="1">IFERROR(__xludf.DUMMYFUNCTION("""COMPUTED_VALUE"""),44925.6666666666)</f>
        <v>44925.666666666599</v>
      </c>
      <c r="AD19" s="21">
        <f ca="1">IFERROR(__xludf.DUMMYFUNCTION("""COMPUTED_VALUE"""),24.51)</f>
        <v>24.51</v>
      </c>
      <c r="AE19" s="24"/>
      <c r="AF19" s="24"/>
      <c r="AG19" s="24"/>
      <c r="AH19" s="24"/>
      <c r="AI19" s="318"/>
      <c r="AJ19" s="318"/>
      <c r="AK19" s="24"/>
      <c r="AL19" s="318"/>
      <c r="AM19" s="318"/>
      <c r="AN19" s="318"/>
      <c r="AO19" s="318"/>
      <c r="AP19" s="318"/>
      <c r="AQ19" s="24"/>
      <c r="AR19" s="24"/>
      <c r="AS19" s="24"/>
      <c r="AT19" s="24"/>
      <c r="AU19" s="24"/>
      <c r="AV19" s="24"/>
      <c r="AW19" s="24"/>
      <c r="AX19" s="24"/>
      <c r="AY19" s="24"/>
      <c r="AZ19" s="24"/>
      <c r="BA19" s="318"/>
      <c r="BB19" s="318"/>
      <c r="BC19" s="318"/>
      <c r="BD19" s="318"/>
      <c r="BE19" s="318"/>
      <c r="BF19" s="318"/>
      <c r="BG19" s="318"/>
      <c r="BH19" s="318"/>
      <c r="BI19" s="318"/>
    </row>
    <row r="20" spans="1:61" ht="13.2">
      <c r="A20" s="134">
        <f>1+A18</f>
        <v>9</v>
      </c>
      <c r="B20" s="26" t="s">
        <v>263</v>
      </c>
      <c r="C20" s="90" t="str">
        <f ca="1">IFERROR(__xludf.DUMMYFUNCTION("GoogleFinance(B20,""name"")"),"ConocoPhillips")</f>
        <v>ConocoPhillips</v>
      </c>
      <c r="D20" s="91">
        <f ca="1">IFERROR(__xludf.DUMMYFUNCTION("GoogleFinance(B20,""marketcap"")/1000000"),130262.62721)</f>
        <v>130262.62721000001</v>
      </c>
      <c r="E20" s="92" t="s">
        <v>14</v>
      </c>
      <c r="F20" s="92" t="s">
        <v>264</v>
      </c>
      <c r="G20" s="96">
        <f ca="1">IFERROR(__xludf.DUMMYFUNCTION("GOOGLEFINANCE(B20)"),110.57)</f>
        <v>110.57</v>
      </c>
      <c r="H20" s="346">
        <v>107</v>
      </c>
      <c r="I20" s="103">
        <f ca="1">H20/G20-1</f>
        <v>-3.228723885321505E-2</v>
      </c>
      <c r="J20" s="92">
        <v>170</v>
      </c>
      <c r="K20" s="469">
        <f ca="1">J20/G20-1</f>
        <v>0.53748756443881707</v>
      </c>
      <c r="L20" s="104">
        <v>-3.9000000000000003E-3</v>
      </c>
      <c r="M20" s="104">
        <v>-4.7704770477048353E-3</v>
      </c>
      <c r="N20" s="104">
        <v>2.5030128858811507E-2</v>
      </c>
      <c r="O20" s="104">
        <v>-4.1771384002079914E-2</v>
      </c>
      <c r="P20" s="104">
        <v>-5.6650456445695774E-2</v>
      </c>
      <c r="Q20" s="104">
        <v>-6.2966101694915344E-2</v>
      </c>
      <c r="R20" s="94"/>
      <c r="S20" s="94"/>
      <c r="T20" s="94"/>
      <c r="U20" s="94" t="str">
        <f ca="1">IFERROR(__xludf.DUMMYFUNCTION("GoogleFinance(B20,""price"",today()-7)"),"#N/A")</f>
        <v>#N/A</v>
      </c>
      <c r="V20" s="208"/>
      <c r="W20" s="94" t="str">
        <f ca="1">IFERROR(__xludf.DUMMYFUNCTION("GoogleFinance(B20,""price"",today()-31)"),"#N/A")</f>
        <v>#N/A</v>
      </c>
      <c r="X20" s="208"/>
      <c r="Y20" s="94" t="str">
        <f ca="1">IFERROR(__xludf.DUMMYFUNCTION("GoogleFinance(B20,""price"",today()-91)"),"#N/A")</f>
        <v>#N/A</v>
      </c>
      <c r="Z20" s="208"/>
      <c r="AA20" s="94" t="str">
        <f ca="1">IFERROR(__xludf.DUMMYFUNCTION("GoogleFinance(B20,""price"",today()-182)"),"#N/A")</f>
        <v>#N/A</v>
      </c>
      <c r="AB20" s="208"/>
      <c r="AC20" s="94" t="str">
        <f ca="1">IFERROR(__xludf.DUMMYFUNCTION("GoogleFinance(B20,""price"",DATE(2022,12,30))"),"Date")</f>
        <v>Date</v>
      </c>
      <c r="AD20" s="208" t="str">
        <f ca="1">IFERROR(__xludf.DUMMYFUNCTION("""COMPUTED_VALUE"""),"Close")</f>
        <v>Close</v>
      </c>
      <c r="AE20" s="109"/>
      <c r="AF20" s="109"/>
      <c r="AG20" s="109"/>
      <c r="AH20" s="109"/>
      <c r="AI20" s="470"/>
      <c r="AJ20" s="470"/>
      <c r="AK20" s="109"/>
      <c r="AL20" s="470"/>
      <c r="AM20" s="470"/>
      <c r="AN20" s="470"/>
      <c r="AO20" s="470"/>
      <c r="AP20" s="470"/>
      <c r="AQ20" s="109"/>
      <c r="AR20" s="109"/>
      <c r="AS20" s="109"/>
      <c r="AT20" s="109"/>
      <c r="AU20" s="109"/>
      <c r="AV20" s="109"/>
      <c r="AW20" s="109"/>
      <c r="AX20" s="109"/>
      <c r="AY20" s="109"/>
      <c r="AZ20" s="109"/>
      <c r="BA20" s="470"/>
      <c r="BB20" s="470"/>
      <c r="BC20" s="470"/>
      <c r="BD20" s="470"/>
      <c r="BE20" s="470"/>
      <c r="BF20" s="470"/>
      <c r="BG20" s="470"/>
      <c r="BH20" s="470"/>
      <c r="BI20" s="470"/>
    </row>
    <row r="21" spans="1:61" ht="13.2" hidden="1">
      <c r="A21" s="180"/>
      <c r="B21" s="462"/>
      <c r="C21" s="463"/>
      <c r="D21" s="464"/>
      <c r="E21" s="465"/>
      <c r="F21" s="465"/>
      <c r="G21" s="337"/>
      <c r="H21" s="337"/>
      <c r="I21" s="466"/>
      <c r="J21" s="466"/>
      <c r="K21" s="466"/>
      <c r="L21" s="467"/>
      <c r="M21" s="468"/>
      <c r="N21" s="468"/>
      <c r="O21" s="468"/>
      <c r="P21" s="468"/>
      <c r="Q21" s="468"/>
      <c r="R21" s="22"/>
      <c r="S21" s="22"/>
      <c r="T21" s="22"/>
      <c r="U21" s="22"/>
      <c r="V21" s="21"/>
      <c r="W21" s="22"/>
      <c r="X21" s="21"/>
      <c r="Y21" s="22"/>
      <c r="Z21" s="21"/>
      <c r="AA21" s="22"/>
      <c r="AB21" s="21"/>
      <c r="AC21" s="22">
        <f ca="1">IFERROR(__xludf.DUMMYFUNCTION("""COMPUTED_VALUE"""),44925.6666666666)</f>
        <v>44925.666666666599</v>
      </c>
      <c r="AD21" s="21">
        <f ca="1">IFERROR(__xludf.DUMMYFUNCTION("""COMPUTED_VALUE"""),118)</f>
        <v>118</v>
      </c>
      <c r="AE21" s="24"/>
      <c r="AF21" s="24"/>
      <c r="AG21" s="24"/>
      <c r="AH21" s="24"/>
      <c r="AI21" s="318"/>
      <c r="AJ21" s="318"/>
      <c r="AK21" s="24"/>
      <c r="AL21" s="318"/>
      <c r="AM21" s="318"/>
      <c r="AN21" s="318"/>
      <c r="AO21" s="318"/>
      <c r="AP21" s="318"/>
      <c r="AQ21" s="24"/>
      <c r="AR21" s="24"/>
      <c r="AS21" s="24"/>
      <c r="AT21" s="24"/>
      <c r="AU21" s="24"/>
      <c r="AV21" s="24"/>
      <c r="AW21" s="24"/>
      <c r="AX21" s="24"/>
      <c r="AY21" s="24"/>
      <c r="AZ21" s="24"/>
      <c r="BA21" s="318"/>
      <c r="BB21" s="318"/>
      <c r="BC21" s="318"/>
      <c r="BD21" s="318"/>
      <c r="BE21" s="318"/>
      <c r="BF21" s="318"/>
      <c r="BG21" s="318"/>
      <c r="BH21" s="318"/>
      <c r="BI21" s="318"/>
    </row>
    <row r="22" spans="1:61" ht="13.2">
      <c r="A22" s="134">
        <f>1+A20</f>
        <v>10</v>
      </c>
      <c r="B22" s="26" t="s">
        <v>265</v>
      </c>
      <c r="C22" s="90" t="str">
        <f ca="1">IFERROR(__xludf.DUMMYFUNCTION("GoogleFinance(B22,""name"")"),"Hess Corp")</f>
        <v>Hess Corp</v>
      </c>
      <c r="D22" s="91">
        <f ca="1">IFERROR(__xludf.DUMMYFUNCTION("GoogleFinance(B22,""marketcap"")/1000000"),45591.563591)</f>
        <v>45591.563590999998</v>
      </c>
      <c r="E22" s="92" t="s">
        <v>14</v>
      </c>
      <c r="F22" s="92" t="s">
        <v>264</v>
      </c>
      <c r="G22" s="96">
        <f ca="1">IFERROR(__xludf.DUMMYFUNCTION("GOOGLEFINANCE(B22)"),148.43)</f>
        <v>148.43</v>
      </c>
      <c r="H22" s="346">
        <v>146</v>
      </c>
      <c r="I22" s="103">
        <f ca="1">H22/G22-1</f>
        <v>-1.6371353499966323E-2</v>
      </c>
      <c r="J22" s="92">
        <v>180</v>
      </c>
      <c r="K22" s="469">
        <f ca="1">J22/G22-1</f>
        <v>0.21269285184935649</v>
      </c>
      <c r="L22" s="104">
        <v>3.0000000000000001E-3</v>
      </c>
      <c r="M22" s="104">
        <v>3.4283325203818604E-2</v>
      </c>
      <c r="N22" s="104">
        <v>8.0905913195455925E-2</v>
      </c>
      <c r="O22" s="104">
        <v>2.7197231833909985E-2</v>
      </c>
      <c r="P22" s="104">
        <v>-3.409904340469827E-2</v>
      </c>
      <c r="Q22" s="104">
        <v>4.6608376815681973E-2</v>
      </c>
      <c r="R22" s="94"/>
      <c r="S22" s="94"/>
      <c r="T22" s="94"/>
      <c r="U22" s="94" t="str">
        <f ca="1">IFERROR(__xludf.DUMMYFUNCTION("GoogleFinance(B22,""price"",today()-7)"),"#N/A")</f>
        <v>#N/A</v>
      </c>
      <c r="V22" s="208"/>
      <c r="W22" s="94" t="str">
        <f ca="1">IFERROR(__xludf.DUMMYFUNCTION("GoogleFinance(B22,""price"",today()-31)"),"#N/A")</f>
        <v>#N/A</v>
      </c>
      <c r="X22" s="208"/>
      <c r="Y22" s="94" t="str">
        <f ca="1">IFERROR(__xludf.DUMMYFUNCTION("GoogleFinance(B22,""price"",today()-91)"),"#N/A")</f>
        <v>#N/A</v>
      </c>
      <c r="Z22" s="208"/>
      <c r="AA22" s="94" t="str">
        <f ca="1">IFERROR(__xludf.DUMMYFUNCTION("GoogleFinance(B22,""price"",today()-182)"),"#N/A")</f>
        <v>#N/A</v>
      </c>
      <c r="AB22" s="208"/>
      <c r="AC22" s="94" t="str">
        <f ca="1">IFERROR(__xludf.DUMMYFUNCTION("GoogleFinance(B22,""price"",DATE(2022,12,30))"),"Date")</f>
        <v>Date</v>
      </c>
      <c r="AD22" s="208" t="str">
        <f ca="1">IFERROR(__xludf.DUMMYFUNCTION("""COMPUTED_VALUE"""),"Close")</f>
        <v>Close</v>
      </c>
      <c r="AE22" s="109"/>
      <c r="AF22" s="109"/>
      <c r="AG22" s="109"/>
      <c r="AH22" s="109"/>
      <c r="AI22" s="470"/>
      <c r="AJ22" s="470"/>
      <c r="AK22" s="109"/>
      <c r="AL22" s="470"/>
      <c r="AM22" s="470"/>
      <c r="AN22" s="470"/>
      <c r="AO22" s="470"/>
      <c r="AP22" s="470"/>
      <c r="AQ22" s="109"/>
      <c r="AR22" s="109"/>
      <c r="AS22" s="109"/>
      <c r="AT22" s="109"/>
      <c r="AU22" s="109"/>
      <c r="AV22" s="109"/>
      <c r="AW22" s="109"/>
      <c r="AX22" s="109"/>
      <c r="AY22" s="109"/>
      <c r="AZ22" s="109"/>
      <c r="BA22" s="470"/>
      <c r="BB22" s="470"/>
      <c r="BC22" s="470"/>
      <c r="BD22" s="470"/>
      <c r="BE22" s="470"/>
      <c r="BF22" s="470"/>
      <c r="BG22" s="470"/>
      <c r="BH22" s="470"/>
      <c r="BI22" s="470"/>
    </row>
    <row r="23" spans="1:61" ht="13.2">
      <c r="A23" s="180"/>
      <c r="B23" s="462"/>
      <c r="C23" s="463"/>
      <c r="D23" s="464"/>
      <c r="E23" s="465"/>
      <c r="F23" s="465"/>
      <c r="G23" s="337"/>
      <c r="H23" s="337"/>
      <c r="I23" s="466"/>
      <c r="J23" s="466"/>
      <c r="K23" s="466"/>
      <c r="L23" s="467"/>
      <c r="M23" s="468"/>
      <c r="N23" s="468"/>
      <c r="O23" s="468"/>
      <c r="P23" s="468"/>
      <c r="Q23" s="468"/>
      <c r="R23" s="22"/>
      <c r="S23" s="22"/>
      <c r="T23" s="22"/>
      <c r="U23" s="22"/>
      <c r="V23" s="21"/>
      <c r="W23" s="22"/>
      <c r="X23" s="21"/>
      <c r="Y23" s="22"/>
      <c r="Z23" s="21"/>
      <c r="AA23" s="22"/>
      <c r="AB23" s="21"/>
      <c r="AC23" s="22">
        <f ca="1">IFERROR(__xludf.DUMMYFUNCTION("""COMPUTED_VALUE"""),44925.6666666666)</f>
        <v>44925.666666666599</v>
      </c>
      <c r="AD23" s="21">
        <f ca="1">IFERROR(__xludf.DUMMYFUNCTION("""COMPUTED_VALUE"""),141.82)</f>
        <v>141.82</v>
      </c>
      <c r="AE23" s="24"/>
      <c r="AF23" s="24"/>
      <c r="AG23" s="24"/>
      <c r="AH23" s="24"/>
      <c r="AI23" s="318"/>
      <c r="AJ23" s="318"/>
      <c r="AK23" s="24"/>
      <c r="AL23" s="318"/>
      <c r="AM23" s="318"/>
      <c r="AN23" s="318"/>
      <c r="AO23" s="318"/>
      <c r="AP23" s="318"/>
      <c r="AQ23" s="24"/>
      <c r="AR23" s="24"/>
      <c r="AS23" s="24"/>
      <c r="AT23" s="24"/>
      <c r="AU23" s="24"/>
      <c r="AV23" s="24"/>
      <c r="AW23" s="24"/>
      <c r="AX23" s="24"/>
      <c r="AY23" s="24"/>
      <c r="AZ23" s="24"/>
      <c r="BA23" s="318"/>
      <c r="BB23" s="318"/>
      <c r="BC23" s="318"/>
      <c r="BD23" s="318"/>
      <c r="BE23" s="318"/>
      <c r="BF23" s="318"/>
      <c r="BG23" s="318"/>
      <c r="BH23" s="318"/>
      <c r="BI23" s="318"/>
    </row>
    <row r="24" spans="1:61" ht="13.2">
      <c r="A24" s="180"/>
      <c r="B24" s="274" t="s">
        <v>266</v>
      </c>
      <c r="C24" s="275"/>
      <c r="D24" s="276"/>
      <c r="E24" s="277"/>
      <c r="F24" s="277"/>
      <c r="G24" s="278"/>
      <c r="H24" s="278"/>
      <c r="I24" s="278"/>
      <c r="J24" s="278"/>
      <c r="K24" s="278"/>
      <c r="L24" s="278"/>
      <c r="M24" s="278"/>
      <c r="N24" s="278"/>
      <c r="O24" s="278"/>
      <c r="P24" s="278"/>
      <c r="Q24" s="278"/>
      <c r="R24" s="22"/>
      <c r="S24" s="22"/>
      <c r="T24" s="22"/>
      <c r="U24" s="22"/>
      <c r="V24" s="27"/>
      <c r="W24" s="22"/>
      <c r="X24" s="27"/>
      <c r="Y24" s="22"/>
      <c r="Z24" s="27"/>
      <c r="AA24" s="22"/>
      <c r="AB24" s="27"/>
      <c r="AC24" s="22"/>
      <c r="AD24" s="27"/>
      <c r="AE24" s="24"/>
      <c r="AF24" s="24"/>
      <c r="AG24" s="24"/>
      <c r="AH24" s="24"/>
      <c r="AK24" s="24"/>
      <c r="AQ24" s="24"/>
      <c r="AR24" s="24"/>
      <c r="AS24" s="24"/>
      <c r="AT24" s="24"/>
      <c r="AU24" s="24"/>
      <c r="AV24" s="24"/>
      <c r="AW24" s="24"/>
      <c r="AX24" s="24"/>
      <c r="AY24" s="24"/>
      <c r="AZ24" s="24"/>
    </row>
    <row r="25" spans="1:61" ht="13.2">
      <c r="A25" s="45">
        <v>1</v>
      </c>
      <c r="B25" s="1" t="s">
        <v>267</v>
      </c>
      <c r="C25" s="46" t="str">
        <f ca="1">IFERROR(__xludf.DUMMYFUNCTION("GoogleFinance(B25,""name"")"),"Equinor ASA")</f>
        <v>Equinor ASA</v>
      </c>
      <c r="D25" s="47">
        <f ca="1">IFERROR(__xludf.DUMMYFUNCTION("GoogleFinance(B25,""marketcap"")/1000000"),75231.089334)</f>
        <v>75231.089334000004</v>
      </c>
      <c r="E25" s="48" t="s">
        <v>14</v>
      </c>
      <c r="F25" s="48" t="s">
        <v>117</v>
      </c>
      <c r="G25" s="50">
        <f ca="1">IFERROR(__xludf.DUMMYFUNCTION("GOOGLEFINANCE(B25)"),25.46)</f>
        <v>25.46</v>
      </c>
      <c r="H25" s="57">
        <v>30.2</v>
      </c>
      <c r="I25" s="55">
        <f ca="1">H25/G25-1</f>
        <v>0.18617439120188517</v>
      </c>
      <c r="J25" s="48">
        <v>37</v>
      </c>
      <c r="K25" s="76">
        <f ca="1">J25/G25-1</f>
        <v>0.45326001571091901</v>
      </c>
      <c r="L25" s="10">
        <v>1.15E-2</v>
      </c>
      <c r="M25" s="10">
        <v>-3.4508911642017415E-2</v>
      </c>
      <c r="N25" s="10">
        <v>-0.10130603600423571</v>
      </c>
      <c r="O25" s="10">
        <v>-0.22566909975669103</v>
      </c>
      <c r="P25" s="10">
        <v>-0.1728395061728395</v>
      </c>
      <c r="Q25" s="10">
        <v>-0.28902541189611841</v>
      </c>
      <c r="R25" s="2"/>
      <c r="S25" s="2"/>
      <c r="T25" s="2"/>
      <c r="U25" s="2" t="str">
        <f ca="1">IFERROR(__xludf.DUMMYFUNCTION("GoogleFinance(B25,""price"",today()-7)"),"#N/A")</f>
        <v>#N/A</v>
      </c>
      <c r="V25" s="27"/>
      <c r="W25" s="2" t="str">
        <f ca="1">IFERROR(__xludf.DUMMYFUNCTION("GoogleFinance(B25,""price"",today()-31)"),"#N/A")</f>
        <v>#N/A</v>
      </c>
      <c r="X25" s="27"/>
      <c r="Y25" s="2" t="str">
        <f ca="1">IFERROR(__xludf.DUMMYFUNCTION("GoogleFinance(B25,""price"",today()-91)"),"#N/A")</f>
        <v>#N/A</v>
      </c>
      <c r="Z25" s="27"/>
      <c r="AA25" s="2" t="str">
        <f ca="1">IFERROR(__xludf.DUMMYFUNCTION("GoogleFinance(B25,""price"",today()-182)"),"#N/A")</f>
        <v>#N/A</v>
      </c>
      <c r="AB25" s="27"/>
      <c r="AC25" s="2" t="str">
        <f ca="1">IFERROR(__xludf.DUMMYFUNCTION("GoogleFinance(B25,""price"",DATE(2022,12,30))"),"Date")</f>
        <v>Date</v>
      </c>
      <c r="AD25" s="27" t="str">
        <f ca="1">IFERROR(__xludf.DUMMYFUNCTION("""COMPUTED_VALUE"""),"Close")</f>
        <v>Close</v>
      </c>
      <c r="AE25" s="5"/>
      <c r="AF25" s="5"/>
      <c r="AG25" s="5"/>
      <c r="AH25" s="5"/>
      <c r="AK25" s="5"/>
      <c r="AQ25" s="5"/>
      <c r="AR25" s="5"/>
      <c r="AS25" s="5"/>
      <c r="AT25" s="5"/>
      <c r="AU25" s="5"/>
      <c r="AV25" s="5"/>
      <c r="AW25" s="5"/>
      <c r="AX25" s="5"/>
      <c r="AY25" s="5"/>
      <c r="AZ25" s="5"/>
    </row>
    <row r="26" spans="1:61" ht="13.2" hidden="1">
      <c r="A26" s="45" t="e">
        <f>1+#REF!</f>
        <v>#REF!</v>
      </c>
      <c r="B26" s="471"/>
      <c r="C26" s="472"/>
      <c r="D26" s="471"/>
      <c r="E26" s="471"/>
      <c r="F26" s="471"/>
      <c r="G26" s="473"/>
      <c r="H26" s="473"/>
      <c r="I26" s="474"/>
      <c r="J26" s="474"/>
      <c r="K26" s="474"/>
      <c r="L26" s="475"/>
      <c r="M26" s="471"/>
      <c r="N26" s="471"/>
      <c r="O26" s="471"/>
      <c r="P26" s="471"/>
      <c r="Q26" s="471"/>
      <c r="R26" s="22"/>
      <c r="S26" s="22"/>
      <c r="T26" s="22"/>
      <c r="U26" s="22"/>
      <c r="V26" s="21"/>
      <c r="W26" s="22"/>
      <c r="X26" s="21"/>
      <c r="Y26" s="22"/>
      <c r="Z26" s="21"/>
      <c r="AA26" s="22"/>
      <c r="AB26" s="21"/>
      <c r="AC26" s="22">
        <f ca="1">IFERROR(__xludf.DUMMYFUNCTION("""COMPUTED_VALUE"""),44925.6666666666)</f>
        <v>44925.666666666599</v>
      </c>
      <c r="AD26" s="21">
        <f ca="1">IFERROR(__xludf.DUMMYFUNCTION("""COMPUTED_VALUE"""),35.81)</f>
        <v>35.81</v>
      </c>
      <c r="AE26" s="24"/>
      <c r="AF26" s="24"/>
      <c r="AG26" s="24"/>
      <c r="AH26" s="24"/>
      <c r="AI26" s="318"/>
      <c r="AJ26" s="318"/>
      <c r="AK26" s="24"/>
      <c r="AL26" s="318"/>
      <c r="AM26" s="318"/>
      <c r="AN26" s="318"/>
      <c r="AO26" s="318"/>
      <c r="AP26" s="318"/>
      <c r="AQ26" s="24"/>
      <c r="AR26" s="24"/>
      <c r="AS26" s="24"/>
      <c r="AT26" s="24"/>
      <c r="AU26" s="24"/>
      <c r="AV26" s="24"/>
      <c r="AW26" s="24"/>
      <c r="AX26" s="24"/>
      <c r="AY26" s="24"/>
      <c r="AZ26" s="24"/>
      <c r="BA26" s="318"/>
      <c r="BB26" s="318"/>
      <c r="BC26" s="318"/>
      <c r="BD26" s="318"/>
      <c r="BE26" s="318"/>
      <c r="BF26" s="318"/>
      <c r="BG26" s="318"/>
      <c r="BH26" s="318"/>
      <c r="BI26" s="318"/>
    </row>
    <row r="27" spans="1:61" ht="13.2">
      <c r="A27" s="45">
        <f t="shared" ref="A27:A33" si="1">1+A25</f>
        <v>2</v>
      </c>
      <c r="B27" s="1" t="s">
        <v>268</v>
      </c>
      <c r="C27" s="46" t="str">
        <f ca="1">IFERROR(__xludf.DUMMYFUNCTION("GoogleFinance(B27,""name"")"),"Consol Energy Inc")</f>
        <v>Consol Energy Inc</v>
      </c>
      <c r="D27" s="47">
        <f ca="1">IFERROR(__xludf.DUMMYFUNCTION("GoogleFinance(B27,""marketcap"")/1000000"),2337.488384)</f>
        <v>2337.4883840000002</v>
      </c>
      <c r="E27" s="48" t="s">
        <v>14</v>
      </c>
      <c r="F27" s="48" t="s">
        <v>269</v>
      </c>
      <c r="G27" s="50">
        <f ca="1">IFERROR(__xludf.DUMMYFUNCTION("GOOGLEFINANCE(B27)"),78.96)</f>
        <v>78.959999999999994</v>
      </c>
      <c r="H27" s="57">
        <v>90</v>
      </c>
      <c r="I27" s="55">
        <f ca="1">H27/G27-1</f>
        <v>0.13981762917933138</v>
      </c>
      <c r="J27" s="48">
        <v>130</v>
      </c>
      <c r="K27" s="76">
        <f ca="1">J27/G27-1</f>
        <v>0.64640324214792311</v>
      </c>
      <c r="L27" s="10">
        <v>-1.83E-2</v>
      </c>
      <c r="M27" s="10">
        <v>-5.9103908484270828E-2</v>
      </c>
      <c r="N27" s="10">
        <v>-0.21759809750297276</v>
      </c>
      <c r="O27" s="10">
        <v>-0.21790808240887483</v>
      </c>
      <c r="P27" s="10">
        <v>-6.0559190957763298E-2</v>
      </c>
      <c r="Q27" s="10">
        <v>0.2147692307692306</v>
      </c>
      <c r="R27" s="2"/>
      <c r="S27" s="2"/>
      <c r="T27" s="2"/>
      <c r="U27" s="2" t="str">
        <f ca="1">IFERROR(__xludf.DUMMYFUNCTION("GoogleFinance(B27,""price"",today()-7)"),"#N/A")</f>
        <v>#N/A</v>
      </c>
      <c r="V27" s="27"/>
      <c r="W27" s="2" t="str">
        <f ca="1">IFERROR(__xludf.DUMMYFUNCTION("GoogleFinance(B27,""price"",today()-31)"),"#N/A")</f>
        <v>#N/A</v>
      </c>
      <c r="X27" s="27"/>
      <c r="Y27" s="2" t="str">
        <f ca="1">IFERROR(__xludf.DUMMYFUNCTION("GoogleFinance(B27,""price"",today()-91)"),"#N/A")</f>
        <v>#N/A</v>
      </c>
      <c r="Z27" s="27"/>
      <c r="AA27" s="2" t="str">
        <f ca="1">IFERROR(__xludf.DUMMYFUNCTION("GoogleFinance(B27,""price"",today()-182)"),"#N/A")</f>
        <v>#N/A</v>
      </c>
      <c r="AB27" s="27"/>
      <c r="AC27" s="2" t="str">
        <f ca="1">IFERROR(__xludf.DUMMYFUNCTION("GoogleFinance(B27,""price"",DATE(2022,12,30))"),"Date")</f>
        <v>Date</v>
      </c>
      <c r="AD27" s="27" t="str">
        <f ca="1">IFERROR(__xludf.DUMMYFUNCTION("""COMPUTED_VALUE"""),"Close")</f>
        <v>Close</v>
      </c>
      <c r="AE27" s="5"/>
      <c r="AF27" s="5"/>
      <c r="AG27" s="5"/>
      <c r="AH27" s="5"/>
      <c r="AK27" s="5"/>
      <c r="AQ27" s="5"/>
      <c r="AR27" s="5"/>
      <c r="AS27" s="5"/>
      <c r="AT27" s="5"/>
      <c r="AU27" s="5"/>
      <c r="AV27" s="5"/>
      <c r="AW27" s="5"/>
      <c r="AX27" s="5"/>
      <c r="AY27" s="5"/>
      <c r="AZ27" s="5"/>
    </row>
    <row r="28" spans="1:61" ht="13.2" hidden="1">
      <c r="A28" s="45" t="e">
        <f t="shared" si="1"/>
        <v>#REF!</v>
      </c>
      <c r="B28" s="310"/>
      <c r="C28" s="311"/>
      <c r="D28" s="310"/>
      <c r="E28" s="310"/>
      <c r="F28" s="310"/>
      <c r="G28" s="312"/>
      <c r="H28" s="312"/>
      <c r="I28" s="314"/>
      <c r="J28" s="314"/>
      <c r="K28" s="314"/>
      <c r="L28" s="315"/>
      <c r="M28" s="310"/>
      <c r="N28" s="310"/>
      <c r="O28" s="310"/>
      <c r="P28" s="310"/>
      <c r="Q28" s="310"/>
      <c r="R28" s="22"/>
      <c r="S28" s="22"/>
      <c r="T28" s="22"/>
      <c r="U28" s="22"/>
      <c r="V28" s="21"/>
      <c r="W28" s="22"/>
      <c r="X28" s="21"/>
      <c r="Y28" s="22"/>
      <c r="Z28" s="21"/>
      <c r="AA28" s="22"/>
      <c r="AB28" s="21"/>
      <c r="AC28" s="22">
        <f ca="1">IFERROR(__xludf.DUMMYFUNCTION("""COMPUTED_VALUE"""),44925.6666666666)</f>
        <v>44925.666666666599</v>
      </c>
      <c r="AD28" s="21">
        <f ca="1">IFERROR(__xludf.DUMMYFUNCTION("""COMPUTED_VALUE"""),65)</f>
        <v>65</v>
      </c>
      <c r="AE28" s="24"/>
      <c r="AF28" s="24"/>
      <c r="AG28" s="24"/>
      <c r="AH28" s="24"/>
      <c r="AI28" s="318"/>
      <c r="AJ28" s="318"/>
      <c r="AK28" s="24"/>
      <c r="AL28" s="318"/>
      <c r="AM28" s="318"/>
      <c r="AN28" s="318"/>
      <c r="AO28" s="318"/>
      <c r="AP28" s="318"/>
      <c r="AQ28" s="24"/>
      <c r="AR28" s="24"/>
      <c r="AS28" s="24"/>
      <c r="AT28" s="24"/>
      <c r="AU28" s="24"/>
      <c r="AV28" s="24"/>
      <c r="AW28" s="24"/>
      <c r="AX28" s="24"/>
      <c r="AY28" s="24"/>
      <c r="AZ28" s="24"/>
      <c r="BA28" s="318"/>
      <c r="BB28" s="318"/>
      <c r="BC28" s="318"/>
      <c r="BD28" s="318"/>
      <c r="BE28" s="318"/>
      <c r="BF28" s="318"/>
      <c r="BG28" s="318"/>
      <c r="BH28" s="318"/>
      <c r="BI28" s="318"/>
    </row>
    <row r="29" spans="1:61" ht="13.2">
      <c r="A29" s="45">
        <f t="shared" si="1"/>
        <v>3</v>
      </c>
      <c r="B29" s="1" t="s">
        <v>270</v>
      </c>
      <c r="C29" s="46" t="str">
        <f ca="1">IFERROR(__xludf.DUMMYFUNCTION("GoogleFinance(B29,""name"")"),"Propetro Holding Corp")</f>
        <v>Propetro Holding Corp</v>
      </c>
      <c r="D29" s="47">
        <f ca="1">IFERROR(__xludf.DUMMYFUNCTION("GoogleFinance(B29,""marketcap"")/1000000"),914.972931)</f>
        <v>914.97293100000002</v>
      </c>
      <c r="E29" s="48" t="s">
        <v>14</v>
      </c>
      <c r="F29" s="48" t="s">
        <v>121</v>
      </c>
      <c r="G29" s="50">
        <f ca="1">IFERROR(__xludf.DUMMYFUNCTION("GOOGLEFINANCE(B29)"),8.3)</f>
        <v>8.3000000000000007</v>
      </c>
      <c r="H29" s="57">
        <v>9.8000000000000007</v>
      </c>
      <c r="I29" s="55">
        <f ca="1">H29/G29-1</f>
        <v>0.18072289156626509</v>
      </c>
      <c r="J29" s="48">
        <v>14</v>
      </c>
      <c r="K29" s="76">
        <f ca="1">J29/G29-1</f>
        <v>0.68674698795180711</v>
      </c>
      <c r="L29" s="10">
        <v>9.7000000000000003E-3</v>
      </c>
      <c r="M29" s="10">
        <v>4.9304677623261739E-2</v>
      </c>
      <c r="N29" s="10">
        <v>9.067017082785811E-2</v>
      </c>
      <c r="O29" s="10">
        <v>-0.11134903640256955</v>
      </c>
      <c r="P29" s="10">
        <v>-0.17082917082917071</v>
      </c>
      <c r="Q29" s="10">
        <v>-0.19961427193828341</v>
      </c>
      <c r="R29" s="2"/>
      <c r="S29" s="2"/>
      <c r="T29" s="2"/>
      <c r="U29" s="2" t="str">
        <f ca="1">IFERROR(__xludf.DUMMYFUNCTION("GoogleFinance(B29,""price"",today()-7)"),"#N/A")</f>
        <v>#N/A</v>
      </c>
      <c r="V29" s="27"/>
      <c r="W29" s="2" t="str">
        <f ca="1">IFERROR(__xludf.DUMMYFUNCTION("GoogleFinance(B29,""price"",today()-31)"),"#N/A")</f>
        <v>#N/A</v>
      </c>
      <c r="X29" s="27"/>
      <c r="Y29" s="2" t="str">
        <f ca="1">IFERROR(__xludf.DUMMYFUNCTION("GoogleFinance(B29,""price"",today()-91)"),"#N/A")</f>
        <v>#N/A</v>
      </c>
      <c r="Z29" s="27"/>
      <c r="AA29" s="2" t="str">
        <f ca="1">IFERROR(__xludf.DUMMYFUNCTION("GoogleFinance(B29,""price"",today()-182)"),"#N/A")</f>
        <v>#N/A</v>
      </c>
      <c r="AB29" s="27"/>
      <c r="AC29" s="2" t="str">
        <f ca="1">IFERROR(__xludf.DUMMYFUNCTION("GoogleFinance(B29,""price"",DATE(2022,12,30))"),"Date")</f>
        <v>Date</v>
      </c>
      <c r="AD29" s="27" t="str">
        <f ca="1">IFERROR(__xludf.DUMMYFUNCTION("""COMPUTED_VALUE"""),"Close")</f>
        <v>Close</v>
      </c>
      <c r="AE29" s="5"/>
      <c r="AF29" s="5"/>
      <c r="AG29" s="5"/>
      <c r="AH29" s="5"/>
      <c r="AK29" s="5"/>
      <c r="AQ29" s="5"/>
      <c r="AR29" s="5"/>
      <c r="AS29" s="5"/>
      <c r="AT29" s="5"/>
      <c r="AU29" s="5"/>
      <c r="AV29" s="5"/>
      <c r="AW29" s="5"/>
      <c r="AX29" s="5"/>
      <c r="AY29" s="5"/>
      <c r="AZ29" s="5"/>
    </row>
    <row r="30" spans="1:61" ht="13.2" hidden="1">
      <c r="A30" s="45" t="e">
        <f t="shared" si="1"/>
        <v>#REF!</v>
      </c>
      <c r="B30" s="310"/>
      <c r="C30" s="311"/>
      <c r="D30" s="310"/>
      <c r="E30" s="310"/>
      <c r="F30" s="310"/>
      <c r="G30" s="312"/>
      <c r="H30" s="312"/>
      <c r="I30" s="314"/>
      <c r="J30" s="314"/>
      <c r="K30" s="314"/>
      <c r="L30" s="315"/>
      <c r="M30" s="310"/>
      <c r="N30" s="310"/>
      <c r="O30" s="310"/>
      <c r="P30" s="310"/>
      <c r="Q30" s="310"/>
      <c r="R30" s="22"/>
      <c r="S30" s="22"/>
      <c r="T30" s="22"/>
      <c r="U30" s="22"/>
      <c r="V30" s="21"/>
      <c r="W30" s="22"/>
      <c r="X30" s="21"/>
      <c r="Y30" s="22"/>
      <c r="Z30" s="21"/>
      <c r="AA30" s="22"/>
      <c r="AB30" s="21"/>
      <c r="AC30" s="22">
        <f ca="1">IFERROR(__xludf.DUMMYFUNCTION("""COMPUTED_VALUE"""),44925.6666666666)</f>
        <v>44925.666666666599</v>
      </c>
      <c r="AD30" s="21">
        <f ca="1">IFERROR(__xludf.DUMMYFUNCTION("""COMPUTED_VALUE"""),10.37)</f>
        <v>10.37</v>
      </c>
      <c r="AE30" s="24"/>
      <c r="AF30" s="24"/>
      <c r="AG30" s="24"/>
      <c r="AH30" s="24"/>
      <c r="AI30" s="318"/>
      <c r="AJ30" s="318"/>
      <c r="AK30" s="24"/>
      <c r="AL30" s="318"/>
      <c r="AM30" s="318"/>
      <c r="AN30" s="318"/>
      <c r="AO30" s="318"/>
      <c r="AP30" s="318"/>
      <c r="AQ30" s="24"/>
      <c r="AR30" s="24"/>
      <c r="AS30" s="24"/>
      <c r="AT30" s="24"/>
      <c r="AU30" s="24"/>
      <c r="AV30" s="24"/>
      <c r="AW30" s="24"/>
      <c r="AX30" s="24"/>
      <c r="AY30" s="24"/>
      <c r="AZ30" s="24"/>
      <c r="BA30" s="318"/>
      <c r="BB30" s="318"/>
      <c r="BC30" s="318"/>
      <c r="BD30" s="318"/>
      <c r="BE30" s="318"/>
      <c r="BF30" s="318"/>
      <c r="BG30" s="318"/>
      <c r="BH30" s="318"/>
      <c r="BI30" s="318"/>
    </row>
    <row r="31" spans="1:61" ht="13.2">
      <c r="A31" s="45">
        <f t="shared" si="1"/>
        <v>4</v>
      </c>
      <c r="B31" s="26" t="s">
        <v>271</v>
      </c>
      <c r="C31" s="90" t="str">
        <f ca="1">IFERROR(__xludf.DUMMYFUNCTION("GoogleFinance(B31,""name"")"),"Copa Holdings, S.A.")</f>
        <v>Copa Holdings, S.A.</v>
      </c>
      <c r="D31" s="91">
        <f ca="1">IFERROR(__xludf.DUMMYFUNCTION("GoogleFinance(B31,""marketcap"")/1000000"),4161.654007)</f>
        <v>4161.6540070000001</v>
      </c>
      <c r="E31" s="92" t="s">
        <v>10</v>
      </c>
      <c r="F31" s="92" t="s">
        <v>272</v>
      </c>
      <c r="G31" s="96">
        <f ca="1">IFERROR(__xludf.DUMMYFUNCTION("GOOGLEFINANCE(B31)"),99.02)</f>
        <v>99.02</v>
      </c>
      <c r="H31" s="346">
        <v>85</v>
      </c>
      <c r="I31" s="103">
        <f ca="1">H31/G31-1</f>
        <v>-0.14158755806907697</v>
      </c>
      <c r="J31" s="92">
        <v>105</v>
      </c>
      <c r="K31" s="469">
        <f ca="1">J31/G31-1</f>
        <v>6.0391840032316679E-2</v>
      </c>
      <c r="L31" s="104">
        <v>-8.1000000000000013E-3</v>
      </c>
      <c r="M31" s="104">
        <v>-8.5110643836988631E-3</v>
      </c>
      <c r="N31" s="104">
        <v>9.6688448333148713E-2</v>
      </c>
      <c r="O31" s="104">
        <v>4.6723044397463109E-2</v>
      </c>
      <c r="P31" s="104">
        <v>1.4445241266263675E-2</v>
      </c>
      <c r="Q31" s="104">
        <v>0.19057352410725015</v>
      </c>
      <c r="R31" s="94"/>
      <c r="S31" s="94"/>
      <c r="T31" s="94"/>
      <c r="U31" s="94" t="str">
        <f ca="1">IFERROR(__xludf.DUMMYFUNCTION("GoogleFinance(B31,""price"",today()-7)"),"#N/A")</f>
        <v>#N/A</v>
      </c>
      <c r="V31" s="108"/>
      <c r="W31" s="94" t="str">
        <f ca="1">IFERROR(__xludf.DUMMYFUNCTION("GoogleFinance(B31,""price"",today()-31)"),"#N/A")</f>
        <v>#N/A</v>
      </c>
      <c r="X31" s="108"/>
      <c r="Y31" s="94" t="str">
        <f ca="1">IFERROR(__xludf.DUMMYFUNCTION("GoogleFinance(B31,""price"",today()-91)"),"#N/A")</f>
        <v>#N/A</v>
      </c>
      <c r="Z31" s="108"/>
      <c r="AA31" s="94" t="str">
        <f ca="1">IFERROR(__xludf.DUMMYFUNCTION("GoogleFinance(B31,""price"",today()-182)"),"#N/A")</f>
        <v>#N/A</v>
      </c>
      <c r="AB31" s="108"/>
      <c r="AC31" s="94" t="str">
        <f ca="1">IFERROR(__xludf.DUMMYFUNCTION("GoogleFinance(B31,""price"",DATE(2022,12,30))"),"Date")</f>
        <v>Date</v>
      </c>
      <c r="AD31" s="108" t="str">
        <f ca="1">IFERROR(__xludf.DUMMYFUNCTION("""COMPUTED_VALUE"""),"Close")</f>
        <v>Close</v>
      </c>
      <c r="AE31" s="109"/>
      <c r="AF31" s="109"/>
      <c r="AG31" s="109"/>
      <c r="AH31" s="109"/>
      <c r="AI31" s="110"/>
      <c r="AJ31" s="110"/>
      <c r="AK31" s="109"/>
      <c r="AL31" s="110"/>
      <c r="AM31" s="110"/>
      <c r="AN31" s="110"/>
      <c r="AO31" s="110"/>
      <c r="AP31" s="110"/>
      <c r="AQ31" s="109"/>
      <c r="AR31" s="109"/>
      <c r="AS31" s="109"/>
      <c r="AT31" s="109"/>
      <c r="AU31" s="109"/>
      <c r="AV31" s="109"/>
      <c r="AW31" s="109"/>
      <c r="AX31" s="109"/>
      <c r="AY31" s="109"/>
      <c r="AZ31" s="109"/>
      <c r="BA31" s="110"/>
      <c r="BB31" s="110"/>
      <c r="BC31" s="110"/>
      <c r="BD31" s="110"/>
      <c r="BE31" s="110"/>
      <c r="BF31" s="110"/>
      <c r="BG31" s="110"/>
      <c r="BH31" s="110"/>
      <c r="BI31" s="110"/>
    </row>
    <row r="32" spans="1:61" ht="13.2" hidden="1">
      <c r="A32" s="45" t="e">
        <f t="shared" si="1"/>
        <v>#REF!</v>
      </c>
      <c r="B32" s="310"/>
      <c r="C32" s="311"/>
      <c r="D32" s="310"/>
      <c r="E32" s="310"/>
      <c r="F32" s="310"/>
      <c r="G32" s="312"/>
      <c r="H32" s="312"/>
      <c r="I32" s="314"/>
      <c r="J32" s="314"/>
      <c r="K32" s="314"/>
      <c r="L32" s="315"/>
      <c r="M32" s="310"/>
      <c r="N32" s="310"/>
      <c r="O32" s="310"/>
      <c r="P32" s="310"/>
      <c r="Q32" s="310"/>
      <c r="R32" s="22"/>
      <c r="S32" s="22"/>
      <c r="T32" s="22"/>
      <c r="U32" s="22"/>
      <c r="V32" s="21"/>
      <c r="W32" s="22"/>
      <c r="X32" s="21"/>
      <c r="Y32" s="22"/>
      <c r="Z32" s="21"/>
      <c r="AA32" s="22"/>
      <c r="AB32" s="21"/>
      <c r="AC32" s="22">
        <f ca="1">IFERROR(__xludf.DUMMYFUNCTION("""COMPUTED_VALUE"""),44925.6666666666)</f>
        <v>44925.666666666599</v>
      </c>
      <c r="AD32" s="21">
        <f ca="1">IFERROR(__xludf.DUMMYFUNCTION("""COMPUTED_VALUE"""),83.17)</f>
        <v>83.17</v>
      </c>
      <c r="AE32" s="24"/>
      <c r="AF32" s="24"/>
      <c r="AG32" s="24"/>
      <c r="AH32" s="24"/>
      <c r="AI32" s="318"/>
      <c r="AJ32" s="318"/>
      <c r="AK32" s="24"/>
      <c r="AL32" s="318"/>
      <c r="AM32" s="318"/>
      <c r="AN32" s="318"/>
      <c r="AO32" s="318"/>
      <c r="AP32" s="318"/>
      <c r="AQ32" s="24"/>
      <c r="AR32" s="24"/>
      <c r="AS32" s="24"/>
      <c r="AT32" s="24"/>
      <c r="AU32" s="24"/>
      <c r="AV32" s="24"/>
      <c r="AW32" s="24"/>
      <c r="AX32" s="24"/>
      <c r="AY32" s="24"/>
      <c r="AZ32" s="24"/>
      <c r="BA32" s="318"/>
      <c r="BB32" s="318"/>
      <c r="BC32" s="318"/>
      <c r="BD32" s="318"/>
      <c r="BE32" s="318"/>
      <c r="BF32" s="318"/>
      <c r="BG32" s="318"/>
      <c r="BH32" s="318"/>
      <c r="BI32" s="318"/>
    </row>
    <row r="33" spans="1:61" ht="13.2">
      <c r="A33" s="45">
        <f t="shared" si="1"/>
        <v>5</v>
      </c>
      <c r="B33" s="26" t="s">
        <v>273</v>
      </c>
      <c r="C33" s="90" t="str">
        <f ca="1">IFERROR(__xludf.DUMMYFUNCTION("GoogleFinance(B33,""name"")"),"Open Text Corp")</f>
        <v>Open Text Corp</v>
      </c>
      <c r="D33" s="91">
        <f ca="1">IFERROR(__xludf.DUMMYFUNCTION("GoogleFinance(B33,""marketcap"")/1000000"),10880.57)</f>
        <v>10880.57</v>
      </c>
      <c r="E33" s="92" t="s">
        <v>7</v>
      </c>
      <c r="F33" s="92" t="s">
        <v>274</v>
      </c>
      <c r="G33" s="96">
        <f ca="1">IFERROR(__xludf.DUMMYFUNCTION("GOOGLEFINANCE(B33)"),39.98)</f>
        <v>39.979999999999997</v>
      </c>
      <c r="H33" s="346">
        <v>36.6</v>
      </c>
      <c r="I33" s="103">
        <f ca="1">H33/G33-1</f>
        <v>-8.454227113556767E-2</v>
      </c>
      <c r="J33" s="92">
        <v>78</v>
      </c>
      <c r="K33" s="469">
        <f ca="1">J33/G33-1</f>
        <v>0.95097548774387208</v>
      </c>
      <c r="L33" s="104">
        <v>-1.41E-2</v>
      </c>
      <c r="M33" s="104">
        <v>-1.9617459538989857E-2</v>
      </c>
      <c r="N33" s="104">
        <v>-2.8904542142336731E-2</v>
      </c>
      <c r="O33" s="104">
        <v>2.7235354573484027E-2</v>
      </c>
      <c r="P33" s="104">
        <v>7.0414993306559426E-2</v>
      </c>
      <c r="Q33" s="104">
        <v>0.34885290148448034</v>
      </c>
      <c r="R33" s="94"/>
      <c r="S33" s="94"/>
      <c r="T33" s="94"/>
      <c r="U33" s="94" t="str">
        <f ca="1">IFERROR(__xludf.DUMMYFUNCTION("GoogleFinance(B33,""price"",today()-7)"),"#N/A")</f>
        <v>#N/A</v>
      </c>
      <c r="V33" s="108"/>
      <c r="W33" s="94" t="str">
        <f ca="1">IFERROR(__xludf.DUMMYFUNCTION("GoogleFinance(B33,""price"",today()-31)"),"#N/A")</f>
        <v>#N/A</v>
      </c>
      <c r="X33" s="108"/>
      <c r="Y33" s="94" t="str">
        <f ca="1">IFERROR(__xludf.DUMMYFUNCTION("GoogleFinance(B33,""price"",today()-91)"),"#N/A")</f>
        <v>#N/A</v>
      </c>
      <c r="Z33" s="108"/>
      <c r="AA33" s="94" t="str">
        <f ca="1">IFERROR(__xludf.DUMMYFUNCTION("GoogleFinance(B33,""price"",today()-182)"),"#N/A")</f>
        <v>#N/A</v>
      </c>
      <c r="AB33" s="108"/>
      <c r="AC33" s="94" t="str">
        <f ca="1">IFERROR(__xludf.DUMMYFUNCTION("GoogleFinance(B33,""price"",DATE(2022,12,30))"),"Date")</f>
        <v>Date</v>
      </c>
      <c r="AD33" s="108" t="str">
        <f ca="1">IFERROR(__xludf.DUMMYFUNCTION("""COMPUTED_VALUE"""),"Close")</f>
        <v>Close</v>
      </c>
      <c r="AE33" s="109"/>
      <c r="AF33" s="109"/>
      <c r="AG33" s="109"/>
      <c r="AH33" s="109"/>
      <c r="AI33" s="110"/>
      <c r="AJ33" s="110"/>
      <c r="AK33" s="109"/>
      <c r="AL33" s="110"/>
      <c r="AM33" s="110"/>
      <c r="AN33" s="110"/>
      <c r="AO33" s="110"/>
      <c r="AP33" s="110"/>
      <c r="AQ33" s="109"/>
      <c r="AR33" s="109"/>
      <c r="AS33" s="109"/>
      <c r="AT33" s="109"/>
      <c r="AU33" s="109"/>
      <c r="AV33" s="109"/>
      <c r="AW33" s="109"/>
      <c r="AX33" s="109"/>
      <c r="AY33" s="109"/>
      <c r="AZ33" s="109"/>
      <c r="BA33" s="110"/>
      <c r="BB33" s="110"/>
      <c r="BC33" s="110"/>
      <c r="BD33" s="110"/>
      <c r="BE33" s="110"/>
      <c r="BF33" s="110"/>
      <c r="BG33" s="110"/>
      <c r="BH33" s="110"/>
      <c r="BI33" s="110"/>
    </row>
    <row r="34" spans="1:61" ht="13.2" hidden="1">
      <c r="A34" s="180"/>
      <c r="B34" s="310"/>
      <c r="C34" s="311"/>
      <c r="D34" s="310"/>
      <c r="E34" s="310"/>
      <c r="F34" s="310"/>
      <c r="G34" s="312"/>
      <c r="H34" s="312"/>
      <c r="I34" s="314"/>
      <c r="J34" s="314"/>
      <c r="K34" s="314"/>
      <c r="L34" s="315"/>
      <c r="M34" s="310"/>
      <c r="N34" s="310"/>
      <c r="O34" s="310"/>
      <c r="P34" s="310"/>
      <c r="Q34" s="310"/>
      <c r="R34" s="22"/>
      <c r="S34" s="22"/>
      <c r="T34" s="22"/>
      <c r="U34" s="22"/>
      <c r="V34" s="21"/>
      <c r="W34" s="22"/>
      <c r="X34" s="21"/>
      <c r="Y34" s="22"/>
      <c r="Z34" s="21"/>
      <c r="AA34" s="22"/>
      <c r="AB34" s="21"/>
      <c r="AC34" s="22">
        <f ca="1">IFERROR(__xludf.DUMMYFUNCTION("""COMPUTED_VALUE"""),44925.6666666666)</f>
        <v>44925.666666666599</v>
      </c>
      <c r="AD34" s="21">
        <f ca="1">IFERROR(__xludf.DUMMYFUNCTION("""COMPUTED_VALUE"""),29.64)</f>
        <v>29.64</v>
      </c>
      <c r="AE34" s="24"/>
      <c r="AF34" s="24"/>
      <c r="AG34" s="24"/>
      <c r="AH34" s="24"/>
      <c r="AI34" s="318"/>
      <c r="AJ34" s="318"/>
      <c r="AK34" s="24"/>
      <c r="AL34" s="318"/>
      <c r="AM34" s="318"/>
      <c r="AN34" s="318"/>
      <c r="AO34" s="318"/>
      <c r="AP34" s="318"/>
      <c r="AQ34" s="24"/>
      <c r="AR34" s="24"/>
      <c r="AS34" s="24"/>
      <c r="AT34" s="24"/>
      <c r="AU34" s="24"/>
      <c r="AV34" s="24"/>
      <c r="AW34" s="24"/>
      <c r="AX34" s="24"/>
      <c r="AY34" s="24"/>
      <c r="AZ34" s="24"/>
      <c r="BA34" s="318"/>
      <c r="BB34" s="318"/>
      <c r="BC34" s="318"/>
      <c r="BD34" s="318"/>
      <c r="BE34" s="318"/>
      <c r="BF34" s="318"/>
      <c r="BG34" s="318"/>
      <c r="BH34" s="318"/>
      <c r="BI34" s="318"/>
    </row>
    <row r="35" spans="1:61" ht="13.2">
      <c r="A35" s="45">
        <f>1+A33</f>
        <v>6</v>
      </c>
      <c r="B35" s="26" t="s">
        <v>275</v>
      </c>
      <c r="C35" s="90" t="str">
        <f ca="1">IFERROR(__xludf.DUMMYFUNCTION("GoogleFinance(B35,""name"")"),"CVR Energy, Inc.")</f>
        <v>CVR Energy, Inc.</v>
      </c>
      <c r="D35" s="91">
        <f ca="1">IFERROR(__xludf.DUMMYFUNCTION("GoogleFinance(B35,""marketcap"")/1000000"),3523.597453)</f>
        <v>3523.5974529999999</v>
      </c>
      <c r="E35" s="92" t="s">
        <v>14</v>
      </c>
      <c r="F35" s="92" t="s">
        <v>276</v>
      </c>
      <c r="G35" s="96">
        <f ca="1">IFERROR(__xludf.DUMMYFUNCTION("GOOGLEFINANCE(B35)"),35.05)</f>
        <v>35.049999999999997</v>
      </c>
      <c r="H35" s="346">
        <v>33</v>
      </c>
      <c r="I35" s="103">
        <f ca="1">H35/G35-1</f>
        <v>-5.8487874465049883E-2</v>
      </c>
      <c r="J35" s="92">
        <v>50</v>
      </c>
      <c r="K35" s="469">
        <f ca="1">J35/G35-1</f>
        <v>0.42653352353780316</v>
      </c>
      <c r="L35" s="104">
        <v>-1.7399999999999999E-2</v>
      </c>
      <c r="M35" s="104">
        <v>-1.156232374506494E-2</v>
      </c>
      <c r="N35" s="104">
        <v>0.16833333333333322</v>
      </c>
      <c r="O35" s="104">
        <v>0.10081658291457285</v>
      </c>
      <c r="P35" s="104">
        <v>1.5353418308226896E-2</v>
      </c>
      <c r="Q35" s="104">
        <v>0.11837906828334388</v>
      </c>
      <c r="R35" s="94"/>
      <c r="S35" s="94"/>
      <c r="T35" s="94"/>
      <c r="U35" s="94" t="str">
        <f ca="1">IFERROR(__xludf.DUMMYFUNCTION("GoogleFinance(B35,""price"",today()-7)"),"#N/A")</f>
        <v>#N/A</v>
      </c>
      <c r="V35" s="108"/>
      <c r="W35" s="94" t="str">
        <f ca="1">IFERROR(__xludf.DUMMYFUNCTION("GoogleFinance(B35,""price"",today()-31)"),"#N/A")</f>
        <v>#N/A</v>
      </c>
      <c r="X35" s="108"/>
      <c r="Y35" s="94" t="str">
        <f ca="1">IFERROR(__xludf.DUMMYFUNCTION("GoogleFinance(B35,""price"",today()-91)"),"#N/A")</f>
        <v>#N/A</v>
      </c>
      <c r="Z35" s="108"/>
      <c r="AA35" s="94" t="str">
        <f ca="1">IFERROR(__xludf.DUMMYFUNCTION("GoogleFinance(B35,""price"",today()-182)"),"#N/A")</f>
        <v>#N/A</v>
      </c>
      <c r="AB35" s="108"/>
      <c r="AC35" s="94" t="str">
        <f ca="1">IFERROR(__xludf.DUMMYFUNCTION("GoogleFinance(B35,""price"",DATE(2022,12,30))"),"Date")</f>
        <v>Date</v>
      </c>
      <c r="AD35" s="108" t="str">
        <f ca="1">IFERROR(__xludf.DUMMYFUNCTION("""COMPUTED_VALUE"""),"Close")</f>
        <v>Close</v>
      </c>
      <c r="AE35" s="109"/>
      <c r="AF35" s="109"/>
      <c r="AG35" s="109"/>
      <c r="AH35" s="109"/>
      <c r="AI35" s="110"/>
      <c r="AJ35" s="110"/>
      <c r="AK35" s="109"/>
      <c r="AL35" s="110"/>
      <c r="AM35" s="110"/>
      <c r="AN35" s="110"/>
      <c r="AO35" s="110"/>
      <c r="AP35" s="110"/>
      <c r="AQ35" s="109"/>
      <c r="AR35" s="109"/>
      <c r="AS35" s="109"/>
      <c r="AT35" s="109"/>
      <c r="AU35" s="109"/>
      <c r="AV35" s="109"/>
      <c r="AW35" s="109"/>
      <c r="AX35" s="109"/>
      <c r="AY35" s="109"/>
      <c r="AZ35" s="109"/>
      <c r="BA35" s="110"/>
      <c r="BB35" s="110"/>
      <c r="BC35" s="110"/>
      <c r="BD35" s="110"/>
      <c r="BE35" s="110"/>
      <c r="BF35" s="110"/>
      <c r="BG35" s="110"/>
      <c r="BH35" s="110"/>
      <c r="BI35" s="110"/>
    </row>
    <row r="36" spans="1:61" ht="13.2">
      <c r="A36" s="180"/>
      <c r="B36" s="310"/>
      <c r="C36" s="311"/>
      <c r="D36" s="310"/>
      <c r="E36" s="310"/>
      <c r="F36" s="310"/>
      <c r="G36" s="312"/>
      <c r="H36" s="312"/>
      <c r="I36" s="314"/>
      <c r="J36" s="314"/>
      <c r="K36" s="314"/>
      <c r="L36" s="315"/>
      <c r="M36" s="310"/>
      <c r="N36" s="310"/>
      <c r="O36" s="310"/>
      <c r="P36" s="310"/>
      <c r="Q36" s="310"/>
      <c r="R36" s="22"/>
      <c r="S36" s="22"/>
      <c r="T36" s="22"/>
      <c r="U36" s="22"/>
      <c r="V36" s="21"/>
      <c r="W36" s="22"/>
      <c r="X36" s="21"/>
      <c r="Y36" s="22"/>
      <c r="Z36" s="21"/>
      <c r="AA36" s="22"/>
      <c r="AB36" s="21"/>
      <c r="AC36" s="22">
        <f ca="1">IFERROR(__xludf.DUMMYFUNCTION("""COMPUTED_VALUE"""),44925.6666666666)</f>
        <v>44925.666666666599</v>
      </c>
      <c r="AD36" s="21">
        <f ca="1">IFERROR(__xludf.DUMMYFUNCTION("""COMPUTED_VALUE"""),31.34)</f>
        <v>31.34</v>
      </c>
      <c r="AE36" s="24"/>
      <c r="AF36" s="24"/>
      <c r="AG36" s="24"/>
      <c r="AH36" s="24"/>
      <c r="AI36" s="318"/>
      <c r="AJ36" s="318"/>
      <c r="AK36" s="24"/>
      <c r="AL36" s="318"/>
      <c r="AM36" s="318"/>
      <c r="AN36" s="318"/>
      <c r="AO36" s="318"/>
      <c r="AP36" s="318"/>
      <c r="AQ36" s="24"/>
      <c r="AR36" s="24"/>
      <c r="AS36" s="24"/>
      <c r="AT36" s="24"/>
      <c r="AU36" s="24"/>
      <c r="AV36" s="24"/>
      <c r="AW36" s="24"/>
      <c r="AX36" s="24"/>
      <c r="AY36" s="24"/>
      <c r="AZ36" s="24"/>
      <c r="BA36" s="318"/>
      <c r="BB36" s="318"/>
      <c r="BC36" s="318"/>
      <c r="BD36" s="318"/>
      <c r="BE36" s="318"/>
      <c r="BF36" s="318"/>
      <c r="BG36" s="318"/>
      <c r="BH36" s="318"/>
      <c r="BI36" s="318"/>
    </row>
    <row r="37" spans="1:61" ht="5.25" customHeight="1">
      <c r="A37" s="180"/>
      <c r="B37" s="351"/>
      <c r="C37" s="352"/>
      <c r="D37" s="351"/>
      <c r="E37" s="351"/>
      <c r="F37" s="351"/>
      <c r="G37" s="476"/>
      <c r="H37" s="476"/>
      <c r="I37" s="356"/>
      <c r="J37" s="356"/>
      <c r="K37" s="356"/>
      <c r="L37" s="355"/>
      <c r="M37" s="351"/>
      <c r="N37" s="351"/>
      <c r="O37" s="351"/>
      <c r="P37" s="351"/>
      <c r="Q37" s="351"/>
      <c r="R37" s="22"/>
      <c r="S37" s="22"/>
      <c r="T37" s="22"/>
      <c r="U37" s="22"/>
      <c r="V37" s="27"/>
      <c r="W37" s="22"/>
      <c r="X37" s="27"/>
      <c r="Y37" s="22"/>
      <c r="Z37" s="27"/>
      <c r="AA37" s="22"/>
      <c r="AB37" s="27"/>
      <c r="AC37" s="22"/>
      <c r="AD37" s="27"/>
      <c r="AE37" s="24"/>
      <c r="AF37" s="24"/>
      <c r="AG37" s="24"/>
      <c r="AH37" s="24"/>
      <c r="AK37" s="24"/>
      <c r="AQ37" s="24"/>
      <c r="AR37" s="24"/>
      <c r="AS37" s="24"/>
      <c r="AT37" s="24"/>
      <c r="AU37" s="24"/>
      <c r="AV37" s="24"/>
      <c r="AW37" s="24"/>
      <c r="AX37" s="24"/>
      <c r="AY37" s="24"/>
      <c r="AZ37" s="24"/>
    </row>
    <row r="38" spans="1:61" ht="36">
      <c r="A38" s="180"/>
      <c r="B38" s="37" t="s">
        <v>0</v>
      </c>
      <c r="C38" s="38" t="s">
        <v>1</v>
      </c>
      <c r="D38" s="37" t="s">
        <v>30</v>
      </c>
      <c r="E38" s="37" t="s">
        <v>2</v>
      </c>
      <c r="F38" s="37" t="s">
        <v>31</v>
      </c>
      <c r="G38" s="39" t="s">
        <v>3</v>
      </c>
      <c r="H38" s="39" t="s">
        <v>277</v>
      </c>
      <c r="I38" s="40" t="s">
        <v>278</v>
      </c>
      <c r="J38" s="40" t="s">
        <v>279</v>
      </c>
      <c r="K38" s="40" t="s">
        <v>280</v>
      </c>
      <c r="L38" s="41" t="s">
        <v>4</v>
      </c>
      <c r="M38" s="37" t="s">
        <v>46</v>
      </c>
      <c r="N38" s="37" t="s">
        <v>47</v>
      </c>
      <c r="O38" s="37" t="s">
        <v>48</v>
      </c>
      <c r="P38" s="37" t="s">
        <v>49</v>
      </c>
      <c r="Q38" s="37" t="s">
        <v>50</v>
      </c>
      <c r="R38" s="22"/>
      <c r="S38" s="22"/>
      <c r="T38" s="22"/>
      <c r="U38" s="22"/>
      <c r="V38" s="27"/>
      <c r="W38" s="22"/>
      <c r="X38" s="27"/>
      <c r="Y38" s="22"/>
      <c r="Z38" s="27"/>
      <c r="AA38" s="22"/>
      <c r="AB38" s="27"/>
      <c r="AC38" s="22"/>
      <c r="AD38" s="27"/>
      <c r="AE38" s="24"/>
      <c r="AF38" s="24"/>
      <c r="AG38" s="24"/>
      <c r="AH38" s="24"/>
      <c r="AK38" s="24"/>
      <c r="AQ38" s="24"/>
      <c r="AR38" s="24"/>
      <c r="AS38" s="24"/>
      <c r="AT38" s="24"/>
      <c r="AU38" s="24"/>
      <c r="AV38" s="24"/>
      <c r="AW38" s="24"/>
      <c r="AX38" s="24"/>
      <c r="AY38" s="24"/>
      <c r="AZ38" s="24"/>
    </row>
    <row r="39" spans="1:61" ht="13.2">
      <c r="A39" s="180"/>
      <c r="B39" s="359" t="s">
        <v>281</v>
      </c>
      <c r="C39" s="360"/>
      <c r="D39" s="361"/>
      <c r="E39" s="362"/>
      <c r="F39" s="362"/>
      <c r="G39" s="363"/>
      <c r="H39" s="363"/>
      <c r="I39" s="363"/>
      <c r="J39" s="363"/>
      <c r="K39" s="363"/>
      <c r="L39" s="363"/>
      <c r="M39" s="363"/>
      <c r="N39" s="363"/>
      <c r="O39" s="363"/>
      <c r="P39" s="363"/>
      <c r="Q39" s="363"/>
      <c r="R39" s="22"/>
      <c r="S39" s="22"/>
      <c r="T39" s="22"/>
      <c r="U39" s="22"/>
      <c r="V39" s="27"/>
      <c r="W39" s="22"/>
      <c r="X39" s="27"/>
      <c r="Y39" s="22"/>
      <c r="Z39" s="27"/>
      <c r="AA39" s="22"/>
      <c r="AB39" s="27"/>
      <c r="AC39" s="22"/>
      <c r="AD39" s="27"/>
      <c r="AE39" s="24"/>
      <c r="AF39" s="24"/>
      <c r="AG39" s="24"/>
      <c r="AH39" s="24"/>
      <c r="AK39" s="24"/>
      <c r="AQ39" s="24"/>
      <c r="AR39" s="24"/>
      <c r="AS39" s="24"/>
      <c r="AT39" s="24"/>
      <c r="AU39" s="24"/>
      <c r="AV39" s="24"/>
      <c r="AW39" s="24"/>
      <c r="AX39" s="24"/>
      <c r="AY39" s="24"/>
      <c r="AZ39" s="24"/>
    </row>
    <row r="40" spans="1:61" ht="13.2">
      <c r="A40" s="45">
        <v>1</v>
      </c>
      <c r="B40" s="1" t="s">
        <v>282</v>
      </c>
      <c r="C40" s="46" t="str">
        <f ca="1">IFERROR(__xludf.DUMMYFUNCTION("GoogleFinance(B40,""name"")"),"eBay Inc")</f>
        <v>eBay Inc</v>
      </c>
      <c r="D40" s="47">
        <f ca="1">IFERROR(__xludf.DUMMYFUNCTION("GoogleFinance(B40,""marketcap"")/1000000"),22550.550395)</f>
        <v>22550.550394999998</v>
      </c>
      <c r="E40" s="48" t="s">
        <v>150</v>
      </c>
      <c r="F40" s="48" t="s">
        <v>20</v>
      </c>
      <c r="G40" s="50">
        <f ca="1">IFERROR(__xludf.DUMMYFUNCTION("GOOGLEFINANCE(B40)"),43.45)</f>
        <v>43.45</v>
      </c>
      <c r="H40" s="57">
        <v>46</v>
      </c>
      <c r="I40" s="55">
        <f ca="1">H40/G40-1</f>
        <v>5.8688147295742121E-2</v>
      </c>
      <c r="J40" s="48">
        <v>34</v>
      </c>
      <c r="K40" s="76">
        <f>H40/J40-1</f>
        <v>0.35294117647058831</v>
      </c>
      <c r="L40" s="10">
        <v>1.95E-2</v>
      </c>
      <c r="M40" s="10">
        <v>-9.1975166704982847E-4</v>
      </c>
      <c r="N40" s="10">
        <v>5.6406515925115475E-2</v>
      </c>
      <c r="O40" s="10">
        <v>0.10139416983523453</v>
      </c>
      <c r="P40" s="10">
        <v>9.526022304832793E-3</v>
      </c>
      <c r="Q40" s="10">
        <v>4.7745358090185874E-2</v>
      </c>
      <c r="R40" s="2"/>
      <c r="S40" s="2"/>
      <c r="T40" s="2"/>
      <c r="U40" s="2" t="str">
        <f ca="1">IFERROR(__xludf.DUMMYFUNCTION("GoogleFinance(B40,""price"",today()-7)"),"#N/A")</f>
        <v>#N/A</v>
      </c>
      <c r="V40" s="27"/>
      <c r="W40" s="2" t="str">
        <f ca="1">IFERROR(__xludf.DUMMYFUNCTION("GoogleFinance(B40,""price"",today()-31)"),"#N/A")</f>
        <v>#N/A</v>
      </c>
      <c r="X40" s="27"/>
      <c r="Y40" s="2" t="str">
        <f ca="1">IFERROR(__xludf.DUMMYFUNCTION("GoogleFinance(B40,""price"",today()-91)"),"#N/A")</f>
        <v>#N/A</v>
      </c>
      <c r="Z40" s="27"/>
      <c r="AA40" s="2" t="str">
        <f ca="1">IFERROR(__xludf.DUMMYFUNCTION("GoogleFinance(B40,""price"",today()-182)"),"#N/A")</f>
        <v>#N/A</v>
      </c>
      <c r="AB40" s="27"/>
      <c r="AC40" s="2" t="str">
        <f ca="1">IFERROR(__xludf.DUMMYFUNCTION("GoogleFinance(B40,""price"",DATE(2022,12,30))"),"Date")</f>
        <v>Date</v>
      </c>
      <c r="AD40" s="27" t="str">
        <f ca="1">IFERROR(__xludf.DUMMYFUNCTION("""COMPUTED_VALUE"""),"Close")</f>
        <v>Close</v>
      </c>
      <c r="AE40" s="5"/>
      <c r="AF40" s="5"/>
      <c r="AG40" s="5"/>
      <c r="AH40" s="5"/>
      <c r="AK40" s="5"/>
      <c r="AQ40" s="5"/>
      <c r="AR40" s="5"/>
      <c r="AS40" s="5"/>
      <c r="AT40" s="5"/>
      <c r="AU40" s="5"/>
      <c r="AV40" s="5"/>
      <c r="AW40" s="5"/>
      <c r="AX40" s="5"/>
      <c r="AY40" s="5"/>
      <c r="AZ40" s="5"/>
    </row>
    <row r="41" spans="1:61" ht="13.2" hidden="1">
      <c r="A41" s="45">
        <v>1</v>
      </c>
      <c r="B41" s="1"/>
      <c r="C41" s="46"/>
      <c r="D41" s="47"/>
      <c r="E41" s="48"/>
      <c r="F41" s="48"/>
      <c r="G41" s="50"/>
      <c r="H41" s="57"/>
      <c r="I41" s="55"/>
      <c r="J41" s="48"/>
      <c r="K41" s="76"/>
      <c r="L41" s="8"/>
      <c r="M41" s="55"/>
      <c r="N41" s="55"/>
      <c r="O41" s="55"/>
      <c r="P41" s="55"/>
      <c r="Q41" s="55"/>
      <c r="R41" s="2"/>
      <c r="S41" s="2"/>
      <c r="T41" s="2"/>
      <c r="U41" s="2"/>
      <c r="V41" s="27"/>
      <c r="W41" s="2"/>
      <c r="X41" s="27"/>
      <c r="Y41" s="2"/>
      <c r="Z41" s="27"/>
      <c r="AA41" s="2"/>
      <c r="AB41" s="27"/>
      <c r="AC41" s="2">
        <f ca="1">IFERROR(__xludf.DUMMYFUNCTION("""COMPUTED_VALUE"""),44925.6666666666)</f>
        <v>44925.666666666599</v>
      </c>
      <c r="AD41" s="27">
        <f ca="1">IFERROR(__xludf.DUMMYFUNCTION("""COMPUTED_VALUE"""),41.47)</f>
        <v>41.47</v>
      </c>
      <c r="AE41" s="5"/>
      <c r="AF41" s="5"/>
      <c r="AG41" s="5" t="s">
        <v>71</v>
      </c>
      <c r="AH41" s="5">
        <v>4.65E-2</v>
      </c>
      <c r="AI41" s="29">
        <v>-1.0200000000000001E-2</v>
      </c>
      <c r="AK41" s="5"/>
      <c r="AQ41" s="5"/>
      <c r="AR41" s="5"/>
      <c r="AS41" s="5"/>
      <c r="AT41" s="5"/>
      <c r="AU41" s="5"/>
      <c r="AV41" s="5"/>
      <c r="AW41" s="5"/>
      <c r="AX41" s="5"/>
      <c r="AY41" s="5"/>
      <c r="AZ41" s="5"/>
    </row>
    <row r="42" spans="1:61" ht="13.2">
      <c r="A42" s="45">
        <f t="shared" ref="A42:A44" si="2">1+A40</f>
        <v>2</v>
      </c>
      <c r="B42" s="1" t="s">
        <v>283</v>
      </c>
      <c r="C42" s="46" t="str">
        <f ca="1">IFERROR(__xludf.DUMMYFUNCTION("GoogleFinance(B42,""name"")"),"Alcoa Corp")</f>
        <v>Alcoa Corp</v>
      </c>
      <c r="D42" s="47">
        <f ca="1">IFERROR(__xludf.DUMMYFUNCTION("GoogleFinance(B42,""marketcap"")/1000000"),4890.129991)</f>
        <v>4890.1299909999998</v>
      </c>
      <c r="E42" s="48" t="s">
        <v>284</v>
      </c>
      <c r="F42" s="48" t="s">
        <v>285</v>
      </c>
      <c r="G42" s="50">
        <f ca="1">IFERROR(__xludf.DUMMYFUNCTION("GOOGLEFINANCE(B42)"),27.4)</f>
        <v>27.4</v>
      </c>
      <c r="H42" s="57">
        <v>30</v>
      </c>
      <c r="I42" s="477">
        <f ca="1">H42/G42-1</f>
        <v>9.4890510948905105E-2</v>
      </c>
      <c r="J42" s="23">
        <v>24</v>
      </c>
      <c r="K42" s="478">
        <f>H42/J42-1</f>
        <v>0.25</v>
      </c>
      <c r="L42" s="10">
        <v>4.0000000000000002E-4</v>
      </c>
      <c r="M42" s="10">
        <v>-1.7921146953404965E-2</v>
      </c>
      <c r="N42" s="10">
        <v>1.4619883040936088E-3</v>
      </c>
      <c r="O42" s="10">
        <v>3.5134114091424307E-2</v>
      </c>
      <c r="P42" s="10">
        <v>-4.1622945085694307E-2</v>
      </c>
      <c r="Q42" s="10">
        <v>-0.39740488234000437</v>
      </c>
      <c r="R42" s="2"/>
      <c r="S42" s="2"/>
      <c r="T42" s="2"/>
      <c r="U42" s="2" t="str">
        <f ca="1">IFERROR(__xludf.DUMMYFUNCTION("GoogleFinance(B42,""price"",today()-7)"),"#N/A")</f>
        <v>#N/A</v>
      </c>
      <c r="V42" s="27"/>
      <c r="W42" s="2" t="str">
        <f ca="1">IFERROR(__xludf.DUMMYFUNCTION("GoogleFinance(B42,""price"",today()-31)"),"#N/A")</f>
        <v>#N/A</v>
      </c>
      <c r="X42" s="27"/>
      <c r="Y42" s="2" t="str">
        <f ca="1">IFERROR(__xludf.DUMMYFUNCTION("GoogleFinance(B42,""price"",today()-91)"),"#N/A")</f>
        <v>#N/A</v>
      </c>
      <c r="Z42" s="27"/>
      <c r="AA42" s="2" t="str">
        <f ca="1">IFERROR(__xludf.DUMMYFUNCTION("GoogleFinance(B42,""price"",today()-182)"),"#N/A")</f>
        <v>#N/A</v>
      </c>
      <c r="AB42" s="27"/>
      <c r="AC42" s="2" t="str">
        <f ca="1">IFERROR(__xludf.DUMMYFUNCTION("GoogleFinance(B42,""price"",DATE(2022,12,30))"),"Date")</f>
        <v>Date</v>
      </c>
      <c r="AD42" s="27" t="str">
        <f ca="1">IFERROR(__xludf.DUMMYFUNCTION("""COMPUTED_VALUE"""),"Close")</f>
        <v>Close</v>
      </c>
      <c r="AE42" s="5"/>
      <c r="AF42" s="5"/>
      <c r="AG42" s="5"/>
      <c r="AH42" s="5"/>
      <c r="AK42" s="5"/>
      <c r="AQ42" s="5"/>
      <c r="AR42" s="5"/>
      <c r="AS42" s="5"/>
      <c r="AT42" s="5"/>
      <c r="AU42" s="5"/>
      <c r="AV42" s="5"/>
      <c r="AW42" s="5"/>
      <c r="AX42" s="5"/>
      <c r="AY42" s="5"/>
      <c r="AZ42" s="5"/>
    </row>
    <row r="43" spans="1:61" ht="13.2" hidden="1">
      <c r="A43" s="45">
        <f t="shared" si="2"/>
        <v>2</v>
      </c>
      <c r="B43" s="1"/>
      <c r="C43" s="46"/>
      <c r="D43" s="47"/>
      <c r="E43" s="48"/>
      <c r="F43" s="48"/>
      <c r="G43" s="96"/>
      <c r="H43" s="57"/>
      <c r="I43" s="55"/>
      <c r="J43" s="48"/>
      <c r="K43" s="76"/>
      <c r="L43" s="8"/>
      <c r="M43" s="55"/>
      <c r="N43" s="55"/>
      <c r="O43" s="55"/>
      <c r="P43" s="55"/>
      <c r="Q43" s="55"/>
      <c r="R43" s="2"/>
      <c r="S43" s="2"/>
      <c r="T43" s="2"/>
      <c r="U43" s="2"/>
      <c r="V43" s="27"/>
      <c r="W43" s="2"/>
      <c r="X43" s="27"/>
      <c r="Y43" s="2"/>
      <c r="Z43" s="27"/>
      <c r="AA43" s="2"/>
      <c r="AB43" s="27"/>
      <c r="AC43" s="2">
        <f ca="1">IFERROR(__xludf.DUMMYFUNCTION("""COMPUTED_VALUE"""),44925.6666666666)</f>
        <v>44925.666666666599</v>
      </c>
      <c r="AD43" s="27">
        <f ca="1">IFERROR(__xludf.DUMMYFUNCTION("""COMPUTED_VALUE"""),45.47)</f>
        <v>45.47</v>
      </c>
      <c r="AE43" s="5"/>
      <c r="AF43" s="5"/>
      <c r="AG43" s="5" t="s">
        <v>71</v>
      </c>
      <c r="AH43" s="5">
        <v>4.65E-2</v>
      </c>
      <c r="AI43" s="29">
        <v>-1.0200000000000001E-2</v>
      </c>
      <c r="AK43" s="5"/>
      <c r="AQ43" s="5"/>
      <c r="AR43" s="5"/>
      <c r="AS43" s="5"/>
      <c r="AT43" s="5"/>
      <c r="AU43" s="5"/>
      <c r="AV43" s="5"/>
      <c r="AW43" s="5"/>
      <c r="AX43" s="5"/>
      <c r="AY43" s="5"/>
      <c r="AZ43" s="5"/>
    </row>
    <row r="44" spans="1:61" ht="13.2">
      <c r="A44" s="45">
        <f t="shared" si="2"/>
        <v>3</v>
      </c>
      <c r="B44" s="1" t="s">
        <v>286</v>
      </c>
      <c r="C44" s="46" t="str">
        <f ca="1">IFERROR(__xludf.DUMMYFUNCTION("GoogleFinance(B44,""name"")"),"Air Products and Chemicals Inc")</f>
        <v>Air Products and Chemicals Inc</v>
      </c>
      <c r="D44" s="47">
        <f ca="1">IFERROR(__xludf.DUMMYFUNCTION("GoogleFinance(B44,""marketcap"")/1000000"),50428.983206)</f>
        <v>50428.983205999997</v>
      </c>
      <c r="E44" s="48" t="s">
        <v>11</v>
      </c>
      <c r="F44" s="48" t="s">
        <v>261</v>
      </c>
      <c r="G44" s="50">
        <f ca="1">IFERROR(__xludf.DUMMYFUNCTION("GOOGLEFINANCE(B44)"),226.85)</f>
        <v>226.85</v>
      </c>
      <c r="H44" s="57">
        <v>294</v>
      </c>
      <c r="I44" s="477">
        <f ca="1">H44/G44-1</f>
        <v>0.29601057967820155</v>
      </c>
      <c r="J44" s="23">
        <v>250</v>
      </c>
      <c r="K44" s="478">
        <f>H44/J44-1</f>
        <v>0.17599999999999993</v>
      </c>
      <c r="L44" s="10">
        <v>-4.0000000000000002E-4</v>
      </c>
      <c r="M44" s="10">
        <v>1.9138326070353484E-2</v>
      </c>
      <c r="N44" s="10">
        <v>-0.12964241866175563</v>
      </c>
      <c r="O44" s="10">
        <v>-0.16645232408598198</v>
      </c>
      <c r="P44" s="10">
        <v>-0.20462115634094169</v>
      </c>
      <c r="Q44" s="10">
        <v>-0.26409524427431386</v>
      </c>
      <c r="R44" s="2"/>
      <c r="S44" s="2"/>
      <c r="T44" s="2"/>
      <c r="U44" s="2" t="str">
        <f ca="1">IFERROR(__xludf.DUMMYFUNCTION("GoogleFinance(B44,""price"",today()-7)"),"#N/A")</f>
        <v>#N/A</v>
      </c>
      <c r="V44" s="27"/>
      <c r="W44" s="2" t="str">
        <f ca="1">IFERROR(__xludf.DUMMYFUNCTION("GoogleFinance(B44,""price"",today()-31)"),"#N/A")</f>
        <v>#N/A</v>
      </c>
      <c r="X44" s="27"/>
      <c r="Y44" s="2" t="str">
        <f ca="1">IFERROR(__xludf.DUMMYFUNCTION("GoogleFinance(B44,""price"",today()-91)"),"#N/A")</f>
        <v>#N/A</v>
      </c>
      <c r="Z44" s="27"/>
      <c r="AA44" s="2" t="str">
        <f ca="1">IFERROR(__xludf.DUMMYFUNCTION("GoogleFinance(B44,""price"",today()-182)"),"#N/A")</f>
        <v>#N/A</v>
      </c>
      <c r="AB44" s="27"/>
      <c r="AC44" s="2" t="str">
        <f ca="1">IFERROR(__xludf.DUMMYFUNCTION("GoogleFinance(B44,""price"",DATE(2022,12,30))"),"Date")</f>
        <v>Date</v>
      </c>
      <c r="AD44" s="27" t="str">
        <f ca="1">IFERROR(__xludf.DUMMYFUNCTION("""COMPUTED_VALUE"""),"Close")</f>
        <v>Close</v>
      </c>
      <c r="AE44" s="5"/>
      <c r="AF44" s="5"/>
      <c r="AG44" s="5"/>
      <c r="AH44" s="5"/>
      <c r="AK44" s="5"/>
      <c r="AQ44" s="5"/>
      <c r="AR44" s="5"/>
      <c r="AS44" s="5"/>
      <c r="AT44" s="5"/>
      <c r="AU44" s="5"/>
      <c r="AV44" s="5"/>
      <c r="AW44" s="5"/>
      <c r="AX44" s="5"/>
      <c r="AY44" s="5"/>
      <c r="AZ44" s="5"/>
    </row>
    <row r="45" spans="1:61" ht="13.2" hidden="1">
      <c r="A45" s="45"/>
      <c r="B45" s="1"/>
      <c r="C45" s="46"/>
      <c r="D45" s="47"/>
      <c r="E45" s="48"/>
      <c r="F45" s="48"/>
      <c r="G45" s="96"/>
      <c r="H45" s="57"/>
      <c r="I45" s="55"/>
      <c r="J45" s="48"/>
      <c r="K45" s="76"/>
      <c r="L45" s="8"/>
      <c r="M45" s="55"/>
      <c r="N45" s="55"/>
      <c r="O45" s="55"/>
      <c r="P45" s="55"/>
      <c r="Q45" s="55"/>
      <c r="R45" s="2"/>
      <c r="S45" s="2"/>
      <c r="T45" s="2"/>
      <c r="U45" s="2"/>
      <c r="V45" s="27"/>
      <c r="W45" s="2"/>
      <c r="X45" s="27"/>
      <c r="Y45" s="2"/>
      <c r="Z45" s="27"/>
      <c r="AA45" s="2"/>
      <c r="AB45" s="27"/>
      <c r="AC45" s="2">
        <f ca="1">IFERROR(__xludf.DUMMYFUNCTION("""COMPUTED_VALUE"""),44925.6666666666)</f>
        <v>44925.666666666599</v>
      </c>
      <c r="AD45" s="27">
        <f ca="1">IFERROR(__xludf.DUMMYFUNCTION("""COMPUTED_VALUE"""),308.26)</f>
        <v>308.26</v>
      </c>
      <c r="AE45" s="5"/>
      <c r="AF45" s="5"/>
      <c r="AG45" s="5" t="s">
        <v>71</v>
      </c>
      <c r="AH45" s="5">
        <v>4.65E-2</v>
      </c>
      <c r="AI45" s="29">
        <v>-1.0200000000000001E-2</v>
      </c>
      <c r="AK45" s="5"/>
      <c r="AQ45" s="5"/>
      <c r="AR45" s="5"/>
      <c r="AS45" s="5"/>
      <c r="AT45" s="5"/>
      <c r="AU45" s="5"/>
      <c r="AV45" s="5"/>
      <c r="AW45" s="5"/>
      <c r="AX45" s="5"/>
      <c r="AY45" s="5"/>
      <c r="AZ45" s="5"/>
    </row>
    <row r="46" spans="1:61" ht="13.2">
      <c r="A46" s="45">
        <f>1+A44</f>
        <v>4</v>
      </c>
      <c r="B46" s="1" t="s">
        <v>287</v>
      </c>
      <c r="C46" s="46" t="str">
        <f ca="1">IFERROR(__xludf.DUMMYFUNCTION("GoogleFinance(B46,""name"")"),"Eli Lilly And Co")</f>
        <v>Eli Lilly And Co</v>
      </c>
      <c r="D46" s="47">
        <f ca="1">IFERROR(__xludf.DUMMYFUNCTION("GoogleFinance(B46,""marketcap"")/1000000"),742415.26472)</f>
        <v>742415.26471999998</v>
      </c>
      <c r="E46" s="48" t="s">
        <v>15</v>
      </c>
      <c r="F46" s="48" t="s">
        <v>288</v>
      </c>
      <c r="G46" s="50">
        <f ca="1">IFERROR(__xludf.DUMMYFUNCTION("GOOGLEFINANCE(B46)"),782.06)</f>
        <v>782.06</v>
      </c>
      <c r="H46" s="57">
        <v>560</v>
      </c>
      <c r="I46" s="477">
        <f ca="1">H46/G46-1</f>
        <v>-0.28394240851085595</v>
      </c>
      <c r="J46" s="23">
        <v>430</v>
      </c>
      <c r="K46" s="478">
        <f>H46/J46-1</f>
        <v>0.30232558139534893</v>
      </c>
      <c r="L46" s="10">
        <v>3.2000000000000001E-2</v>
      </c>
      <c r="M46" s="10">
        <v>6.076553725958278E-2</v>
      </c>
      <c r="N46" s="10">
        <v>0.24416939769003143</v>
      </c>
      <c r="O46" s="10">
        <v>0.30866800535475214</v>
      </c>
      <c r="P46" s="10">
        <v>0.42179801836196718</v>
      </c>
      <c r="Q46" s="10">
        <v>1.1377104745243822</v>
      </c>
      <c r="R46" s="2"/>
      <c r="S46" s="2"/>
      <c r="T46" s="2"/>
      <c r="U46" s="2" t="str">
        <f ca="1">IFERROR(__xludf.DUMMYFUNCTION("GoogleFinance(B46,""price"",today()-7)"),"#N/A")</f>
        <v>#N/A</v>
      </c>
      <c r="V46" s="27"/>
      <c r="W46" s="2" t="str">
        <f ca="1">IFERROR(__xludf.DUMMYFUNCTION("GoogleFinance(B46,""price"",today()-31)"),"#N/A")</f>
        <v>#N/A</v>
      </c>
      <c r="X46" s="27"/>
      <c r="Y46" s="2" t="str">
        <f ca="1">IFERROR(__xludf.DUMMYFUNCTION("GoogleFinance(B46,""price"",today()-91)"),"#N/A")</f>
        <v>#N/A</v>
      </c>
      <c r="Z46" s="27"/>
      <c r="AA46" s="2" t="str">
        <f ca="1">IFERROR(__xludf.DUMMYFUNCTION("GoogleFinance(B46,""price"",today()-182)"),"#N/A")</f>
        <v>#N/A</v>
      </c>
      <c r="AB46" s="27"/>
      <c r="AC46" s="2" t="str">
        <f ca="1">IFERROR(__xludf.DUMMYFUNCTION("GoogleFinance(B46,""price"",DATE(2022,12,30))"),"Date")</f>
        <v>Date</v>
      </c>
      <c r="AD46" s="27" t="str">
        <f ca="1">IFERROR(__xludf.DUMMYFUNCTION("""COMPUTED_VALUE"""),"Close")</f>
        <v>Close</v>
      </c>
      <c r="AE46" s="5"/>
      <c r="AF46" s="5"/>
      <c r="AG46" s="5"/>
      <c r="AH46" s="5"/>
      <c r="AK46" s="5"/>
      <c r="AQ46" s="5"/>
      <c r="AR46" s="5"/>
      <c r="AS46" s="5"/>
      <c r="AT46" s="5"/>
      <c r="AU46" s="5"/>
      <c r="AV46" s="5"/>
      <c r="AW46" s="5"/>
      <c r="AX46" s="5"/>
      <c r="AY46" s="5"/>
      <c r="AZ46" s="5"/>
    </row>
    <row r="47" spans="1:61" ht="13.2" hidden="1">
      <c r="A47" s="45"/>
      <c r="B47" s="1"/>
      <c r="C47" s="46"/>
      <c r="D47" s="47"/>
      <c r="E47" s="48"/>
      <c r="F47" s="48"/>
      <c r="G47" s="96"/>
      <c r="H47" s="57"/>
      <c r="I47" s="55"/>
      <c r="J47" s="48"/>
      <c r="K47" s="76"/>
      <c r="L47" s="8"/>
      <c r="M47" s="55"/>
      <c r="N47" s="55"/>
      <c r="O47" s="55"/>
      <c r="P47" s="55"/>
      <c r="Q47" s="55"/>
      <c r="R47" s="2"/>
      <c r="S47" s="2"/>
      <c r="T47" s="2"/>
      <c r="U47" s="2"/>
      <c r="V47" s="27"/>
      <c r="W47" s="2"/>
      <c r="X47" s="27"/>
      <c r="Y47" s="2"/>
      <c r="Z47" s="27"/>
      <c r="AA47" s="2"/>
      <c r="AB47" s="27"/>
      <c r="AC47" s="2">
        <f ca="1">IFERROR(__xludf.DUMMYFUNCTION("""COMPUTED_VALUE"""),44925.6666666666)</f>
        <v>44925.666666666599</v>
      </c>
      <c r="AD47" s="27">
        <f ca="1">IFERROR(__xludf.DUMMYFUNCTION("""COMPUTED_VALUE"""),365.84)</f>
        <v>365.84</v>
      </c>
      <c r="AE47" s="5"/>
      <c r="AF47" s="5"/>
      <c r="AG47" s="5" t="s">
        <v>71</v>
      </c>
      <c r="AH47" s="5">
        <v>4.65E-2</v>
      </c>
      <c r="AI47" s="29">
        <v>-1.0200000000000001E-2</v>
      </c>
      <c r="AK47" s="5"/>
      <c r="AQ47" s="5"/>
      <c r="AR47" s="5"/>
      <c r="AS47" s="5"/>
      <c r="AT47" s="5"/>
      <c r="AU47" s="5"/>
      <c r="AV47" s="5"/>
      <c r="AW47" s="5"/>
      <c r="AX47" s="5"/>
      <c r="AY47" s="5"/>
      <c r="AZ47" s="5"/>
    </row>
    <row r="48" spans="1:61" ht="13.2">
      <c r="A48" s="45">
        <f>1+A46</f>
        <v>5</v>
      </c>
      <c r="B48" s="1" t="s">
        <v>289</v>
      </c>
      <c r="C48" s="46" t="str">
        <f ca="1">IFERROR(__xludf.DUMMYFUNCTION("GoogleFinance(B48,""name"")"),"Madison Square Garden Sports Corp")</f>
        <v>Madison Square Garden Sports Corp</v>
      </c>
      <c r="D48" s="47">
        <f ca="1">IFERROR(__xludf.DUMMYFUNCTION("GoogleFinance(B48,""marketcap"")/1000000"),4533.921)</f>
        <v>4533.9210000000003</v>
      </c>
      <c r="E48" s="48" t="s">
        <v>12</v>
      </c>
      <c r="F48" s="48" t="s">
        <v>93</v>
      </c>
      <c r="G48" s="50">
        <f ca="1">IFERROR(__xludf.DUMMYFUNCTION("GOOGLEFINANCE(B48)"),189.34)</f>
        <v>189.34</v>
      </c>
      <c r="H48" s="57">
        <v>185</v>
      </c>
      <c r="I48" s="477">
        <f ca="1">H48/G48-1</f>
        <v>-2.2921728108165174E-2</v>
      </c>
      <c r="J48" s="23">
        <v>130</v>
      </c>
      <c r="K48" s="478">
        <f>H48/J48-1</f>
        <v>0.42307692307692313</v>
      </c>
      <c r="L48" s="10">
        <v>-9.8999999999999991E-3</v>
      </c>
      <c r="M48" s="10">
        <v>-1.1589058258509088E-2</v>
      </c>
      <c r="N48" s="10">
        <v>-3.1588922817731291E-3</v>
      </c>
      <c r="O48" s="10">
        <v>9.9854777810049367E-2</v>
      </c>
      <c r="P48" s="10">
        <v>7.9475484606613467E-2</v>
      </c>
      <c r="Q48" s="10">
        <v>3.2782414225713152E-2</v>
      </c>
      <c r="R48" s="2"/>
      <c r="S48" s="2"/>
      <c r="T48" s="2"/>
      <c r="U48" s="2" t="str">
        <f ca="1">IFERROR(__xludf.DUMMYFUNCTION("GoogleFinance(B48,""price"",today()-7)"),"#N/A")</f>
        <v>#N/A</v>
      </c>
      <c r="V48" s="27"/>
      <c r="W48" s="2" t="str">
        <f ca="1">IFERROR(__xludf.DUMMYFUNCTION("GoogleFinance(B48,""price"",today()-31)"),"#N/A")</f>
        <v>#N/A</v>
      </c>
      <c r="X48" s="27"/>
      <c r="Y48" s="2" t="str">
        <f ca="1">IFERROR(__xludf.DUMMYFUNCTION("GoogleFinance(B48,""price"",today()-91)"),"#N/A")</f>
        <v>#N/A</v>
      </c>
      <c r="Z48" s="27"/>
      <c r="AA48" s="2" t="str">
        <f ca="1">IFERROR(__xludf.DUMMYFUNCTION("GoogleFinance(B48,""price"",today()-182)"),"#N/A")</f>
        <v>#N/A</v>
      </c>
      <c r="AB48" s="27"/>
      <c r="AC48" s="2" t="str">
        <f ca="1">IFERROR(__xludf.DUMMYFUNCTION("GoogleFinance(B48,""price"",DATE(2022,12,30))"),"Date")</f>
        <v>Date</v>
      </c>
      <c r="AD48" s="27" t="str">
        <f ca="1">IFERROR(__xludf.DUMMYFUNCTION("""COMPUTED_VALUE"""),"Close")</f>
        <v>Close</v>
      </c>
      <c r="AE48" s="5"/>
      <c r="AF48" s="5"/>
      <c r="AG48" s="5"/>
      <c r="AH48" s="5"/>
      <c r="AK48" s="5"/>
      <c r="AQ48" s="5"/>
      <c r="AR48" s="5"/>
      <c r="AS48" s="5"/>
      <c r="AT48" s="5"/>
      <c r="AU48" s="5"/>
      <c r="AV48" s="5"/>
      <c r="AW48" s="5"/>
      <c r="AX48" s="5"/>
      <c r="AY48" s="5"/>
      <c r="AZ48" s="5"/>
    </row>
    <row r="49" spans="1:61" ht="13.2" hidden="1">
      <c r="A49" s="45"/>
      <c r="B49" s="1"/>
      <c r="C49" s="46"/>
      <c r="D49" s="47"/>
      <c r="E49" s="48"/>
      <c r="F49" s="48"/>
      <c r="G49" s="96"/>
      <c r="H49" s="57"/>
      <c r="I49" s="55"/>
      <c r="J49" s="48"/>
      <c r="K49" s="76"/>
      <c r="L49" s="8"/>
      <c r="M49" s="55"/>
      <c r="N49" s="55"/>
      <c r="O49" s="55"/>
      <c r="P49" s="55"/>
      <c r="Q49" s="55"/>
      <c r="R49" s="2"/>
      <c r="S49" s="2"/>
      <c r="T49" s="2"/>
      <c r="U49" s="2"/>
      <c r="V49" s="27"/>
      <c r="W49" s="2"/>
      <c r="X49" s="27"/>
      <c r="Y49" s="2"/>
      <c r="Z49" s="27"/>
      <c r="AA49" s="2"/>
      <c r="AB49" s="27"/>
      <c r="AC49" s="2">
        <f ca="1">IFERROR(__xludf.DUMMYFUNCTION("""COMPUTED_VALUE"""),44925.6666666666)</f>
        <v>44925.666666666599</v>
      </c>
      <c r="AD49" s="27">
        <f ca="1">IFERROR(__xludf.DUMMYFUNCTION("""COMPUTED_VALUE"""),183.33)</f>
        <v>183.33</v>
      </c>
      <c r="AE49" s="5"/>
      <c r="AF49" s="5"/>
      <c r="AG49" s="5" t="s">
        <v>71</v>
      </c>
      <c r="AH49" s="5">
        <v>4.65E-2</v>
      </c>
      <c r="AI49" s="29">
        <v>-1.0200000000000001E-2</v>
      </c>
      <c r="AK49" s="5"/>
      <c r="AQ49" s="5"/>
      <c r="AR49" s="5"/>
      <c r="AS49" s="5"/>
      <c r="AT49" s="5"/>
      <c r="AU49" s="5"/>
      <c r="AV49" s="5"/>
      <c r="AW49" s="5"/>
      <c r="AX49" s="5"/>
      <c r="AY49" s="5"/>
      <c r="AZ49" s="5"/>
    </row>
    <row r="50" spans="1:61" ht="13.2">
      <c r="A50" s="45">
        <f>1+A48</f>
        <v>6</v>
      </c>
      <c r="B50" s="1" t="s">
        <v>290</v>
      </c>
      <c r="C50" s="46" t="str">
        <f ca="1">IFERROR(__xludf.DUMMYFUNCTION("GoogleFinance(B50,""name"")"),"Lowe's Companies Inc")</f>
        <v>Lowe's Companies Inc</v>
      </c>
      <c r="D50" s="47">
        <f ca="1">IFERROR(__xludf.DUMMYFUNCTION("GoogleFinance(B50,""marketcap"")/1000000"),130464.319505)</f>
        <v>130464.31950500001</v>
      </c>
      <c r="E50" s="48" t="s">
        <v>291</v>
      </c>
      <c r="F50" s="48" t="s">
        <v>292</v>
      </c>
      <c r="G50" s="50">
        <f ca="1">IFERROR(__xludf.DUMMYFUNCTION("GOOGLEFINANCE(B50)"),226.85)</f>
        <v>226.85</v>
      </c>
      <c r="H50" s="57">
        <v>220</v>
      </c>
      <c r="I50" s="477">
        <f ca="1">H50/G50-1</f>
        <v>-3.0196164866651998E-2</v>
      </c>
      <c r="J50" s="23">
        <v>162</v>
      </c>
      <c r="K50" s="478">
        <f>H50/J50-1</f>
        <v>0.35802469135802473</v>
      </c>
      <c r="L50" s="10">
        <v>-6.5000000000000006E-3</v>
      </c>
      <c r="M50" s="10">
        <v>-1.3094927347080954E-2</v>
      </c>
      <c r="N50" s="10">
        <v>3.1089495932003164E-2</v>
      </c>
      <c r="O50" s="10">
        <v>0.10961651340246537</v>
      </c>
      <c r="P50" s="10">
        <v>4.2557102808033376E-2</v>
      </c>
      <c r="Q50" s="10">
        <v>0.13857659104597464</v>
      </c>
      <c r="R50" s="2"/>
      <c r="S50" s="2"/>
      <c r="T50" s="2"/>
      <c r="U50" s="2" t="str">
        <f ca="1">IFERROR(__xludf.DUMMYFUNCTION("GoogleFinance(B50,""price"",today()-7)"),"#N/A")</f>
        <v>#N/A</v>
      </c>
      <c r="V50" s="27"/>
      <c r="W50" s="2" t="str">
        <f ca="1">IFERROR(__xludf.DUMMYFUNCTION("GoogleFinance(B50,""price"",today()-31)"),"#N/A")</f>
        <v>#N/A</v>
      </c>
      <c r="X50" s="27"/>
      <c r="Y50" s="2" t="str">
        <f ca="1">IFERROR(__xludf.DUMMYFUNCTION("GoogleFinance(B50,""price"",today()-91)"),"#N/A")</f>
        <v>#N/A</v>
      </c>
      <c r="Z50" s="27"/>
      <c r="AA50" s="2" t="str">
        <f ca="1">IFERROR(__xludf.DUMMYFUNCTION("GoogleFinance(B50,""price"",today()-182)"),"#N/A")</f>
        <v>#N/A</v>
      </c>
      <c r="AB50" s="27"/>
      <c r="AC50" s="2" t="str">
        <f ca="1">IFERROR(__xludf.DUMMYFUNCTION("GoogleFinance(B50,""price"",DATE(2022,12,30))"),"Date")</f>
        <v>Date</v>
      </c>
      <c r="AD50" s="27" t="str">
        <f ca="1">IFERROR(__xludf.DUMMYFUNCTION("""COMPUTED_VALUE"""),"Close")</f>
        <v>Close</v>
      </c>
      <c r="AE50" s="5"/>
      <c r="AF50" s="5"/>
      <c r="AG50" s="5"/>
      <c r="AH50" s="5"/>
      <c r="AK50" s="5"/>
      <c r="AQ50" s="5"/>
      <c r="AR50" s="5"/>
      <c r="AS50" s="5"/>
      <c r="AT50" s="5"/>
      <c r="AU50" s="5"/>
      <c r="AV50" s="5"/>
      <c r="AW50" s="5"/>
      <c r="AX50" s="5"/>
      <c r="AY50" s="5"/>
      <c r="AZ50" s="5"/>
    </row>
    <row r="51" spans="1:61" ht="13.2">
      <c r="A51" s="45"/>
      <c r="B51" s="1"/>
      <c r="C51" s="46"/>
      <c r="D51" s="47"/>
      <c r="E51" s="48"/>
      <c r="F51" s="48"/>
      <c r="G51" s="96"/>
      <c r="H51" s="57"/>
      <c r="I51" s="55"/>
      <c r="J51" s="48"/>
      <c r="K51" s="76"/>
      <c r="L51" s="8"/>
      <c r="M51" s="55"/>
      <c r="N51" s="55"/>
      <c r="O51" s="55"/>
      <c r="P51" s="55"/>
      <c r="Q51" s="55"/>
      <c r="R51" s="2"/>
      <c r="S51" s="2"/>
      <c r="T51" s="2"/>
      <c r="U51" s="2"/>
      <c r="V51" s="27"/>
      <c r="W51" s="2"/>
      <c r="X51" s="27"/>
      <c r="Y51" s="2"/>
      <c r="Z51" s="27"/>
      <c r="AA51" s="2"/>
      <c r="AB51" s="27"/>
      <c r="AC51" s="2">
        <f ca="1">IFERROR(__xludf.DUMMYFUNCTION("""COMPUTED_VALUE"""),44925.6666666666)</f>
        <v>44925.666666666599</v>
      </c>
      <c r="AD51" s="27">
        <f ca="1">IFERROR(__xludf.DUMMYFUNCTION("""COMPUTED_VALUE"""),199.24)</f>
        <v>199.24</v>
      </c>
      <c r="AE51" s="5"/>
      <c r="AF51" s="5"/>
      <c r="AG51" s="5" t="s">
        <v>71</v>
      </c>
      <c r="AH51" s="5">
        <v>4.65E-2</v>
      </c>
      <c r="AI51" s="29">
        <v>-1.0200000000000001E-2</v>
      </c>
      <c r="AK51" s="5"/>
      <c r="AQ51" s="5"/>
      <c r="AR51" s="5"/>
      <c r="AS51" s="5"/>
      <c r="AT51" s="5"/>
      <c r="AU51" s="5"/>
      <c r="AV51" s="5"/>
      <c r="AW51" s="5"/>
      <c r="AX51" s="5"/>
      <c r="AY51" s="5"/>
      <c r="AZ51" s="5"/>
    </row>
    <row r="52" spans="1:61" ht="15.75" customHeight="1">
      <c r="A52" s="27"/>
      <c r="B52" s="27"/>
      <c r="C52" s="272"/>
      <c r="D52" s="27"/>
      <c r="E52" s="27"/>
      <c r="F52" s="27"/>
      <c r="G52" s="28"/>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row>
    <row r="53" spans="1:61" ht="15.75" customHeight="1">
      <c r="A53" s="27"/>
      <c r="B53" s="27"/>
      <c r="C53" s="272"/>
      <c r="D53" s="27"/>
      <c r="E53" s="27"/>
      <c r="F53" s="27"/>
      <c r="G53" s="28"/>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row>
    <row r="54" spans="1:61" ht="15.75" customHeight="1">
      <c r="A54" s="27"/>
      <c r="B54" s="27"/>
      <c r="C54" s="272"/>
      <c r="D54" s="27"/>
      <c r="E54" s="27"/>
      <c r="F54" s="27"/>
      <c r="G54" s="28"/>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row>
    <row r="55" spans="1:61" ht="15.75" customHeight="1">
      <c r="A55" s="27"/>
      <c r="B55" s="27"/>
      <c r="C55" s="272"/>
      <c r="D55" s="27"/>
      <c r="E55" s="27"/>
      <c r="F55" s="27"/>
      <c r="G55" s="28"/>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row>
    <row r="56" spans="1:61" ht="15.75" customHeight="1">
      <c r="A56" s="27"/>
      <c r="B56" s="27"/>
      <c r="C56" s="272"/>
      <c r="D56" s="27"/>
      <c r="E56" s="27"/>
      <c r="F56" s="27"/>
      <c r="G56" s="28"/>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row>
    <row r="57" spans="1:61" ht="15.75" customHeight="1">
      <c r="A57" s="27"/>
      <c r="B57" s="27"/>
      <c r="C57" s="272"/>
      <c r="D57" s="27"/>
      <c r="E57" s="27"/>
      <c r="F57" s="27"/>
      <c r="G57" s="28"/>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row>
    <row r="58" spans="1:61" ht="15.75" customHeight="1">
      <c r="A58" s="27"/>
      <c r="B58" s="27"/>
      <c r="C58" s="272"/>
      <c r="D58" s="27"/>
      <c r="E58" s="27"/>
      <c r="F58" s="27"/>
      <c r="G58" s="28"/>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ht="15.75" customHeight="1">
      <c r="A59" s="27"/>
      <c r="B59" s="27"/>
      <c r="C59" s="272"/>
      <c r="D59" s="27"/>
      <c r="E59" s="27"/>
      <c r="F59" s="27"/>
      <c r="G59" s="28"/>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row>
    <row r="60" spans="1:61" ht="15.75" customHeight="1">
      <c r="A60" s="27"/>
      <c r="B60" s="27"/>
      <c r="C60" s="272"/>
      <c r="D60" s="27"/>
      <c r="E60" s="27"/>
      <c r="F60" s="27"/>
      <c r="G60" s="28"/>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row>
    <row r="61" spans="1:61" ht="15.75" customHeight="1">
      <c r="A61" s="27"/>
      <c r="B61" s="27"/>
      <c r="C61" s="272"/>
      <c r="D61" s="27"/>
      <c r="E61" s="27"/>
      <c r="F61" s="27"/>
      <c r="G61" s="28"/>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row>
    <row r="62" spans="1:61" ht="15.75" customHeight="1">
      <c r="A62" s="27"/>
      <c r="B62" s="27"/>
      <c r="C62" s="272"/>
      <c r="D62" s="27"/>
      <c r="E62" s="27"/>
      <c r="F62" s="27"/>
      <c r="G62" s="28"/>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row>
    <row r="63" spans="1:61" ht="15.75" customHeight="1">
      <c r="A63" s="27"/>
      <c r="B63" s="27"/>
      <c r="C63" s="272"/>
      <c r="D63" s="27"/>
      <c r="E63" s="27"/>
      <c r="F63" s="27"/>
      <c r="G63" s="28"/>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row>
    <row r="64" spans="1:61" ht="15.75" customHeight="1">
      <c r="A64" s="27"/>
      <c r="B64" s="27"/>
      <c r="C64" s="272"/>
      <c r="D64" s="27"/>
      <c r="E64" s="27"/>
      <c r="F64" s="27"/>
      <c r="G64" s="28"/>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row>
    <row r="65" spans="1:61" ht="15.75" customHeight="1">
      <c r="A65" s="27"/>
      <c r="B65" s="27"/>
      <c r="C65" s="272"/>
      <c r="D65" s="27"/>
      <c r="E65" s="27"/>
      <c r="F65" s="27"/>
      <c r="G65" s="28"/>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row>
    <row r="66" spans="1:61" ht="15.75" customHeight="1">
      <c r="A66" s="27"/>
      <c r="B66" s="27"/>
      <c r="C66" s="272"/>
      <c r="D66" s="27"/>
      <c r="E66" s="27"/>
      <c r="F66" s="27"/>
      <c r="G66" s="28"/>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row>
    <row r="67" spans="1:61" ht="15.75" customHeight="1">
      <c r="A67" s="27"/>
      <c r="B67" s="27"/>
      <c r="C67" s="272"/>
      <c r="D67" s="27"/>
      <c r="E67" s="27"/>
      <c r="F67" s="27"/>
      <c r="G67" s="28"/>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row>
    <row r="68" spans="1:61" ht="15.75" customHeight="1">
      <c r="A68" s="27"/>
      <c r="B68" s="27"/>
      <c r="C68" s="272"/>
      <c r="D68" s="27"/>
      <c r="E68" s="27"/>
      <c r="F68" s="27"/>
      <c r="G68" s="28"/>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row>
    <row r="69" spans="1:61" ht="15.75" customHeight="1">
      <c r="A69" s="27"/>
      <c r="B69" s="27"/>
      <c r="C69" s="272"/>
      <c r="D69" s="27"/>
      <c r="E69" s="27"/>
      <c r="F69" s="27"/>
      <c r="G69" s="28"/>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row>
    <row r="70" spans="1:61" ht="15.75" customHeight="1">
      <c r="A70" s="27"/>
      <c r="B70" s="27"/>
      <c r="C70" s="272"/>
      <c r="D70" s="27"/>
      <c r="E70" s="27"/>
      <c r="F70" s="27"/>
      <c r="G70" s="28"/>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row>
    <row r="71" spans="1:61" ht="15.75" customHeight="1">
      <c r="A71" s="27"/>
      <c r="B71" s="27"/>
      <c r="C71" s="272"/>
      <c r="D71" s="27"/>
      <c r="E71" s="27"/>
      <c r="F71" s="27"/>
      <c r="G71" s="28"/>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row>
    <row r="72" spans="1:61" ht="15.75" customHeight="1">
      <c r="A72" s="27"/>
      <c r="B72" s="27"/>
      <c r="C72" s="272"/>
      <c r="D72" s="27"/>
      <c r="E72" s="27"/>
      <c r="F72" s="27"/>
      <c r="G72" s="28"/>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row>
    <row r="73" spans="1:61" ht="15.75" customHeight="1">
      <c r="A73" s="27"/>
      <c r="B73" s="27"/>
      <c r="C73" s="272"/>
      <c r="D73" s="27"/>
      <c r="E73" s="27"/>
      <c r="F73" s="27"/>
      <c r="G73" s="28"/>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row>
    <row r="74" spans="1:61" ht="15.75" customHeight="1">
      <c r="A74" s="27"/>
      <c r="B74" s="27"/>
      <c r="C74" s="272"/>
      <c r="D74" s="27"/>
      <c r="E74" s="27"/>
      <c r="F74" s="27"/>
      <c r="G74" s="28"/>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row>
    <row r="75" spans="1:61" ht="15.75" customHeight="1">
      <c r="A75" s="27"/>
      <c r="B75" s="27"/>
      <c r="C75" s="272"/>
      <c r="D75" s="27"/>
      <c r="E75" s="27"/>
      <c r="F75" s="27"/>
      <c r="G75" s="28"/>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row>
    <row r="76" spans="1:61" ht="15.75" customHeight="1">
      <c r="A76" s="27"/>
      <c r="B76" s="27"/>
      <c r="C76" s="272"/>
      <c r="D76" s="27"/>
      <c r="E76" s="27"/>
      <c r="F76" s="27"/>
      <c r="G76" s="28"/>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row>
    <row r="77" spans="1:61" ht="15.75" customHeight="1">
      <c r="A77" s="27"/>
      <c r="B77" s="27"/>
      <c r="C77" s="272"/>
      <c r="D77" s="27"/>
      <c r="E77" s="27"/>
      <c r="F77" s="27"/>
      <c r="G77" s="28"/>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row>
    <row r="78" spans="1:61" ht="15.75" customHeight="1">
      <c r="A78" s="27"/>
      <c r="B78" s="27"/>
      <c r="C78" s="272"/>
      <c r="D78" s="27"/>
      <c r="E78" s="27"/>
      <c r="F78" s="27"/>
      <c r="G78" s="28"/>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row>
    <row r="79" spans="1:61" ht="15.75" customHeight="1">
      <c r="A79" s="27"/>
      <c r="B79" s="27"/>
      <c r="C79" s="272"/>
      <c r="D79" s="27"/>
      <c r="E79" s="27"/>
      <c r="F79" s="27"/>
      <c r="G79" s="28"/>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row>
    <row r="80" spans="1:61" ht="15.75" customHeight="1">
      <c r="A80" s="27"/>
      <c r="B80" s="27"/>
      <c r="C80" s="272"/>
      <c r="D80" s="27"/>
      <c r="E80" s="27"/>
      <c r="F80" s="27"/>
      <c r="G80" s="28"/>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row>
    <row r="81" spans="1:61" ht="15.75" customHeight="1">
      <c r="A81" s="27"/>
      <c r="B81" s="27"/>
      <c r="C81" s="272"/>
      <c r="D81" s="27"/>
      <c r="E81" s="27"/>
      <c r="F81" s="27"/>
      <c r="G81" s="28"/>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row>
    <row r="82" spans="1:61" ht="15.75" customHeight="1">
      <c r="A82" s="27"/>
      <c r="B82" s="27"/>
      <c r="C82" s="272"/>
      <c r="D82" s="27"/>
      <c r="E82" s="27"/>
      <c r="F82" s="27"/>
      <c r="G82" s="28"/>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row>
    <row r="83" spans="1:61" ht="15.75" customHeight="1">
      <c r="A83" s="27"/>
      <c r="B83" s="27"/>
      <c r="C83" s="272"/>
      <c r="D83" s="27"/>
      <c r="E83" s="27"/>
      <c r="F83" s="27"/>
      <c r="G83" s="28"/>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row>
    <row r="84" spans="1:61" ht="15.75" customHeight="1">
      <c r="A84" s="27"/>
      <c r="B84" s="27"/>
      <c r="C84" s="272"/>
      <c r="D84" s="27"/>
      <c r="E84" s="27"/>
      <c r="F84" s="27"/>
      <c r="G84" s="28"/>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row>
    <row r="85" spans="1:61" ht="15.75" customHeight="1">
      <c r="A85" s="27"/>
      <c r="B85" s="27"/>
      <c r="C85" s="272"/>
      <c r="D85" s="27"/>
      <c r="E85" s="27"/>
      <c r="F85" s="27"/>
      <c r="G85" s="28"/>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row>
    <row r="86" spans="1:61" ht="15.75" customHeight="1">
      <c r="A86" s="27"/>
      <c r="B86" s="27"/>
      <c r="C86" s="272"/>
      <c r="D86" s="27"/>
      <c r="E86" s="27"/>
      <c r="F86" s="27"/>
      <c r="G86" s="28"/>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row>
    <row r="87" spans="1:61" ht="15.75" customHeight="1">
      <c r="A87" s="27"/>
      <c r="B87" s="27"/>
      <c r="C87" s="272"/>
      <c r="D87" s="27"/>
      <c r="E87" s="27"/>
      <c r="F87" s="27"/>
      <c r="G87" s="28"/>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row>
    <row r="88" spans="1:61" ht="15.75" customHeight="1">
      <c r="A88" s="27"/>
      <c r="B88" s="27"/>
      <c r="C88" s="272"/>
      <c r="D88" s="27"/>
      <c r="E88" s="27"/>
      <c r="F88" s="27"/>
      <c r="G88" s="28"/>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row>
    <row r="89" spans="1:61" ht="15.75" customHeight="1">
      <c r="A89" s="27"/>
      <c r="B89" s="27"/>
      <c r="C89" s="272"/>
      <c r="D89" s="27"/>
      <c r="E89" s="27"/>
      <c r="F89" s="27"/>
      <c r="G89" s="28"/>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row>
    <row r="90" spans="1:61" ht="15.75" customHeight="1">
      <c r="A90" s="27"/>
      <c r="B90" s="27"/>
      <c r="C90" s="272"/>
      <c r="D90" s="27"/>
      <c r="E90" s="27"/>
      <c r="F90" s="27"/>
      <c r="G90" s="28"/>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row>
    <row r="91" spans="1:61" ht="15.75" customHeight="1">
      <c r="A91" s="27"/>
      <c r="B91" s="27"/>
      <c r="C91" s="272"/>
      <c r="D91" s="27"/>
      <c r="E91" s="27"/>
      <c r="F91" s="27"/>
      <c r="G91" s="28"/>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row>
    <row r="92" spans="1:61" ht="15.75" customHeight="1">
      <c r="A92" s="27"/>
      <c r="B92" s="27"/>
      <c r="C92" s="272"/>
      <c r="D92" s="27"/>
      <c r="E92" s="27"/>
      <c r="F92" s="27"/>
      <c r="G92" s="28"/>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row>
    <row r="93" spans="1:61" ht="15.75" customHeight="1">
      <c r="A93" s="27"/>
      <c r="B93" s="27"/>
      <c r="C93" s="272"/>
      <c r="D93" s="27"/>
      <c r="E93" s="27"/>
      <c r="F93" s="27"/>
      <c r="G93" s="28"/>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row>
    <row r="94" spans="1:61" ht="15.75" customHeight="1">
      <c r="A94" s="27"/>
      <c r="B94" s="27"/>
      <c r="C94" s="272"/>
      <c r="D94" s="27"/>
      <c r="E94" s="27"/>
      <c r="F94" s="27"/>
      <c r="G94" s="28"/>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row>
    <row r="95" spans="1:61" ht="15.75" customHeight="1">
      <c r="A95" s="27"/>
      <c r="B95" s="27"/>
      <c r="C95" s="272"/>
      <c r="D95" s="27"/>
      <c r="E95" s="27"/>
      <c r="F95" s="27"/>
      <c r="G95" s="28"/>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row>
    <row r="96" spans="1:61" ht="15.75" customHeight="1">
      <c r="A96" s="27"/>
      <c r="B96" s="27"/>
      <c r="C96" s="272"/>
      <c r="D96" s="27"/>
      <c r="E96" s="27"/>
      <c r="F96" s="27"/>
      <c r="G96" s="28"/>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row>
    <row r="97" spans="1:61" ht="15.75" customHeight="1">
      <c r="A97" s="27"/>
      <c r="B97" s="27"/>
      <c r="C97" s="272"/>
      <c r="D97" s="27"/>
      <c r="E97" s="27"/>
      <c r="F97" s="27"/>
      <c r="G97" s="28"/>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row>
    <row r="98" spans="1:61" ht="15.75" customHeight="1">
      <c r="A98" s="27"/>
      <c r="B98" s="27"/>
      <c r="C98" s="272"/>
      <c r="D98" s="27"/>
      <c r="E98" s="27"/>
      <c r="F98" s="27"/>
      <c r="G98" s="28"/>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row>
    <row r="99" spans="1:61" ht="15.75" customHeight="1">
      <c r="A99" s="27"/>
      <c r="B99" s="27"/>
      <c r="C99" s="272"/>
      <c r="D99" s="27"/>
      <c r="E99" s="27"/>
      <c r="F99" s="27"/>
      <c r="G99" s="28"/>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row>
    <row r="100" spans="1:61" ht="15.75" customHeight="1">
      <c r="A100" s="27"/>
      <c r="B100" s="27"/>
      <c r="C100" s="272"/>
      <c r="D100" s="27"/>
      <c r="E100" s="27"/>
      <c r="F100" s="27"/>
      <c r="G100" s="28"/>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row>
    <row r="101" spans="1:61" ht="15.75" customHeight="1">
      <c r="A101" s="27"/>
      <c r="B101" s="27"/>
      <c r="C101" s="272"/>
      <c r="D101" s="27"/>
      <c r="E101" s="27"/>
      <c r="F101" s="27"/>
      <c r="G101" s="28"/>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row>
    <row r="102" spans="1:61" ht="15.75" customHeight="1">
      <c r="A102" s="27"/>
      <c r="B102" s="27"/>
      <c r="C102" s="272"/>
      <c r="D102" s="27"/>
      <c r="E102" s="27"/>
      <c r="F102" s="27"/>
      <c r="G102" s="28"/>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row>
    <row r="103" spans="1:61" ht="15.75" customHeight="1">
      <c r="A103" s="27"/>
      <c r="B103" s="27"/>
      <c r="C103" s="272"/>
      <c r="D103" s="27"/>
      <c r="E103" s="27"/>
      <c r="F103" s="27"/>
      <c r="G103" s="28"/>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row>
    <row r="104" spans="1:61" ht="15.75" customHeight="1">
      <c r="A104" s="27"/>
      <c r="B104" s="27"/>
      <c r="C104" s="272"/>
      <c r="D104" s="27"/>
      <c r="E104" s="27"/>
      <c r="F104" s="27"/>
      <c r="G104" s="28"/>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row>
    <row r="105" spans="1:61" ht="15.75" customHeight="1">
      <c r="A105" s="27"/>
      <c r="B105" s="27"/>
      <c r="C105" s="272"/>
      <c r="D105" s="27"/>
      <c r="E105" s="27"/>
      <c r="F105" s="27"/>
      <c r="G105" s="28"/>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row>
    <row r="106" spans="1:61" ht="15.75" customHeight="1">
      <c r="A106" s="27"/>
      <c r="B106" s="27"/>
      <c r="C106" s="272"/>
      <c r="D106" s="27"/>
      <c r="E106" s="27"/>
      <c r="F106" s="27"/>
      <c r="G106" s="28"/>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row>
    <row r="107" spans="1:61" ht="15.75" customHeight="1">
      <c r="A107" s="27"/>
      <c r="B107" s="27"/>
      <c r="C107" s="272"/>
      <c r="D107" s="27"/>
      <c r="E107" s="27"/>
      <c r="F107" s="27"/>
      <c r="G107" s="28"/>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row>
    <row r="108" spans="1:61" ht="15.75" customHeight="1">
      <c r="A108" s="27"/>
      <c r="B108" s="27"/>
      <c r="C108" s="272"/>
      <c r="D108" s="27"/>
      <c r="E108" s="27"/>
      <c r="F108" s="27"/>
      <c r="G108" s="28"/>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row>
    <row r="109" spans="1:61" ht="15.75" customHeight="1">
      <c r="A109" s="27"/>
      <c r="B109" s="27"/>
      <c r="C109" s="272"/>
      <c r="D109" s="27"/>
      <c r="E109" s="27"/>
      <c r="F109" s="27"/>
      <c r="G109" s="28"/>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row>
    <row r="110" spans="1:61" ht="15.75" customHeight="1">
      <c r="A110" s="27"/>
      <c r="B110" s="27"/>
      <c r="C110" s="272"/>
      <c r="D110" s="27"/>
      <c r="E110" s="27"/>
      <c r="F110" s="27"/>
      <c r="G110" s="28"/>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row>
    <row r="111" spans="1:61" ht="15.75" customHeight="1">
      <c r="A111" s="27"/>
      <c r="B111" s="27"/>
      <c r="C111" s="272"/>
      <c r="D111" s="27"/>
      <c r="E111" s="27"/>
      <c r="F111" s="27"/>
      <c r="G111" s="28"/>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row>
    <row r="112" spans="1:61" ht="15.75" customHeight="1">
      <c r="A112" s="27"/>
      <c r="B112" s="27"/>
      <c r="C112" s="272"/>
      <c r="D112" s="27"/>
      <c r="E112" s="27"/>
      <c r="F112" s="27"/>
      <c r="G112" s="28"/>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row>
    <row r="113" spans="1:61" ht="15.75" customHeight="1">
      <c r="A113" s="27"/>
      <c r="B113" s="27"/>
      <c r="C113" s="272"/>
      <c r="D113" s="27"/>
      <c r="E113" s="27"/>
      <c r="F113" s="27"/>
      <c r="G113" s="28"/>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row>
    <row r="114" spans="1:61" ht="15.75" customHeight="1">
      <c r="A114" s="27"/>
      <c r="B114" s="27"/>
      <c r="C114" s="272"/>
      <c r="D114" s="27"/>
      <c r="E114" s="27"/>
      <c r="F114" s="27"/>
      <c r="G114" s="28"/>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row>
    <row r="115" spans="1:61" ht="15.75" customHeight="1">
      <c r="A115" s="27"/>
      <c r="B115" s="27"/>
      <c r="C115" s="272"/>
      <c r="D115" s="27"/>
      <c r="E115" s="27"/>
      <c r="F115" s="27"/>
      <c r="G115" s="28"/>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row>
    <row r="116" spans="1:61" ht="15.75" customHeight="1">
      <c r="A116" s="27"/>
      <c r="B116" s="27"/>
      <c r="C116" s="272"/>
      <c r="D116" s="27"/>
      <c r="E116" s="27"/>
      <c r="F116" s="27"/>
      <c r="G116" s="28"/>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row>
    <row r="117" spans="1:61" ht="15.75" customHeight="1">
      <c r="A117" s="27"/>
      <c r="B117" s="27"/>
      <c r="C117" s="272"/>
      <c r="D117" s="27"/>
      <c r="E117" s="27"/>
      <c r="F117" s="27"/>
      <c r="G117" s="28"/>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row>
    <row r="118" spans="1:61" ht="15.75" customHeight="1">
      <c r="A118" s="27"/>
      <c r="B118" s="27"/>
      <c r="C118" s="272"/>
      <c r="D118" s="27"/>
      <c r="E118" s="27"/>
      <c r="F118" s="27"/>
      <c r="G118" s="28"/>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row>
    <row r="119" spans="1:61" ht="15.75" customHeight="1">
      <c r="A119" s="27"/>
      <c r="B119" s="27"/>
      <c r="C119" s="272"/>
      <c r="D119" s="27"/>
      <c r="E119" s="27"/>
      <c r="F119" s="27"/>
      <c r="G119" s="28"/>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row>
    <row r="120" spans="1:61" ht="15.75" customHeight="1">
      <c r="A120" s="27"/>
      <c r="B120" s="27"/>
      <c r="C120" s="272"/>
      <c r="D120" s="27"/>
      <c r="E120" s="27"/>
      <c r="F120" s="27"/>
      <c r="G120" s="28"/>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row>
    <row r="121" spans="1:61" ht="15.75" customHeight="1">
      <c r="A121" s="27"/>
      <c r="B121" s="27"/>
      <c r="C121" s="272"/>
      <c r="D121" s="27"/>
      <c r="E121" s="27"/>
      <c r="F121" s="27"/>
      <c r="G121" s="28"/>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row>
    <row r="122" spans="1:61" ht="15.75" customHeight="1">
      <c r="A122" s="27"/>
      <c r="B122" s="27"/>
      <c r="C122" s="272"/>
      <c r="D122" s="27"/>
      <c r="E122" s="27"/>
      <c r="F122" s="27"/>
      <c r="G122" s="28"/>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row>
    <row r="123" spans="1:61" ht="15.75" customHeight="1">
      <c r="A123" s="27"/>
      <c r="B123" s="27"/>
      <c r="C123" s="272"/>
      <c r="D123" s="27"/>
      <c r="E123" s="27"/>
      <c r="F123" s="27"/>
      <c r="G123" s="28"/>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row>
    <row r="124" spans="1:61" ht="15.75" customHeight="1">
      <c r="A124" s="27"/>
      <c r="B124" s="27"/>
      <c r="C124" s="272"/>
      <c r="D124" s="27"/>
      <c r="E124" s="27"/>
      <c r="F124" s="27"/>
      <c r="G124" s="28"/>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row>
    <row r="125" spans="1:61" ht="15.75" customHeight="1">
      <c r="A125" s="27"/>
      <c r="B125" s="27"/>
      <c r="C125" s="272"/>
      <c r="D125" s="27"/>
      <c r="E125" s="27"/>
      <c r="F125" s="27"/>
      <c r="G125" s="28"/>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row>
    <row r="126" spans="1:61" ht="15.75" customHeight="1">
      <c r="A126" s="27"/>
      <c r="B126" s="27"/>
      <c r="C126" s="272"/>
      <c r="D126" s="27"/>
      <c r="E126" s="27"/>
      <c r="F126" s="27"/>
      <c r="G126" s="28"/>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row>
    <row r="127" spans="1:61" ht="15.75" customHeight="1">
      <c r="A127" s="27"/>
      <c r="B127" s="27"/>
      <c r="C127" s="272"/>
      <c r="D127" s="27"/>
      <c r="E127" s="27"/>
      <c r="F127" s="27"/>
      <c r="G127" s="28"/>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row>
    <row r="128" spans="1:61" ht="15.75" customHeight="1">
      <c r="A128" s="27"/>
      <c r="B128" s="27"/>
      <c r="C128" s="272"/>
      <c r="D128" s="27"/>
      <c r="E128" s="27"/>
      <c r="F128" s="27"/>
      <c r="G128" s="28"/>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row>
    <row r="129" spans="1:61" ht="15.75" customHeight="1">
      <c r="A129" s="27"/>
      <c r="B129" s="27"/>
      <c r="C129" s="272"/>
      <c r="D129" s="27"/>
      <c r="E129" s="27"/>
      <c r="F129" s="27"/>
      <c r="G129" s="28"/>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row>
    <row r="130" spans="1:61" ht="15.75" customHeight="1">
      <c r="A130" s="27"/>
      <c r="B130" s="27"/>
      <c r="C130" s="272"/>
      <c r="D130" s="27"/>
      <c r="E130" s="27"/>
      <c r="F130" s="27"/>
      <c r="G130" s="28"/>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row>
    <row r="131" spans="1:61" ht="15.75" customHeight="1">
      <c r="A131" s="27"/>
      <c r="B131" s="27"/>
      <c r="C131" s="272"/>
      <c r="D131" s="27"/>
      <c r="E131" s="27"/>
      <c r="F131" s="27"/>
      <c r="G131" s="28"/>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row>
    <row r="132" spans="1:61" ht="15.75" customHeight="1">
      <c r="A132" s="27"/>
      <c r="B132" s="27"/>
      <c r="C132" s="272"/>
      <c r="D132" s="27"/>
      <c r="E132" s="27"/>
      <c r="F132" s="27"/>
      <c r="G132" s="28"/>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row>
    <row r="133" spans="1:61" ht="15.75" customHeight="1">
      <c r="A133" s="27"/>
      <c r="B133" s="27"/>
      <c r="C133" s="272"/>
      <c r="D133" s="27"/>
      <c r="E133" s="27"/>
      <c r="F133" s="27"/>
      <c r="G133" s="28"/>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row>
    <row r="134" spans="1:61" ht="15.75" customHeight="1">
      <c r="A134" s="27"/>
      <c r="B134" s="27"/>
      <c r="C134" s="272"/>
      <c r="D134" s="27"/>
      <c r="E134" s="27"/>
      <c r="F134" s="27"/>
      <c r="G134" s="28"/>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row>
    <row r="135" spans="1:61" ht="15.75" customHeight="1">
      <c r="A135" s="27"/>
      <c r="B135" s="27"/>
      <c r="C135" s="272"/>
      <c r="D135" s="27"/>
      <c r="E135" s="27"/>
      <c r="F135" s="27"/>
      <c r="G135" s="28"/>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row>
    <row r="136" spans="1:61" ht="15.75" customHeight="1">
      <c r="A136" s="27"/>
      <c r="B136" s="27"/>
      <c r="C136" s="272"/>
      <c r="D136" s="27"/>
      <c r="E136" s="27"/>
      <c r="F136" s="27"/>
      <c r="G136" s="28"/>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row>
    <row r="137" spans="1:61" ht="15.75" customHeight="1">
      <c r="A137" s="27"/>
      <c r="B137" s="27"/>
      <c r="C137" s="272"/>
      <c r="D137" s="27"/>
      <c r="E137" s="27"/>
      <c r="F137" s="27"/>
      <c r="G137" s="28"/>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row>
    <row r="138" spans="1:61" ht="15.75" customHeight="1">
      <c r="A138" s="27"/>
      <c r="B138" s="27"/>
      <c r="C138" s="272"/>
      <c r="D138" s="27"/>
      <c r="E138" s="27"/>
      <c r="F138" s="27"/>
      <c r="G138" s="28"/>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row>
    <row r="139" spans="1:61" ht="15.75" customHeight="1">
      <c r="A139" s="27"/>
      <c r="B139" s="27"/>
      <c r="C139" s="272"/>
      <c r="D139" s="27"/>
      <c r="E139" s="27"/>
      <c r="F139" s="27"/>
      <c r="G139" s="28"/>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row>
    <row r="140" spans="1:61" ht="15.75" customHeight="1">
      <c r="A140" s="27"/>
      <c r="B140" s="27"/>
      <c r="C140" s="272"/>
      <c r="D140" s="27"/>
      <c r="E140" s="27"/>
      <c r="F140" s="27"/>
      <c r="G140" s="28"/>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row>
    <row r="141" spans="1:61" ht="15.75" customHeight="1">
      <c r="C141" s="273"/>
    </row>
    <row r="142" spans="1:61" ht="15.75" customHeight="1">
      <c r="C142" s="273"/>
    </row>
    <row r="143" spans="1:61" ht="15.75" customHeight="1">
      <c r="C143" s="273"/>
    </row>
    <row r="144" spans="1:61" ht="15.75" customHeight="1">
      <c r="C144" s="273"/>
    </row>
    <row r="145" spans="3:3" ht="15.75" customHeight="1">
      <c r="C145" s="273"/>
    </row>
    <row r="146" spans="3:3" ht="15.75" customHeight="1">
      <c r="C146" s="273"/>
    </row>
    <row r="147" spans="3:3" ht="15.75" customHeight="1">
      <c r="C147" s="273"/>
    </row>
    <row r="148" spans="3:3" ht="15.75" customHeight="1">
      <c r="C148" s="273"/>
    </row>
    <row r="149" spans="3:3" ht="15.75" customHeight="1">
      <c r="C149" s="273"/>
    </row>
    <row r="150" spans="3:3" ht="15.75" customHeight="1">
      <c r="C150" s="273"/>
    </row>
    <row r="151" spans="3:3" ht="15.75" customHeight="1">
      <c r="C151" s="273"/>
    </row>
    <row r="152" spans="3:3" ht="15.75" customHeight="1">
      <c r="C152" s="273"/>
    </row>
    <row r="153" spans="3:3" ht="15.75" customHeight="1">
      <c r="C153" s="273"/>
    </row>
    <row r="154" spans="3:3" ht="15.75" customHeight="1">
      <c r="C154" s="273"/>
    </row>
    <row r="155" spans="3:3" ht="15.75" customHeight="1">
      <c r="C155" s="273"/>
    </row>
    <row r="156" spans="3:3" ht="15.75" customHeight="1">
      <c r="C156" s="273"/>
    </row>
    <row r="157" spans="3:3" ht="15.75" customHeight="1">
      <c r="C157" s="273"/>
    </row>
    <row r="158" spans="3:3" ht="15.75" customHeight="1">
      <c r="C158" s="273"/>
    </row>
    <row r="159" spans="3:3" ht="15.75" customHeight="1">
      <c r="C159" s="273"/>
    </row>
    <row r="160" spans="3:3" ht="15.75" customHeight="1">
      <c r="C160" s="273"/>
    </row>
    <row r="161" spans="3:3" ht="15.75" customHeight="1">
      <c r="C161" s="273"/>
    </row>
    <row r="162" spans="3:3" ht="15.75" customHeight="1">
      <c r="C162" s="273"/>
    </row>
    <row r="163" spans="3:3" ht="15.75" customHeight="1">
      <c r="C163" s="273"/>
    </row>
    <row r="164" spans="3:3" ht="15.75" customHeight="1">
      <c r="C164" s="273"/>
    </row>
    <row r="165" spans="3:3" ht="15.75" customHeight="1">
      <c r="C165" s="273"/>
    </row>
    <row r="166" spans="3:3" ht="15.75" customHeight="1">
      <c r="C166" s="273"/>
    </row>
    <row r="167" spans="3:3" ht="15.75" customHeight="1">
      <c r="C167" s="273"/>
    </row>
    <row r="168" spans="3:3" ht="15.75" customHeight="1">
      <c r="C168" s="273"/>
    </row>
    <row r="169" spans="3:3" ht="15.75" customHeight="1">
      <c r="C169" s="273"/>
    </row>
    <row r="170" spans="3:3" ht="15.75" customHeight="1">
      <c r="C170" s="273"/>
    </row>
    <row r="171" spans="3:3" ht="15.75" customHeight="1">
      <c r="C171" s="273"/>
    </row>
    <row r="172" spans="3:3" ht="15.75" customHeight="1">
      <c r="C172" s="273"/>
    </row>
    <row r="173" spans="3:3" ht="15.75" customHeight="1">
      <c r="C173" s="273"/>
    </row>
    <row r="174" spans="3:3" ht="15.75" customHeight="1">
      <c r="C174" s="273"/>
    </row>
    <row r="175" spans="3:3" ht="15.75" customHeight="1">
      <c r="C175" s="273"/>
    </row>
    <row r="176" spans="3:3" ht="15.75" customHeight="1">
      <c r="C176" s="273"/>
    </row>
    <row r="177" spans="3:3" ht="15.75" customHeight="1">
      <c r="C177" s="273"/>
    </row>
    <row r="178" spans="3:3" ht="15.75" customHeight="1">
      <c r="C178" s="273"/>
    </row>
    <row r="179" spans="3:3" ht="15.75" customHeight="1">
      <c r="C179" s="273"/>
    </row>
    <row r="180" spans="3:3" ht="15.75" customHeight="1">
      <c r="C180" s="273"/>
    </row>
    <row r="181" spans="3:3" ht="15.75" customHeight="1">
      <c r="C181" s="273"/>
    </row>
    <row r="182" spans="3:3" ht="15.75" customHeight="1">
      <c r="C182" s="273"/>
    </row>
    <row r="183" spans="3:3" ht="15.75" customHeight="1">
      <c r="C183" s="273"/>
    </row>
    <row r="184" spans="3:3" ht="15.75" customHeight="1">
      <c r="C184" s="273"/>
    </row>
    <row r="185" spans="3:3" ht="15.75" customHeight="1">
      <c r="C185" s="273"/>
    </row>
    <row r="186" spans="3:3" ht="15.75" customHeight="1">
      <c r="C186" s="273"/>
    </row>
    <row r="187" spans="3:3" ht="15.75" customHeight="1">
      <c r="C187" s="273"/>
    </row>
    <row r="188" spans="3:3" ht="15.75" customHeight="1">
      <c r="C188" s="273"/>
    </row>
    <row r="189" spans="3:3" ht="15.75" customHeight="1">
      <c r="C189" s="273"/>
    </row>
    <row r="190" spans="3:3" ht="15.75" customHeight="1">
      <c r="C190" s="273"/>
    </row>
    <row r="191" spans="3:3" ht="15.75" customHeight="1">
      <c r="C191" s="273"/>
    </row>
    <row r="192" spans="3:3" ht="15.75" customHeight="1">
      <c r="C192" s="273"/>
    </row>
    <row r="193" spans="3:3" ht="15.75" customHeight="1">
      <c r="C193" s="273"/>
    </row>
    <row r="194" spans="3:3" ht="15.75" customHeight="1">
      <c r="C194" s="273"/>
    </row>
    <row r="195" spans="3:3" ht="15.75" customHeight="1">
      <c r="C195" s="273"/>
    </row>
    <row r="196" spans="3:3" ht="15.75" customHeight="1">
      <c r="C196" s="273"/>
    </row>
    <row r="197" spans="3:3" ht="15.75" customHeight="1">
      <c r="C197" s="273"/>
    </row>
    <row r="198" spans="3:3" ht="15.75" customHeight="1">
      <c r="C198" s="273"/>
    </row>
    <row r="199" spans="3:3" ht="15.75" customHeight="1">
      <c r="C199" s="273"/>
    </row>
    <row r="200" spans="3:3" ht="15.75" customHeight="1">
      <c r="C200" s="273"/>
    </row>
    <row r="201" spans="3:3" ht="15.75" customHeight="1">
      <c r="C201" s="273"/>
    </row>
    <row r="202" spans="3:3" ht="15.75" customHeight="1">
      <c r="C202" s="273"/>
    </row>
    <row r="203" spans="3:3" ht="15.75" customHeight="1">
      <c r="C203" s="273"/>
    </row>
    <row r="204" spans="3:3" ht="15.75" customHeight="1">
      <c r="C204" s="273"/>
    </row>
    <row r="205" spans="3:3" ht="15.75" customHeight="1">
      <c r="C205" s="273"/>
    </row>
    <row r="206" spans="3:3" ht="15.75" customHeight="1">
      <c r="C206" s="273"/>
    </row>
    <row r="207" spans="3:3" ht="15.75" customHeight="1">
      <c r="C207" s="273"/>
    </row>
    <row r="208" spans="3:3" ht="15.75" customHeight="1">
      <c r="C208" s="273"/>
    </row>
    <row r="209" spans="3:3" ht="15.75" customHeight="1">
      <c r="C209" s="273"/>
    </row>
    <row r="210" spans="3:3" ht="15.75" customHeight="1">
      <c r="C210" s="273"/>
    </row>
    <row r="211" spans="3:3" ht="15.75" customHeight="1">
      <c r="C211" s="273"/>
    </row>
    <row r="212" spans="3:3" ht="15.75" customHeight="1">
      <c r="C212" s="273"/>
    </row>
    <row r="213" spans="3:3" ht="15.75" customHeight="1">
      <c r="C213" s="273"/>
    </row>
    <row r="214" spans="3:3" ht="15.75" customHeight="1">
      <c r="C214" s="273"/>
    </row>
    <row r="215" spans="3:3" ht="15.75" customHeight="1">
      <c r="C215" s="273"/>
    </row>
    <row r="216" spans="3:3" ht="15.75" customHeight="1">
      <c r="C216" s="273"/>
    </row>
    <row r="217" spans="3:3" ht="15.75" customHeight="1">
      <c r="C217" s="273"/>
    </row>
    <row r="218" spans="3:3" ht="15.75" customHeight="1">
      <c r="C218" s="273"/>
    </row>
    <row r="219" spans="3:3" ht="15.75" customHeight="1">
      <c r="C219" s="273"/>
    </row>
    <row r="220" spans="3:3" ht="15.75" customHeight="1">
      <c r="C220" s="273"/>
    </row>
    <row r="221" spans="3:3" ht="15.75" customHeight="1">
      <c r="C221" s="273"/>
    </row>
    <row r="222" spans="3:3" ht="15.75" customHeight="1">
      <c r="C222" s="273"/>
    </row>
    <row r="223" spans="3:3" ht="15.75" customHeight="1">
      <c r="C223" s="273"/>
    </row>
    <row r="224" spans="3:3" ht="15.75" customHeight="1">
      <c r="C224" s="273"/>
    </row>
    <row r="225" spans="3:3" ht="15.75" customHeight="1">
      <c r="C225" s="273"/>
    </row>
    <row r="226" spans="3:3" ht="15.75" customHeight="1">
      <c r="C226" s="273"/>
    </row>
    <row r="227" spans="3:3" ht="15.75" customHeight="1">
      <c r="C227" s="273"/>
    </row>
    <row r="228" spans="3:3" ht="15.75" customHeight="1">
      <c r="C228" s="273"/>
    </row>
    <row r="229" spans="3:3" ht="15.75" customHeight="1">
      <c r="C229" s="273"/>
    </row>
    <row r="230" spans="3:3" ht="15.75" customHeight="1">
      <c r="C230" s="273"/>
    </row>
    <row r="231" spans="3:3" ht="15.75" customHeight="1">
      <c r="C231" s="273"/>
    </row>
    <row r="232" spans="3:3" ht="15.75" customHeight="1">
      <c r="C232" s="273"/>
    </row>
    <row r="233" spans="3:3" ht="15.75" customHeight="1">
      <c r="C233" s="273"/>
    </row>
    <row r="234" spans="3:3" ht="15.75" customHeight="1">
      <c r="C234" s="273"/>
    </row>
    <row r="235" spans="3:3" ht="15.75" customHeight="1">
      <c r="C235" s="273"/>
    </row>
    <row r="236" spans="3:3" ht="15.75" customHeight="1">
      <c r="C236" s="273"/>
    </row>
    <row r="237" spans="3:3" ht="15.75" customHeight="1">
      <c r="C237" s="273"/>
    </row>
    <row r="238" spans="3:3" ht="15.75" customHeight="1">
      <c r="C238" s="273"/>
    </row>
    <row r="239" spans="3:3" ht="15.75" customHeight="1">
      <c r="C239" s="273"/>
    </row>
    <row r="240" spans="3:3" ht="15.75" customHeight="1">
      <c r="C240" s="273"/>
    </row>
    <row r="241" spans="3:3" ht="15.75" customHeight="1">
      <c r="C241" s="273"/>
    </row>
    <row r="242" spans="3:3" ht="15.75" customHeight="1">
      <c r="C242" s="273"/>
    </row>
    <row r="243" spans="3:3" ht="15.75" customHeight="1">
      <c r="C243" s="273"/>
    </row>
    <row r="244" spans="3:3" ht="15.75" customHeight="1">
      <c r="C244" s="273"/>
    </row>
    <row r="245" spans="3:3" ht="15.75" customHeight="1">
      <c r="C245" s="273"/>
    </row>
    <row r="246" spans="3:3" ht="15.75" customHeight="1">
      <c r="C246" s="273"/>
    </row>
    <row r="247" spans="3:3" ht="15.75" customHeight="1">
      <c r="C247" s="273"/>
    </row>
    <row r="248" spans="3:3" ht="15.75" customHeight="1">
      <c r="C248" s="273"/>
    </row>
    <row r="249" spans="3:3" ht="15.75" customHeight="1">
      <c r="C249" s="273"/>
    </row>
    <row r="250" spans="3:3" ht="15.75" customHeight="1">
      <c r="C250" s="273"/>
    </row>
    <row r="251" spans="3:3" ht="15.75" customHeight="1">
      <c r="C251" s="273"/>
    </row>
    <row r="252" spans="3:3" ht="15.75" customHeight="1">
      <c r="C252" s="273"/>
    </row>
    <row r="253" spans="3:3" ht="15.75" customHeight="1">
      <c r="C253" s="273"/>
    </row>
    <row r="254" spans="3:3" ht="15.75" customHeight="1">
      <c r="C254" s="273"/>
    </row>
    <row r="255" spans="3:3" ht="15.75" customHeight="1">
      <c r="C255" s="273"/>
    </row>
    <row r="256" spans="3:3" ht="15.75" customHeight="1">
      <c r="C256" s="273"/>
    </row>
    <row r="257" spans="3:3" ht="15.75" customHeight="1">
      <c r="C257" s="273"/>
    </row>
    <row r="258" spans="3:3" ht="15.75" customHeight="1">
      <c r="C258" s="273"/>
    </row>
    <row r="259" spans="3:3" ht="15.75" customHeight="1">
      <c r="C259" s="273"/>
    </row>
    <row r="260" spans="3:3" ht="15.75" customHeight="1">
      <c r="C260" s="273"/>
    </row>
    <row r="261" spans="3:3" ht="15.75" customHeight="1">
      <c r="C261" s="273"/>
    </row>
    <row r="262" spans="3:3" ht="15.75" customHeight="1">
      <c r="C262" s="273"/>
    </row>
    <row r="263" spans="3:3" ht="15.75" customHeight="1">
      <c r="C263" s="273"/>
    </row>
    <row r="264" spans="3:3" ht="15.75" customHeight="1">
      <c r="C264" s="273"/>
    </row>
    <row r="265" spans="3:3" ht="15.75" customHeight="1">
      <c r="C265" s="273"/>
    </row>
    <row r="266" spans="3:3" ht="15.75" customHeight="1">
      <c r="C266" s="273"/>
    </row>
    <row r="267" spans="3:3" ht="15.75" customHeight="1">
      <c r="C267" s="273"/>
    </row>
    <row r="268" spans="3:3" ht="15.75" customHeight="1">
      <c r="C268" s="273"/>
    </row>
    <row r="269" spans="3:3" ht="15.75" customHeight="1">
      <c r="C269" s="273"/>
    </row>
    <row r="270" spans="3:3" ht="15.75" customHeight="1">
      <c r="C270" s="273"/>
    </row>
    <row r="271" spans="3:3" ht="15.75" customHeight="1">
      <c r="C271" s="273"/>
    </row>
    <row r="272" spans="3:3" ht="15.75" customHeight="1">
      <c r="C272" s="273"/>
    </row>
    <row r="273" spans="3:3" ht="15.75" customHeight="1">
      <c r="C273" s="273"/>
    </row>
    <row r="274" spans="3:3" ht="15.75" customHeight="1">
      <c r="C274" s="273"/>
    </row>
    <row r="275" spans="3:3" ht="15.75" customHeight="1">
      <c r="C275" s="273"/>
    </row>
    <row r="276" spans="3:3" ht="15.75" customHeight="1">
      <c r="C276" s="273"/>
    </row>
    <row r="277" spans="3:3" ht="15.75" customHeight="1">
      <c r="C277" s="273"/>
    </row>
    <row r="278" spans="3:3" ht="15.75" customHeight="1">
      <c r="C278" s="273"/>
    </row>
    <row r="279" spans="3:3" ht="15.75" customHeight="1">
      <c r="C279" s="273"/>
    </row>
    <row r="280" spans="3:3" ht="15.75" customHeight="1">
      <c r="C280" s="273"/>
    </row>
    <row r="281" spans="3:3" ht="15.75" customHeight="1">
      <c r="C281" s="273"/>
    </row>
    <row r="282" spans="3:3" ht="15.75" customHeight="1">
      <c r="C282" s="273"/>
    </row>
    <row r="283" spans="3:3" ht="15.75" customHeight="1">
      <c r="C283" s="273"/>
    </row>
    <row r="284" spans="3:3" ht="15.75" customHeight="1">
      <c r="C284" s="273"/>
    </row>
    <row r="285" spans="3:3" ht="15.75" customHeight="1">
      <c r="C285" s="273"/>
    </row>
    <row r="286" spans="3:3" ht="15.75" customHeight="1">
      <c r="C286" s="273"/>
    </row>
    <row r="287" spans="3:3" ht="15.75" customHeight="1">
      <c r="C287" s="273"/>
    </row>
    <row r="288" spans="3:3" ht="15.75" customHeight="1">
      <c r="C288" s="273"/>
    </row>
    <row r="289" spans="3:3" ht="15.75" customHeight="1">
      <c r="C289" s="273"/>
    </row>
    <row r="290" spans="3:3" ht="15.75" customHeight="1">
      <c r="C290" s="273"/>
    </row>
    <row r="291" spans="3:3" ht="15.75" customHeight="1">
      <c r="C291" s="273"/>
    </row>
    <row r="292" spans="3:3" ht="15.75" customHeight="1">
      <c r="C292" s="273"/>
    </row>
    <row r="293" spans="3:3" ht="15.75" customHeight="1">
      <c r="C293" s="273"/>
    </row>
    <row r="294" spans="3:3" ht="15.75" customHeight="1">
      <c r="C294" s="273"/>
    </row>
    <row r="295" spans="3:3" ht="15.75" customHeight="1">
      <c r="C295" s="273"/>
    </row>
    <row r="296" spans="3:3" ht="15.75" customHeight="1">
      <c r="C296" s="273"/>
    </row>
    <row r="297" spans="3:3" ht="15.75" customHeight="1">
      <c r="C297" s="273"/>
    </row>
    <row r="298" spans="3:3" ht="15.75" customHeight="1">
      <c r="C298" s="273"/>
    </row>
    <row r="299" spans="3:3" ht="15.75" customHeight="1">
      <c r="C299" s="273"/>
    </row>
    <row r="300" spans="3:3" ht="15.75" customHeight="1">
      <c r="C300" s="273"/>
    </row>
    <row r="301" spans="3:3" ht="15.75" customHeight="1">
      <c r="C301" s="273"/>
    </row>
    <row r="302" spans="3:3" ht="15.75" customHeight="1">
      <c r="C302" s="273"/>
    </row>
    <row r="303" spans="3:3" ht="15.75" customHeight="1">
      <c r="C303" s="273"/>
    </row>
    <row r="304" spans="3:3" ht="15.75" customHeight="1">
      <c r="C304" s="273"/>
    </row>
    <row r="305" spans="3:3" ht="15.75" customHeight="1">
      <c r="C305" s="273"/>
    </row>
    <row r="306" spans="3:3" ht="15.75" customHeight="1">
      <c r="C306" s="273"/>
    </row>
    <row r="307" spans="3:3" ht="15.75" customHeight="1">
      <c r="C307" s="273"/>
    </row>
    <row r="308" spans="3:3" ht="15.75" customHeight="1">
      <c r="C308" s="273"/>
    </row>
    <row r="309" spans="3:3" ht="15.75" customHeight="1">
      <c r="C309" s="273"/>
    </row>
    <row r="310" spans="3:3" ht="15.75" customHeight="1">
      <c r="C310" s="273"/>
    </row>
    <row r="311" spans="3:3" ht="15.75" customHeight="1">
      <c r="C311" s="273"/>
    </row>
    <row r="312" spans="3:3" ht="15.75" customHeight="1">
      <c r="C312" s="273"/>
    </row>
    <row r="313" spans="3:3" ht="15.75" customHeight="1">
      <c r="C313" s="273"/>
    </row>
    <row r="314" spans="3:3" ht="15.75" customHeight="1">
      <c r="C314" s="273"/>
    </row>
    <row r="315" spans="3:3" ht="15.75" customHeight="1">
      <c r="C315" s="273"/>
    </row>
    <row r="316" spans="3:3" ht="15.75" customHeight="1">
      <c r="C316" s="273"/>
    </row>
    <row r="317" spans="3:3" ht="15.75" customHeight="1">
      <c r="C317" s="273"/>
    </row>
    <row r="318" spans="3:3" ht="15.75" customHeight="1">
      <c r="C318" s="273"/>
    </row>
    <row r="319" spans="3:3" ht="15.75" customHeight="1">
      <c r="C319" s="273"/>
    </row>
    <row r="320" spans="3:3" ht="15.75" customHeight="1">
      <c r="C320" s="273"/>
    </row>
    <row r="321" spans="3:3" ht="15.75" customHeight="1">
      <c r="C321" s="273"/>
    </row>
    <row r="322" spans="3:3" ht="15.75" customHeight="1">
      <c r="C322" s="273"/>
    </row>
    <row r="323" spans="3:3" ht="15.75" customHeight="1">
      <c r="C323" s="273"/>
    </row>
    <row r="324" spans="3:3" ht="15.75" customHeight="1">
      <c r="C324" s="273"/>
    </row>
    <row r="325" spans="3:3" ht="15.75" customHeight="1">
      <c r="C325" s="273"/>
    </row>
    <row r="326" spans="3:3" ht="15.75" customHeight="1">
      <c r="C326" s="273"/>
    </row>
    <row r="327" spans="3:3" ht="15.75" customHeight="1">
      <c r="C327" s="273"/>
    </row>
    <row r="328" spans="3:3" ht="15.75" customHeight="1">
      <c r="C328" s="273"/>
    </row>
    <row r="329" spans="3:3" ht="15.75" customHeight="1">
      <c r="C329" s="273"/>
    </row>
    <row r="330" spans="3:3" ht="15.75" customHeight="1">
      <c r="C330" s="273"/>
    </row>
    <row r="331" spans="3:3" ht="15.75" customHeight="1">
      <c r="C331" s="273"/>
    </row>
    <row r="332" spans="3:3" ht="15.75" customHeight="1">
      <c r="C332" s="273"/>
    </row>
    <row r="333" spans="3:3" ht="15.75" customHeight="1">
      <c r="C333" s="273"/>
    </row>
    <row r="334" spans="3:3" ht="15.75" customHeight="1">
      <c r="C334" s="273"/>
    </row>
    <row r="335" spans="3:3" ht="15.75" customHeight="1">
      <c r="C335" s="273"/>
    </row>
    <row r="336" spans="3:3" ht="15.75" customHeight="1">
      <c r="C336" s="273"/>
    </row>
    <row r="337" spans="3:3" ht="15.75" customHeight="1">
      <c r="C337" s="273"/>
    </row>
    <row r="338" spans="3:3" ht="15.75" customHeight="1">
      <c r="C338" s="273"/>
    </row>
    <row r="339" spans="3:3" ht="15.75" customHeight="1">
      <c r="C339" s="273"/>
    </row>
    <row r="340" spans="3:3" ht="15.75" customHeight="1">
      <c r="C340" s="273"/>
    </row>
    <row r="341" spans="3:3" ht="15.75" customHeight="1">
      <c r="C341" s="273"/>
    </row>
    <row r="342" spans="3:3" ht="15.75" customHeight="1">
      <c r="C342" s="273"/>
    </row>
    <row r="343" spans="3:3" ht="15.75" customHeight="1">
      <c r="C343" s="273"/>
    </row>
    <row r="344" spans="3:3" ht="15.75" customHeight="1">
      <c r="C344" s="273"/>
    </row>
    <row r="345" spans="3:3" ht="15.75" customHeight="1">
      <c r="C345" s="273"/>
    </row>
    <row r="346" spans="3:3" ht="15.75" customHeight="1">
      <c r="C346" s="273"/>
    </row>
    <row r="347" spans="3:3" ht="15.75" customHeight="1">
      <c r="C347" s="273"/>
    </row>
    <row r="348" spans="3:3" ht="15.75" customHeight="1">
      <c r="C348" s="273"/>
    </row>
    <row r="349" spans="3:3" ht="15.75" customHeight="1">
      <c r="C349" s="273"/>
    </row>
    <row r="350" spans="3:3" ht="15.75" customHeight="1">
      <c r="C350" s="273"/>
    </row>
    <row r="351" spans="3:3" ht="15.75" customHeight="1">
      <c r="C351" s="273"/>
    </row>
    <row r="352" spans="3:3" ht="15.75" customHeight="1">
      <c r="C352" s="273"/>
    </row>
    <row r="353" spans="3:3" ht="15.75" customHeight="1">
      <c r="C353" s="273"/>
    </row>
    <row r="354" spans="3:3" ht="15.75" customHeight="1">
      <c r="C354" s="273"/>
    </row>
    <row r="355" spans="3:3" ht="15.75" customHeight="1">
      <c r="C355" s="273"/>
    </row>
    <row r="356" spans="3:3" ht="15.75" customHeight="1">
      <c r="C356" s="273"/>
    </row>
    <row r="357" spans="3:3" ht="15.75" customHeight="1">
      <c r="C357" s="273"/>
    </row>
    <row r="358" spans="3:3" ht="15.75" customHeight="1">
      <c r="C358" s="273"/>
    </row>
    <row r="359" spans="3:3" ht="15.75" customHeight="1">
      <c r="C359" s="273"/>
    </row>
    <row r="360" spans="3:3" ht="15.75" customHeight="1">
      <c r="C360" s="273"/>
    </row>
    <row r="361" spans="3:3" ht="15.75" customHeight="1">
      <c r="C361" s="273"/>
    </row>
    <row r="362" spans="3:3" ht="15.75" customHeight="1">
      <c r="C362" s="273"/>
    </row>
    <row r="363" spans="3:3" ht="15.75" customHeight="1">
      <c r="C363" s="273"/>
    </row>
    <row r="364" spans="3:3" ht="15.75" customHeight="1">
      <c r="C364" s="273"/>
    </row>
    <row r="365" spans="3:3" ht="15.75" customHeight="1">
      <c r="C365" s="273"/>
    </row>
    <row r="366" spans="3:3" ht="15.75" customHeight="1">
      <c r="C366" s="273"/>
    </row>
    <row r="367" spans="3:3" ht="15.75" customHeight="1">
      <c r="C367" s="273"/>
    </row>
    <row r="368" spans="3:3" ht="15.75" customHeight="1">
      <c r="C368" s="273"/>
    </row>
    <row r="369" spans="3:3" ht="15.75" customHeight="1">
      <c r="C369" s="273"/>
    </row>
    <row r="370" spans="3:3" ht="15.75" customHeight="1">
      <c r="C370" s="273"/>
    </row>
    <row r="371" spans="3:3" ht="15.75" customHeight="1">
      <c r="C371" s="273"/>
    </row>
    <row r="372" spans="3:3" ht="15.75" customHeight="1">
      <c r="C372" s="273"/>
    </row>
    <row r="373" spans="3:3" ht="15.75" customHeight="1">
      <c r="C373" s="273"/>
    </row>
    <row r="374" spans="3:3" ht="15.75" customHeight="1">
      <c r="C374" s="273"/>
    </row>
    <row r="375" spans="3:3" ht="15.75" customHeight="1">
      <c r="C375" s="273"/>
    </row>
    <row r="376" spans="3:3" ht="15.75" customHeight="1">
      <c r="C376" s="273"/>
    </row>
    <row r="377" spans="3:3" ht="15.75" customHeight="1">
      <c r="C377" s="273"/>
    </row>
    <row r="378" spans="3:3" ht="15.75" customHeight="1">
      <c r="C378" s="273"/>
    </row>
    <row r="379" spans="3:3" ht="15.75" customHeight="1">
      <c r="C379" s="273"/>
    </row>
    <row r="380" spans="3:3" ht="15.75" customHeight="1">
      <c r="C380" s="273"/>
    </row>
    <row r="381" spans="3:3" ht="15.75" customHeight="1">
      <c r="C381" s="273"/>
    </row>
    <row r="382" spans="3:3" ht="15.75" customHeight="1">
      <c r="C382" s="273"/>
    </row>
    <row r="383" spans="3:3" ht="15.75" customHeight="1">
      <c r="C383" s="273"/>
    </row>
    <row r="384" spans="3:3" ht="15.75" customHeight="1">
      <c r="C384" s="273"/>
    </row>
    <row r="385" spans="3:3" ht="15.75" customHeight="1">
      <c r="C385" s="273"/>
    </row>
    <row r="386" spans="3:3" ht="15.75" customHeight="1">
      <c r="C386" s="273"/>
    </row>
    <row r="387" spans="3:3" ht="15.75" customHeight="1">
      <c r="C387" s="273"/>
    </row>
    <row r="388" spans="3:3" ht="15.75" customHeight="1">
      <c r="C388" s="273"/>
    </row>
    <row r="389" spans="3:3" ht="15.75" customHeight="1">
      <c r="C389" s="273"/>
    </row>
    <row r="390" spans="3:3" ht="15.75" customHeight="1">
      <c r="C390" s="273"/>
    </row>
    <row r="391" spans="3:3" ht="15.75" customHeight="1">
      <c r="C391" s="273"/>
    </row>
    <row r="392" spans="3:3" ht="15.75" customHeight="1">
      <c r="C392" s="273"/>
    </row>
    <row r="393" spans="3:3" ht="15.75" customHeight="1">
      <c r="C393" s="273"/>
    </row>
    <row r="394" spans="3:3" ht="15.75" customHeight="1">
      <c r="C394" s="273"/>
    </row>
    <row r="395" spans="3:3" ht="15.75" customHeight="1">
      <c r="C395" s="273"/>
    </row>
    <row r="396" spans="3:3" ht="15.75" customHeight="1">
      <c r="C396" s="273"/>
    </row>
    <row r="397" spans="3:3" ht="15.75" customHeight="1">
      <c r="C397" s="273"/>
    </row>
    <row r="398" spans="3:3" ht="15.75" customHeight="1">
      <c r="C398" s="273"/>
    </row>
    <row r="399" spans="3:3" ht="15.75" customHeight="1">
      <c r="C399" s="273"/>
    </row>
    <row r="400" spans="3:3" ht="15.75" customHeight="1">
      <c r="C400" s="273"/>
    </row>
    <row r="401" spans="3:3" ht="15.75" customHeight="1">
      <c r="C401" s="273"/>
    </row>
    <row r="402" spans="3:3" ht="15.75" customHeight="1">
      <c r="C402" s="273"/>
    </row>
    <row r="403" spans="3:3" ht="15.75" customHeight="1">
      <c r="C403" s="273"/>
    </row>
    <row r="404" spans="3:3" ht="15.75" customHeight="1">
      <c r="C404" s="273"/>
    </row>
    <row r="405" spans="3:3" ht="15.75" customHeight="1">
      <c r="C405" s="273"/>
    </row>
    <row r="406" spans="3:3" ht="15.75" customHeight="1">
      <c r="C406" s="273"/>
    </row>
    <row r="407" spans="3:3" ht="15.75" customHeight="1">
      <c r="C407" s="273"/>
    </row>
    <row r="408" spans="3:3" ht="15.75" customHeight="1">
      <c r="C408" s="273"/>
    </row>
    <row r="409" spans="3:3" ht="15.75" customHeight="1">
      <c r="C409" s="273"/>
    </row>
    <row r="410" spans="3:3" ht="15.75" customHeight="1">
      <c r="C410" s="273"/>
    </row>
    <row r="411" spans="3:3" ht="15.75" customHeight="1">
      <c r="C411" s="273"/>
    </row>
    <row r="412" spans="3:3" ht="15.75" customHeight="1">
      <c r="C412" s="273"/>
    </row>
    <row r="413" spans="3:3" ht="15.75" customHeight="1">
      <c r="C413" s="273"/>
    </row>
    <row r="414" spans="3:3" ht="15.75" customHeight="1">
      <c r="C414" s="273"/>
    </row>
    <row r="415" spans="3:3" ht="15.75" customHeight="1">
      <c r="C415" s="273"/>
    </row>
    <row r="416" spans="3:3" ht="15.75" customHeight="1">
      <c r="C416" s="273"/>
    </row>
    <row r="417" spans="3:3" ht="15.75" customHeight="1">
      <c r="C417" s="273"/>
    </row>
    <row r="418" spans="3:3" ht="15.75" customHeight="1">
      <c r="C418" s="273"/>
    </row>
    <row r="419" spans="3:3" ht="15.75" customHeight="1">
      <c r="C419" s="273"/>
    </row>
    <row r="420" spans="3:3" ht="15.75" customHeight="1">
      <c r="C420" s="273"/>
    </row>
    <row r="421" spans="3:3" ht="15.75" customHeight="1">
      <c r="C421" s="273"/>
    </row>
    <row r="422" spans="3:3" ht="15.75" customHeight="1">
      <c r="C422" s="273"/>
    </row>
    <row r="423" spans="3:3" ht="15.75" customHeight="1">
      <c r="C423" s="273"/>
    </row>
    <row r="424" spans="3:3" ht="15.75" customHeight="1">
      <c r="C424" s="273"/>
    </row>
    <row r="425" spans="3:3" ht="15.75" customHeight="1">
      <c r="C425" s="273"/>
    </row>
    <row r="426" spans="3:3" ht="15.75" customHeight="1">
      <c r="C426" s="273"/>
    </row>
    <row r="427" spans="3:3" ht="15.75" customHeight="1">
      <c r="C427" s="273"/>
    </row>
    <row r="428" spans="3:3" ht="15.75" customHeight="1">
      <c r="C428" s="273"/>
    </row>
    <row r="429" spans="3:3" ht="15.75" customHeight="1">
      <c r="C429" s="273"/>
    </row>
    <row r="430" spans="3:3" ht="15.75" customHeight="1">
      <c r="C430" s="273"/>
    </row>
    <row r="431" spans="3:3" ht="15.75" customHeight="1">
      <c r="C431" s="273"/>
    </row>
    <row r="432" spans="3:3" ht="15.75" customHeight="1">
      <c r="C432" s="273"/>
    </row>
    <row r="433" spans="3:3" ht="15.75" customHeight="1">
      <c r="C433" s="273"/>
    </row>
    <row r="434" spans="3:3" ht="15.75" customHeight="1">
      <c r="C434" s="273"/>
    </row>
    <row r="435" spans="3:3" ht="15.75" customHeight="1">
      <c r="C435" s="273"/>
    </row>
    <row r="436" spans="3:3" ht="15.75" customHeight="1">
      <c r="C436" s="273"/>
    </row>
    <row r="437" spans="3:3" ht="15.75" customHeight="1">
      <c r="C437" s="273"/>
    </row>
    <row r="438" spans="3:3" ht="15.75" customHeight="1">
      <c r="C438" s="273"/>
    </row>
    <row r="439" spans="3:3" ht="15.75" customHeight="1">
      <c r="C439" s="273"/>
    </row>
    <row r="440" spans="3:3" ht="15.75" customHeight="1">
      <c r="C440" s="273"/>
    </row>
    <row r="441" spans="3:3" ht="15.75" customHeight="1">
      <c r="C441" s="273"/>
    </row>
    <row r="442" spans="3:3" ht="15.75" customHeight="1">
      <c r="C442" s="273"/>
    </row>
    <row r="443" spans="3:3" ht="15.75" customHeight="1">
      <c r="C443" s="273"/>
    </row>
    <row r="444" spans="3:3" ht="15.75" customHeight="1">
      <c r="C444" s="273"/>
    </row>
    <row r="445" spans="3:3" ht="15.75" customHeight="1">
      <c r="C445" s="273"/>
    </row>
    <row r="446" spans="3:3" ht="15.75" customHeight="1">
      <c r="C446" s="273"/>
    </row>
    <row r="447" spans="3:3" ht="15.75" customHeight="1">
      <c r="C447" s="273"/>
    </row>
    <row r="448" spans="3:3" ht="15.75" customHeight="1">
      <c r="C448" s="273"/>
    </row>
    <row r="449" spans="3:3" ht="15.75" customHeight="1">
      <c r="C449" s="273"/>
    </row>
    <row r="450" spans="3:3" ht="15.75" customHeight="1">
      <c r="C450" s="273"/>
    </row>
    <row r="451" spans="3:3" ht="15.75" customHeight="1">
      <c r="C451" s="273"/>
    </row>
    <row r="452" spans="3:3" ht="15.75" customHeight="1">
      <c r="C452" s="273"/>
    </row>
    <row r="453" spans="3:3" ht="15.75" customHeight="1">
      <c r="C453" s="273"/>
    </row>
    <row r="454" spans="3:3" ht="15.75" customHeight="1">
      <c r="C454" s="273"/>
    </row>
    <row r="455" spans="3:3" ht="15.75" customHeight="1">
      <c r="C455" s="273"/>
    </row>
    <row r="456" spans="3:3" ht="15.75" customHeight="1">
      <c r="C456" s="273"/>
    </row>
    <row r="457" spans="3:3" ht="15.75" customHeight="1">
      <c r="C457" s="273"/>
    </row>
    <row r="458" spans="3:3" ht="15.75" customHeight="1">
      <c r="C458" s="273"/>
    </row>
    <row r="459" spans="3:3" ht="15.75" customHeight="1">
      <c r="C459" s="273"/>
    </row>
    <row r="460" spans="3:3" ht="15.75" customHeight="1">
      <c r="C460" s="273"/>
    </row>
    <row r="461" spans="3:3" ht="15.75" customHeight="1">
      <c r="C461" s="273"/>
    </row>
    <row r="462" spans="3:3" ht="15.75" customHeight="1">
      <c r="C462" s="273"/>
    </row>
    <row r="463" spans="3:3" ht="15.75" customHeight="1">
      <c r="C463" s="273"/>
    </row>
    <row r="464" spans="3:3" ht="15.75" customHeight="1">
      <c r="C464" s="273"/>
    </row>
    <row r="465" spans="3:3" ht="15.75" customHeight="1">
      <c r="C465" s="273"/>
    </row>
    <row r="466" spans="3:3" ht="15.75" customHeight="1">
      <c r="C466" s="273"/>
    </row>
    <row r="467" spans="3:3" ht="15.75" customHeight="1">
      <c r="C467" s="273"/>
    </row>
    <row r="468" spans="3:3" ht="15.75" customHeight="1">
      <c r="C468" s="273"/>
    </row>
    <row r="469" spans="3:3" ht="15.75" customHeight="1">
      <c r="C469" s="273"/>
    </row>
    <row r="470" spans="3:3" ht="15.75" customHeight="1">
      <c r="C470" s="273"/>
    </row>
    <row r="471" spans="3:3" ht="15.75" customHeight="1">
      <c r="C471" s="273"/>
    </row>
    <row r="472" spans="3:3" ht="15.75" customHeight="1">
      <c r="C472" s="273"/>
    </row>
    <row r="473" spans="3:3" ht="15.75" customHeight="1">
      <c r="C473" s="273"/>
    </row>
    <row r="474" spans="3:3" ht="15.75" customHeight="1">
      <c r="C474" s="273"/>
    </row>
    <row r="475" spans="3:3" ht="15.75" customHeight="1">
      <c r="C475" s="273"/>
    </row>
    <row r="476" spans="3:3" ht="15.75" customHeight="1">
      <c r="C476" s="273"/>
    </row>
    <row r="477" spans="3:3" ht="15.75" customHeight="1">
      <c r="C477" s="273"/>
    </row>
    <row r="478" spans="3:3" ht="15.75" customHeight="1">
      <c r="C478" s="273"/>
    </row>
    <row r="479" spans="3:3" ht="15.75" customHeight="1">
      <c r="C479" s="273"/>
    </row>
    <row r="480" spans="3:3" ht="15.75" customHeight="1">
      <c r="C480" s="273"/>
    </row>
    <row r="481" spans="3:3" ht="15.75" customHeight="1">
      <c r="C481" s="273"/>
    </row>
    <row r="482" spans="3:3" ht="15.75" customHeight="1">
      <c r="C482" s="273"/>
    </row>
    <row r="483" spans="3:3" ht="15.75" customHeight="1">
      <c r="C483" s="273"/>
    </row>
    <row r="484" spans="3:3" ht="15.75" customHeight="1">
      <c r="C484" s="273"/>
    </row>
    <row r="485" spans="3:3" ht="15.75" customHeight="1">
      <c r="C485" s="273"/>
    </row>
    <row r="486" spans="3:3" ht="15.75" customHeight="1">
      <c r="C486" s="273"/>
    </row>
    <row r="487" spans="3:3" ht="15.75" customHeight="1">
      <c r="C487" s="273"/>
    </row>
    <row r="488" spans="3:3" ht="15.75" customHeight="1">
      <c r="C488" s="273"/>
    </row>
    <row r="489" spans="3:3" ht="15.75" customHeight="1">
      <c r="C489" s="273"/>
    </row>
    <row r="490" spans="3:3" ht="15.75" customHeight="1">
      <c r="C490" s="273"/>
    </row>
    <row r="491" spans="3:3" ht="15.75" customHeight="1">
      <c r="C491" s="273"/>
    </row>
    <row r="492" spans="3:3" ht="15.75" customHeight="1">
      <c r="C492" s="273"/>
    </row>
    <row r="493" spans="3:3" ht="15.75" customHeight="1">
      <c r="C493" s="273"/>
    </row>
    <row r="494" spans="3:3" ht="15.75" customHeight="1">
      <c r="C494" s="273"/>
    </row>
    <row r="495" spans="3:3" ht="15.75" customHeight="1">
      <c r="C495" s="273"/>
    </row>
    <row r="496" spans="3:3" ht="15.75" customHeight="1">
      <c r="C496" s="273"/>
    </row>
    <row r="497" spans="3:3" ht="15.75" customHeight="1">
      <c r="C497" s="273"/>
    </row>
    <row r="498" spans="3:3" ht="15.75" customHeight="1">
      <c r="C498" s="273"/>
    </row>
    <row r="499" spans="3:3" ht="15.75" customHeight="1">
      <c r="C499" s="273"/>
    </row>
    <row r="500" spans="3:3" ht="15.75" customHeight="1">
      <c r="C500" s="273"/>
    </row>
    <row r="501" spans="3:3" ht="15.75" customHeight="1">
      <c r="C501" s="273"/>
    </row>
    <row r="502" spans="3:3" ht="15.75" customHeight="1">
      <c r="C502" s="273"/>
    </row>
    <row r="503" spans="3:3" ht="15.75" customHeight="1">
      <c r="C503" s="273"/>
    </row>
    <row r="504" spans="3:3" ht="15.75" customHeight="1">
      <c r="C504" s="273"/>
    </row>
    <row r="505" spans="3:3" ht="15.75" customHeight="1">
      <c r="C505" s="273"/>
    </row>
    <row r="506" spans="3:3" ht="15.75" customHeight="1">
      <c r="C506" s="273"/>
    </row>
    <row r="507" spans="3:3" ht="15.75" customHeight="1">
      <c r="C507" s="273"/>
    </row>
    <row r="508" spans="3:3" ht="15.75" customHeight="1">
      <c r="C508" s="273"/>
    </row>
    <row r="509" spans="3:3" ht="15.75" customHeight="1">
      <c r="C509" s="273"/>
    </row>
    <row r="510" spans="3:3" ht="15.75" customHeight="1">
      <c r="C510" s="273"/>
    </row>
    <row r="511" spans="3:3" ht="15.75" customHeight="1">
      <c r="C511" s="273"/>
    </row>
    <row r="512" spans="3:3" ht="15.75" customHeight="1">
      <c r="C512" s="273"/>
    </row>
    <row r="513" spans="3:3" ht="15.75" customHeight="1">
      <c r="C513" s="273"/>
    </row>
    <row r="514" spans="3:3" ht="15.75" customHeight="1">
      <c r="C514" s="273"/>
    </row>
    <row r="515" spans="3:3" ht="15.75" customHeight="1">
      <c r="C515" s="273"/>
    </row>
    <row r="516" spans="3:3" ht="15.75" customHeight="1">
      <c r="C516" s="273"/>
    </row>
    <row r="517" spans="3:3" ht="15.75" customHeight="1">
      <c r="C517" s="273"/>
    </row>
    <row r="518" spans="3:3" ht="15.75" customHeight="1">
      <c r="C518" s="273"/>
    </row>
    <row r="519" spans="3:3" ht="15.75" customHeight="1">
      <c r="C519" s="273"/>
    </row>
    <row r="520" spans="3:3" ht="15.75" customHeight="1">
      <c r="C520" s="273"/>
    </row>
    <row r="521" spans="3:3" ht="15.75" customHeight="1">
      <c r="C521" s="273"/>
    </row>
    <row r="522" spans="3:3" ht="15.75" customHeight="1">
      <c r="C522" s="273"/>
    </row>
    <row r="523" spans="3:3" ht="15.75" customHeight="1">
      <c r="C523" s="273"/>
    </row>
    <row r="524" spans="3:3" ht="15.75" customHeight="1">
      <c r="C524" s="273"/>
    </row>
    <row r="525" spans="3:3" ht="15.75" customHeight="1">
      <c r="C525" s="273"/>
    </row>
    <row r="526" spans="3:3" ht="15.75" customHeight="1">
      <c r="C526" s="273"/>
    </row>
    <row r="527" spans="3:3" ht="15.75" customHeight="1">
      <c r="C527" s="273"/>
    </row>
    <row r="528" spans="3:3" ht="15.75" customHeight="1">
      <c r="C528" s="273"/>
    </row>
    <row r="529" spans="3:3" ht="15.75" customHeight="1">
      <c r="C529" s="273"/>
    </row>
    <row r="530" spans="3:3" ht="15.75" customHeight="1">
      <c r="C530" s="273"/>
    </row>
    <row r="531" spans="3:3" ht="15.75" customHeight="1">
      <c r="C531" s="273"/>
    </row>
    <row r="532" spans="3:3" ht="15.75" customHeight="1">
      <c r="C532" s="273"/>
    </row>
    <row r="533" spans="3:3" ht="15.75" customHeight="1">
      <c r="C533" s="273"/>
    </row>
    <row r="534" spans="3:3" ht="15.75" customHeight="1">
      <c r="C534" s="273"/>
    </row>
    <row r="535" spans="3:3" ht="15.75" customHeight="1">
      <c r="C535" s="273"/>
    </row>
    <row r="536" spans="3:3" ht="15.75" customHeight="1">
      <c r="C536" s="273"/>
    </row>
    <row r="537" spans="3:3" ht="15.75" customHeight="1">
      <c r="C537" s="273"/>
    </row>
    <row r="538" spans="3:3" ht="15.75" customHeight="1">
      <c r="C538" s="273"/>
    </row>
    <row r="539" spans="3:3" ht="15.75" customHeight="1">
      <c r="C539" s="273"/>
    </row>
    <row r="540" spans="3:3" ht="15.75" customHeight="1">
      <c r="C540" s="273"/>
    </row>
    <row r="541" spans="3:3" ht="15.75" customHeight="1">
      <c r="C541" s="273"/>
    </row>
    <row r="542" spans="3:3" ht="15.75" customHeight="1">
      <c r="C542" s="273"/>
    </row>
    <row r="543" spans="3:3" ht="15.75" customHeight="1">
      <c r="C543" s="273"/>
    </row>
    <row r="544" spans="3:3" ht="15.75" customHeight="1">
      <c r="C544" s="273"/>
    </row>
    <row r="545" spans="3:3" ht="15.75" customHeight="1">
      <c r="C545" s="273"/>
    </row>
    <row r="546" spans="3:3" ht="15.75" customHeight="1">
      <c r="C546" s="273"/>
    </row>
    <row r="547" spans="3:3" ht="15.75" customHeight="1">
      <c r="C547" s="273"/>
    </row>
    <row r="548" spans="3:3" ht="15.75" customHeight="1">
      <c r="C548" s="273"/>
    </row>
    <row r="549" spans="3:3" ht="15.75" customHeight="1">
      <c r="C549" s="273"/>
    </row>
    <row r="550" spans="3:3" ht="15.75" customHeight="1">
      <c r="C550" s="273"/>
    </row>
    <row r="551" spans="3:3" ht="15.75" customHeight="1">
      <c r="C551" s="273"/>
    </row>
    <row r="552" spans="3:3" ht="15.75" customHeight="1">
      <c r="C552" s="273"/>
    </row>
    <row r="553" spans="3:3" ht="15.75" customHeight="1">
      <c r="C553" s="273"/>
    </row>
    <row r="554" spans="3:3" ht="15.75" customHeight="1">
      <c r="C554" s="273"/>
    </row>
    <row r="555" spans="3:3" ht="15.75" customHeight="1">
      <c r="C555" s="273"/>
    </row>
    <row r="556" spans="3:3" ht="15.75" customHeight="1">
      <c r="C556" s="273"/>
    </row>
    <row r="557" spans="3:3" ht="15.75" customHeight="1">
      <c r="C557" s="273"/>
    </row>
    <row r="558" spans="3:3" ht="15.75" customHeight="1">
      <c r="C558" s="273"/>
    </row>
    <row r="559" spans="3:3" ht="15.75" customHeight="1">
      <c r="C559" s="273"/>
    </row>
    <row r="560" spans="3:3" ht="15.75" customHeight="1">
      <c r="C560" s="273"/>
    </row>
    <row r="561" spans="3:3" ht="15.75" customHeight="1">
      <c r="C561" s="273"/>
    </row>
    <row r="562" spans="3:3" ht="15.75" customHeight="1">
      <c r="C562" s="273"/>
    </row>
    <row r="563" spans="3:3" ht="15.75" customHeight="1">
      <c r="C563" s="273"/>
    </row>
    <row r="564" spans="3:3" ht="15.75" customHeight="1">
      <c r="C564" s="273"/>
    </row>
    <row r="565" spans="3:3" ht="15.75" customHeight="1">
      <c r="C565" s="273"/>
    </row>
    <row r="566" spans="3:3" ht="15.75" customHeight="1">
      <c r="C566" s="273"/>
    </row>
    <row r="567" spans="3:3" ht="15.75" customHeight="1">
      <c r="C567" s="273"/>
    </row>
    <row r="568" spans="3:3" ht="15.75" customHeight="1">
      <c r="C568" s="273"/>
    </row>
    <row r="569" spans="3:3" ht="15.75" customHeight="1">
      <c r="C569" s="273"/>
    </row>
    <row r="570" spans="3:3" ht="15.75" customHeight="1">
      <c r="C570" s="273"/>
    </row>
    <row r="571" spans="3:3" ht="15.75" customHeight="1">
      <c r="C571" s="273"/>
    </row>
    <row r="572" spans="3:3" ht="15.75" customHeight="1">
      <c r="C572" s="273"/>
    </row>
    <row r="573" spans="3:3" ht="15.75" customHeight="1">
      <c r="C573" s="273"/>
    </row>
    <row r="574" spans="3:3" ht="15.75" customHeight="1">
      <c r="C574" s="273"/>
    </row>
    <row r="575" spans="3:3" ht="15.75" customHeight="1">
      <c r="C575" s="273"/>
    </row>
    <row r="576" spans="3:3" ht="15.75" customHeight="1">
      <c r="C576" s="273"/>
    </row>
    <row r="577" spans="3:3" ht="15.75" customHeight="1">
      <c r="C577" s="273"/>
    </row>
    <row r="578" spans="3:3" ht="15.75" customHeight="1">
      <c r="C578" s="273"/>
    </row>
    <row r="579" spans="3:3" ht="15.75" customHeight="1">
      <c r="C579" s="273"/>
    </row>
    <row r="580" spans="3:3" ht="15.75" customHeight="1">
      <c r="C580" s="273"/>
    </row>
    <row r="581" spans="3:3" ht="15.75" customHeight="1">
      <c r="C581" s="273"/>
    </row>
    <row r="582" spans="3:3" ht="15.75" customHeight="1">
      <c r="C582" s="273"/>
    </row>
    <row r="583" spans="3:3" ht="15.75" customHeight="1">
      <c r="C583" s="273"/>
    </row>
    <row r="584" spans="3:3" ht="15.75" customHeight="1">
      <c r="C584" s="273"/>
    </row>
    <row r="585" spans="3:3" ht="15.75" customHeight="1">
      <c r="C585" s="273"/>
    </row>
    <row r="586" spans="3:3" ht="15.75" customHeight="1">
      <c r="C586" s="273"/>
    </row>
    <row r="587" spans="3:3" ht="15.75" customHeight="1">
      <c r="C587" s="273"/>
    </row>
    <row r="588" spans="3:3" ht="15.75" customHeight="1">
      <c r="C588" s="273"/>
    </row>
    <row r="589" spans="3:3" ht="15.75" customHeight="1">
      <c r="C589" s="273"/>
    </row>
    <row r="590" spans="3:3" ht="15.75" customHeight="1">
      <c r="C590" s="273"/>
    </row>
    <row r="591" spans="3:3" ht="15.75" customHeight="1">
      <c r="C591" s="273"/>
    </row>
    <row r="592" spans="3:3" ht="15.75" customHeight="1">
      <c r="C592" s="273"/>
    </row>
    <row r="593" spans="3:3" ht="15.75" customHeight="1">
      <c r="C593" s="273"/>
    </row>
    <row r="594" spans="3:3" ht="15.75" customHeight="1">
      <c r="C594" s="273"/>
    </row>
    <row r="595" spans="3:3" ht="15.75" customHeight="1">
      <c r="C595" s="273"/>
    </row>
    <row r="596" spans="3:3" ht="15.75" customHeight="1">
      <c r="C596" s="273"/>
    </row>
    <row r="597" spans="3:3" ht="15.75" customHeight="1">
      <c r="C597" s="273"/>
    </row>
    <row r="598" spans="3:3" ht="15.75" customHeight="1">
      <c r="C598" s="273"/>
    </row>
    <row r="599" spans="3:3" ht="15.75" customHeight="1">
      <c r="C599" s="273"/>
    </row>
    <row r="600" spans="3:3" ht="15.75" customHeight="1">
      <c r="C600" s="273"/>
    </row>
    <row r="601" spans="3:3" ht="15.75" customHeight="1">
      <c r="C601" s="273"/>
    </row>
    <row r="602" spans="3:3" ht="15.75" customHeight="1">
      <c r="C602" s="273"/>
    </row>
    <row r="603" spans="3:3" ht="15.75" customHeight="1">
      <c r="C603" s="273"/>
    </row>
    <row r="604" spans="3:3" ht="15.75" customHeight="1">
      <c r="C604" s="273"/>
    </row>
    <row r="605" spans="3:3" ht="15.75" customHeight="1">
      <c r="C605" s="273"/>
    </row>
    <row r="606" spans="3:3" ht="15.75" customHeight="1">
      <c r="C606" s="273"/>
    </row>
    <row r="607" spans="3:3" ht="15.75" customHeight="1">
      <c r="C607" s="273"/>
    </row>
    <row r="608" spans="3:3" ht="15.75" customHeight="1">
      <c r="C608" s="273"/>
    </row>
    <row r="609" spans="3:3" ht="15.75" customHeight="1">
      <c r="C609" s="273"/>
    </row>
    <row r="610" spans="3:3" ht="15.75" customHeight="1">
      <c r="C610" s="273"/>
    </row>
    <row r="611" spans="3:3" ht="15.75" customHeight="1">
      <c r="C611" s="273"/>
    </row>
    <row r="612" spans="3:3" ht="15.75" customHeight="1">
      <c r="C612" s="273"/>
    </row>
    <row r="613" spans="3:3" ht="15.75" customHeight="1">
      <c r="C613" s="273"/>
    </row>
    <row r="614" spans="3:3" ht="15.75" customHeight="1">
      <c r="C614" s="273"/>
    </row>
    <row r="615" spans="3:3" ht="15.75" customHeight="1">
      <c r="C615" s="273"/>
    </row>
    <row r="616" spans="3:3" ht="15.75" customHeight="1">
      <c r="C616" s="273"/>
    </row>
    <row r="617" spans="3:3" ht="15.75" customHeight="1">
      <c r="C617" s="273"/>
    </row>
    <row r="618" spans="3:3" ht="15.75" customHeight="1">
      <c r="C618" s="273"/>
    </row>
    <row r="619" spans="3:3" ht="15.75" customHeight="1">
      <c r="C619" s="273"/>
    </row>
    <row r="620" spans="3:3" ht="15.75" customHeight="1">
      <c r="C620" s="273"/>
    </row>
    <row r="621" spans="3:3" ht="15.75" customHeight="1">
      <c r="C621" s="273"/>
    </row>
    <row r="622" spans="3:3" ht="15.75" customHeight="1">
      <c r="C622" s="273"/>
    </row>
    <row r="623" spans="3:3" ht="15.75" customHeight="1">
      <c r="C623" s="273"/>
    </row>
    <row r="624" spans="3:3" ht="15.75" customHeight="1">
      <c r="C624" s="273"/>
    </row>
    <row r="625" spans="3:3" ht="15.75" customHeight="1">
      <c r="C625" s="273"/>
    </row>
    <row r="626" spans="3:3" ht="15.75" customHeight="1">
      <c r="C626" s="273"/>
    </row>
    <row r="627" spans="3:3" ht="15.75" customHeight="1">
      <c r="C627" s="273"/>
    </row>
    <row r="628" spans="3:3" ht="15.75" customHeight="1">
      <c r="C628" s="273"/>
    </row>
    <row r="629" spans="3:3" ht="15.75" customHeight="1">
      <c r="C629" s="273"/>
    </row>
    <row r="630" spans="3:3" ht="15.75" customHeight="1">
      <c r="C630" s="273"/>
    </row>
    <row r="631" spans="3:3" ht="15.75" customHeight="1">
      <c r="C631" s="273"/>
    </row>
    <row r="632" spans="3:3" ht="15.75" customHeight="1">
      <c r="C632" s="273"/>
    </row>
    <row r="633" spans="3:3" ht="15.75" customHeight="1">
      <c r="C633" s="273"/>
    </row>
    <row r="634" spans="3:3" ht="15.75" customHeight="1">
      <c r="C634" s="273"/>
    </row>
    <row r="635" spans="3:3" ht="15.75" customHeight="1">
      <c r="C635" s="273"/>
    </row>
    <row r="636" spans="3:3" ht="15.75" customHeight="1">
      <c r="C636" s="273"/>
    </row>
    <row r="637" spans="3:3" ht="15.75" customHeight="1">
      <c r="C637" s="273"/>
    </row>
    <row r="638" spans="3:3" ht="15.75" customHeight="1">
      <c r="C638" s="273"/>
    </row>
    <row r="639" spans="3:3" ht="15.75" customHeight="1">
      <c r="C639" s="273"/>
    </row>
    <row r="640" spans="3:3" ht="15.75" customHeight="1">
      <c r="C640" s="273"/>
    </row>
    <row r="641" spans="3:3" ht="15.75" customHeight="1">
      <c r="C641" s="273"/>
    </row>
    <row r="642" spans="3:3" ht="15.75" customHeight="1">
      <c r="C642" s="273"/>
    </row>
    <row r="643" spans="3:3" ht="15.75" customHeight="1">
      <c r="C643" s="273"/>
    </row>
    <row r="644" spans="3:3" ht="15.75" customHeight="1">
      <c r="C644" s="273"/>
    </row>
    <row r="645" spans="3:3" ht="15.75" customHeight="1">
      <c r="C645" s="273"/>
    </row>
    <row r="646" spans="3:3" ht="15.75" customHeight="1">
      <c r="C646" s="273"/>
    </row>
    <row r="647" spans="3:3" ht="15.75" customHeight="1">
      <c r="C647" s="273"/>
    </row>
    <row r="648" spans="3:3" ht="15.75" customHeight="1">
      <c r="C648" s="273"/>
    </row>
    <row r="649" spans="3:3" ht="15.75" customHeight="1">
      <c r="C649" s="273"/>
    </row>
    <row r="650" spans="3:3" ht="15.75" customHeight="1">
      <c r="C650" s="273"/>
    </row>
    <row r="651" spans="3:3" ht="15.75" customHeight="1">
      <c r="C651" s="273"/>
    </row>
    <row r="652" spans="3:3" ht="15.75" customHeight="1">
      <c r="C652" s="273"/>
    </row>
    <row r="653" spans="3:3" ht="15.75" customHeight="1">
      <c r="C653" s="273"/>
    </row>
    <row r="654" spans="3:3" ht="15.75" customHeight="1">
      <c r="C654" s="273"/>
    </row>
    <row r="655" spans="3:3" ht="15.75" customHeight="1">
      <c r="C655" s="273"/>
    </row>
    <row r="656" spans="3:3" ht="15.75" customHeight="1">
      <c r="C656" s="273"/>
    </row>
    <row r="657" spans="3:3" ht="15.75" customHeight="1">
      <c r="C657" s="273"/>
    </row>
    <row r="658" spans="3:3" ht="15.75" customHeight="1">
      <c r="C658" s="273"/>
    </row>
    <row r="659" spans="3:3" ht="15.75" customHeight="1">
      <c r="C659" s="273"/>
    </row>
    <row r="660" spans="3:3" ht="15.75" customHeight="1">
      <c r="C660" s="273"/>
    </row>
    <row r="661" spans="3:3" ht="15.75" customHeight="1">
      <c r="C661" s="273"/>
    </row>
    <row r="662" spans="3:3" ht="15.75" customHeight="1">
      <c r="C662" s="273"/>
    </row>
    <row r="663" spans="3:3" ht="15.75" customHeight="1">
      <c r="C663" s="273"/>
    </row>
    <row r="664" spans="3:3" ht="15.75" customHeight="1">
      <c r="C664" s="273"/>
    </row>
    <row r="665" spans="3:3" ht="15.75" customHeight="1">
      <c r="C665" s="273"/>
    </row>
    <row r="666" spans="3:3" ht="15.75" customHeight="1">
      <c r="C666" s="273"/>
    </row>
    <row r="667" spans="3:3" ht="15.75" customHeight="1">
      <c r="C667" s="273"/>
    </row>
    <row r="668" spans="3:3" ht="15.75" customHeight="1">
      <c r="C668" s="273"/>
    </row>
    <row r="669" spans="3:3" ht="15.75" customHeight="1">
      <c r="C669" s="273"/>
    </row>
    <row r="670" spans="3:3" ht="15.75" customHeight="1">
      <c r="C670" s="273"/>
    </row>
    <row r="671" spans="3:3" ht="15.75" customHeight="1">
      <c r="C671" s="273"/>
    </row>
    <row r="672" spans="3:3" ht="15.75" customHeight="1">
      <c r="C672" s="273"/>
    </row>
    <row r="673" spans="3:3" ht="15.75" customHeight="1">
      <c r="C673" s="273"/>
    </row>
    <row r="674" spans="3:3" ht="15.75" customHeight="1">
      <c r="C674" s="273"/>
    </row>
    <row r="675" spans="3:3" ht="15.75" customHeight="1">
      <c r="C675" s="273"/>
    </row>
    <row r="676" spans="3:3" ht="15.75" customHeight="1">
      <c r="C676" s="273"/>
    </row>
    <row r="677" spans="3:3" ht="15.75" customHeight="1">
      <c r="C677" s="273"/>
    </row>
    <row r="678" spans="3:3" ht="15.75" customHeight="1">
      <c r="C678" s="273"/>
    </row>
    <row r="679" spans="3:3" ht="15.75" customHeight="1">
      <c r="C679" s="273"/>
    </row>
    <row r="680" spans="3:3" ht="15.75" customHeight="1">
      <c r="C680" s="273"/>
    </row>
    <row r="681" spans="3:3" ht="15.75" customHeight="1">
      <c r="C681" s="273"/>
    </row>
    <row r="682" spans="3:3" ht="15.75" customHeight="1">
      <c r="C682" s="273"/>
    </row>
    <row r="683" spans="3:3" ht="15.75" customHeight="1">
      <c r="C683" s="273"/>
    </row>
    <row r="684" spans="3:3" ht="15.75" customHeight="1">
      <c r="C684" s="273"/>
    </row>
    <row r="685" spans="3:3" ht="15.75" customHeight="1">
      <c r="C685" s="273"/>
    </row>
    <row r="686" spans="3:3" ht="15.75" customHeight="1">
      <c r="C686" s="273"/>
    </row>
    <row r="687" spans="3:3" ht="15.75" customHeight="1">
      <c r="C687" s="273"/>
    </row>
    <row r="688" spans="3:3" ht="15.75" customHeight="1">
      <c r="C688" s="273"/>
    </row>
    <row r="689" spans="3:3" ht="15.75" customHeight="1">
      <c r="C689" s="273"/>
    </row>
    <row r="690" spans="3:3" ht="15.75" customHeight="1">
      <c r="C690" s="273"/>
    </row>
    <row r="691" spans="3:3" ht="15.75" customHeight="1">
      <c r="C691" s="273"/>
    </row>
    <row r="692" spans="3:3" ht="15.75" customHeight="1">
      <c r="C692" s="273"/>
    </row>
    <row r="693" spans="3:3" ht="15.75" customHeight="1">
      <c r="C693" s="273"/>
    </row>
    <row r="694" spans="3:3" ht="15.75" customHeight="1">
      <c r="C694" s="273"/>
    </row>
    <row r="695" spans="3:3" ht="15.75" customHeight="1">
      <c r="C695" s="273"/>
    </row>
    <row r="696" spans="3:3" ht="15.75" customHeight="1">
      <c r="C696" s="273"/>
    </row>
    <row r="697" spans="3:3" ht="15.75" customHeight="1">
      <c r="C697" s="273"/>
    </row>
    <row r="698" spans="3:3" ht="15.75" customHeight="1">
      <c r="C698" s="273"/>
    </row>
    <row r="699" spans="3:3" ht="15.75" customHeight="1">
      <c r="C699" s="273"/>
    </row>
    <row r="700" spans="3:3" ht="15.75" customHeight="1">
      <c r="C700" s="273"/>
    </row>
    <row r="701" spans="3:3" ht="15.75" customHeight="1">
      <c r="C701" s="273"/>
    </row>
    <row r="702" spans="3:3" ht="15.75" customHeight="1">
      <c r="C702" s="273"/>
    </row>
    <row r="703" spans="3:3" ht="15.75" customHeight="1">
      <c r="C703" s="273"/>
    </row>
    <row r="704" spans="3:3" ht="15.75" customHeight="1">
      <c r="C704" s="273"/>
    </row>
    <row r="705" spans="3:3" ht="15.75" customHeight="1">
      <c r="C705" s="273"/>
    </row>
    <row r="706" spans="3:3" ht="15.75" customHeight="1">
      <c r="C706" s="273"/>
    </row>
    <row r="707" spans="3:3" ht="15.75" customHeight="1">
      <c r="C707" s="273"/>
    </row>
    <row r="708" spans="3:3" ht="15.75" customHeight="1">
      <c r="C708" s="273"/>
    </row>
    <row r="709" spans="3:3" ht="15.75" customHeight="1">
      <c r="C709" s="273"/>
    </row>
    <row r="710" spans="3:3" ht="15.75" customHeight="1">
      <c r="C710" s="273"/>
    </row>
    <row r="711" spans="3:3" ht="15.75" customHeight="1">
      <c r="C711" s="273"/>
    </row>
    <row r="712" spans="3:3" ht="15.75" customHeight="1">
      <c r="C712" s="273"/>
    </row>
    <row r="713" spans="3:3" ht="15.75" customHeight="1">
      <c r="C713" s="273"/>
    </row>
    <row r="714" spans="3:3" ht="15.75" customHeight="1">
      <c r="C714" s="273"/>
    </row>
    <row r="715" spans="3:3" ht="15.75" customHeight="1">
      <c r="C715" s="273"/>
    </row>
    <row r="716" spans="3:3" ht="15.75" customHeight="1">
      <c r="C716" s="273"/>
    </row>
    <row r="717" spans="3:3" ht="15.75" customHeight="1">
      <c r="C717" s="273"/>
    </row>
    <row r="718" spans="3:3" ht="15.75" customHeight="1">
      <c r="C718" s="273"/>
    </row>
    <row r="719" spans="3:3" ht="15.75" customHeight="1">
      <c r="C719" s="273"/>
    </row>
    <row r="720" spans="3:3" ht="15.75" customHeight="1">
      <c r="C720" s="273"/>
    </row>
    <row r="721" spans="3:3" ht="15.75" customHeight="1">
      <c r="C721" s="273"/>
    </row>
    <row r="722" spans="3:3" ht="15.75" customHeight="1">
      <c r="C722" s="273"/>
    </row>
    <row r="723" spans="3:3" ht="15.75" customHeight="1">
      <c r="C723" s="273"/>
    </row>
    <row r="724" spans="3:3" ht="15.75" customHeight="1">
      <c r="C724" s="273"/>
    </row>
    <row r="725" spans="3:3" ht="15.75" customHeight="1">
      <c r="C725" s="273"/>
    </row>
    <row r="726" spans="3:3" ht="15.75" customHeight="1">
      <c r="C726" s="273"/>
    </row>
    <row r="727" spans="3:3" ht="15.75" customHeight="1">
      <c r="C727" s="273"/>
    </row>
    <row r="728" spans="3:3" ht="15.75" customHeight="1">
      <c r="C728" s="273"/>
    </row>
    <row r="729" spans="3:3" ht="15.75" customHeight="1">
      <c r="C729" s="273"/>
    </row>
    <row r="730" spans="3:3" ht="15.75" customHeight="1">
      <c r="C730" s="273"/>
    </row>
    <row r="731" spans="3:3" ht="15.75" customHeight="1">
      <c r="C731" s="273"/>
    </row>
    <row r="732" spans="3:3" ht="15.75" customHeight="1">
      <c r="C732" s="273"/>
    </row>
    <row r="733" spans="3:3" ht="15.75" customHeight="1">
      <c r="C733" s="273"/>
    </row>
    <row r="734" spans="3:3" ht="15.75" customHeight="1">
      <c r="C734" s="273"/>
    </row>
    <row r="735" spans="3:3" ht="15.75" customHeight="1">
      <c r="C735" s="273"/>
    </row>
    <row r="736" spans="3:3" ht="15.75" customHeight="1">
      <c r="C736" s="273"/>
    </row>
    <row r="737" spans="3:3" ht="15.75" customHeight="1">
      <c r="C737" s="273"/>
    </row>
    <row r="738" spans="3:3" ht="15.75" customHeight="1">
      <c r="C738" s="273"/>
    </row>
    <row r="739" spans="3:3" ht="15.75" customHeight="1">
      <c r="C739" s="273"/>
    </row>
    <row r="740" spans="3:3" ht="15.75" customHeight="1">
      <c r="C740" s="273"/>
    </row>
    <row r="741" spans="3:3" ht="15.75" customHeight="1">
      <c r="C741" s="273"/>
    </row>
    <row r="742" spans="3:3" ht="15.75" customHeight="1">
      <c r="C742" s="273"/>
    </row>
    <row r="743" spans="3:3" ht="15.75" customHeight="1">
      <c r="C743" s="273"/>
    </row>
    <row r="744" spans="3:3" ht="15.75" customHeight="1">
      <c r="C744" s="273"/>
    </row>
    <row r="745" spans="3:3" ht="15.75" customHeight="1">
      <c r="C745" s="273"/>
    </row>
    <row r="746" spans="3:3" ht="15.75" customHeight="1">
      <c r="C746" s="273"/>
    </row>
    <row r="747" spans="3:3" ht="15.75" customHeight="1">
      <c r="C747" s="273"/>
    </row>
    <row r="748" spans="3:3" ht="15.75" customHeight="1">
      <c r="C748" s="273"/>
    </row>
    <row r="749" spans="3:3" ht="15.75" customHeight="1">
      <c r="C749" s="273"/>
    </row>
    <row r="750" spans="3:3" ht="15.75" customHeight="1">
      <c r="C750" s="273"/>
    </row>
    <row r="751" spans="3:3" ht="15.75" customHeight="1">
      <c r="C751" s="273"/>
    </row>
    <row r="752" spans="3:3" ht="15.75" customHeight="1">
      <c r="C752" s="273"/>
    </row>
    <row r="753" spans="3:3" ht="15.75" customHeight="1">
      <c r="C753" s="273"/>
    </row>
    <row r="754" spans="3:3" ht="15.75" customHeight="1">
      <c r="C754" s="273"/>
    </row>
    <row r="755" spans="3:3" ht="15.75" customHeight="1">
      <c r="C755" s="273"/>
    </row>
    <row r="756" spans="3:3" ht="15.75" customHeight="1">
      <c r="C756" s="273"/>
    </row>
    <row r="757" spans="3:3" ht="15.75" customHeight="1">
      <c r="C757" s="273"/>
    </row>
    <row r="758" spans="3:3" ht="15.75" customHeight="1">
      <c r="C758" s="273"/>
    </row>
    <row r="759" spans="3:3" ht="15.75" customHeight="1">
      <c r="C759" s="273"/>
    </row>
    <row r="760" spans="3:3" ht="15.75" customHeight="1">
      <c r="C760" s="273"/>
    </row>
    <row r="761" spans="3:3" ht="15.75" customHeight="1">
      <c r="C761" s="273"/>
    </row>
    <row r="762" spans="3:3" ht="15.75" customHeight="1">
      <c r="C762" s="273"/>
    </row>
    <row r="763" spans="3:3" ht="15.75" customHeight="1">
      <c r="C763" s="273"/>
    </row>
    <row r="764" spans="3:3" ht="15.75" customHeight="1">
      <c r="C764" s="273"/>
    </row>
    <row r="765" spans="3:3" ht="15.75" customHeight="1">
      <c r="C765" s="273"/>
    </row>
    <row r="766" spans="3:3" ht="15.75" customHeight="1">
      <c r="C766" s="273"/>
    </row>
    <row r="767" spans="3:3" ht="15.75" customHeight="1">
      <c r="C767" s="273"/>
    </row>
    <row r="768" spans="3:3" ht="15.75" customHeight="1">
      <c r="C768" s="273"/>
    </row>
    <row r="769" spans="3:3" ht="15.75" customHeight="1">
      <c r="C769" s="273"/>
    </row>
    <row r="770" spans="3:3" ht="15.75" customHeight="1">
      <c r="C770" s="273"/>
    </row>
    <row r="771" spans="3:3" ht="15.75" customHeight="1">
      <c r="C771" s="273"/>
    </row>
    <row r="772" spans="3:3" ht="15.75" customHeight="1">
      <c r="C772" s="273"/>
    </row>
    <row r="773" spans="3:3" ht="15.75" customHeight="1">
      <c r="C773" s="273"/>
    </row>
    <row r="774" spans="3:3" ht="15.75" customHeight="1">
      <c r="C774" s="273"/>
    </row>
    <row r="775" spans="3:3" ht="15.75" customHeight="1">
      <c r="C775" s="273"/>
    </row>
    <row r="776" spans="3:3" ht="15.75" customHeight="1">
      <c r="C776" s="273"/>
    </row>
    <row r="777" spans="3:3" ht="15.75" customHeight="1">
      <c r="C777" s="273"/>
    </row>
    <row r="778" spans="3:3" ht="15.75" customHeight="1">
      <c r="C778" s="273"/>
    </row>
    <row r="779" spans="3:3" ht="15.75" customHeight="1">
      <c r="C779" s="273"/>
    </row>
    <row r="780" spans="3:3" ht="15.75" customHeight="1">
      <c r="C780" s="273"/>
    </row>
    <row r="781" spans="3:3" ht="15.75" customHeight="1">
      <c r="C781" s="273"/>
    </row>
    <row r="782" spans="3:3" ht="15.75" customHeight="1">
      <c r="C782" s="273"/>
    </row>
    <row r="783" spans="3:3" ht="15.75" customHeight="1">
      <c r="C783" s="273"/>
    </row>
    <row r="784" spans="3:3" ht="15.75" customHeight="1">
      <c r="C784" s="273"/>
    </row>
    <row r="785" spans="3:3" ht="15.75" customHeight="1">
      <c r="C785" s="273"/>
    </row>
    <row r="786" spans="3:3" ht="15.75" customHeight="1">
      <c r="C786" s="273"/>
    </row>
    <row r="787" spans="3:3" ht="15.75" customHeight="1">
      <c r="C787" s="273"/>
    </row>
    <row r="788" spans="3:3" ht="15.75" customHeight="1">
      <c r="C788" s="273"/>
    </row>
    <row r="789" spans="3:3" ht="15.75" customHeight="1">
      <c r="C789" s="273"/>
    </row>
    <row r="790" spans="3:3" ht="15.75" customHeight="1">
      <c r="C790" s="273"/>
    </row>
    <row r="791" spans="3:3" ht="15.75" customHeight="1">
      <c r="C791" s="273"/>
    </row>
    <row r="792" spans="3:3" ht="15.75" customHeight="1">
      <c r="C792" s="273"/>
    </row>
    <row r="793" spans="3:3" ht="15.75" customHeight="1">
      <c r="C793" s="273"/>
    </row>
    <row r="794" spans="3:3" ht="15.75" customHeight="1">
      <c r="C794" s="273"/>
    </row>
    <row r="795" spans="3:3" ht="15.75" customHeight="1">
      <c r="C795" s="273"/>
    </row>
    <row r="796" spans="3:3" ht="15.75" customHeight="1">
      <c r="C796" s="273"/>
    </row>
    <row r="797" spans="3:3" ht="15.75" customHeight="1">
      <c r="C797" s="273"/>
    </row>
    <row r="798" spans="3:3" ht="15.75" customHeight="1">
      <c r="C798" s="273"/>
    </row>
    <row r="799" spans="3:3" ht="15.75" customHeight="1">
      <c r="C799" s="273"/>
    </row>
    <row r="800" spans="3:3" ht="15.75" customHeight="1">
      <c r="C800" s="273"/>
    </row>
    <row r="801" spans="3:3" ht="15.75" customHeight="1">
      <c r="C801" s="273"/>
    </row>
    <row r="802" spans="3:3" ht="15.75" customHeight="1">
      <c r="C802" s="273"/>
    </row>
    <row r="803" spans="3:3" ht="15.75" customHeight="1">
      <c r="C803" s="273"/>
    </row>
    <row r="804" spans="3:3" ht="15.75" customHeight="1">
      <c r="C804" s="273"/>
    </row>
    <row r="805" spans="3:3" ht="15.75" customHeight="1">
      <c r="C805" s="273"/>
    </row>
    <row r="806" spans="3:3" ht="15.75" customHeight="1">
      <c r="C806" s="273"/>
    </row>
    <row r="807" spans="3:3" ht="15.75" customHeight="1">
      <c r="C807" s="273"/>
    </row>
    <row r="808" spans="3:3" ht="15.75" customHeight="1">
      <c r="C808" s="273"/>
    </row>
    <row r="809" spans="3:3" ht="15.75" customHeight="1">
      <c r="C809" s="273"/>
    </row>
    <row r="810" spans="3:3" ht="15.75" customHeight="1">
      <c r="C810" s="273"/>
    </row>
    <row r="811" spans="3:3" ht="15.75" customHeight="1">
      <c r="C811" s="273"/>
    </row>
    <row r="812" spans="3:3" ht="15.75" customHeight="1">
      <c r="C812" s="273"/>
    </row>
    <row r="813" spans="3:3" ht="15.75" customHeight="1">
      <c r="C813" s="273"/>
    </row>
    <row r="814" spans="3:3" ht="15.75" customHeight="1">
      <c r="C814" s="273"/>
    </row>
    <row r="815" spans="3:3" ht="15.75" customHeight="1">
      <c r="C815" s="273"/>
    </row>
    <row r="816" spans="3:3" ht="15.75" customHeight="1">
      <c r="C816" s="273"/>
    </row>
    <row r="817" spans="3:3" ht="15.75" customHeight="1">
      <c r="C817" s="273"/>
    </row>
    <row r="818" spans="3:3" ht="15.75" customHeight="1">
      <c r="C818" s="273"/>
    </row>
    <row r="819" spans="3:3" ht="15.75" customHeight="1">
      <c r="C819" s="273"/>
    </row>
    <row r="820" spans="3:3" ht="15.75" customHeight="1">
      <c r="C820" s="273"/>
    </row>
    <row r="821" spans="3:3" ht="15.75" customHeight="1">
      <c r="C821" s="273"/>
    </row>
    <row r="822" spans="3:3" ht="15.75" customHeight="1">
      <c r="C822" s="273"/>
    </row>
    <row r="823" spans="3:3" ht="15.75" customHeight="1">
      <c r="C823" s="273"/>
    </row>
    <row r="824" spans="3:3" ht="15.75" customHeight="1">
      <c r="C824" s="273"/>
    </row>
    <row r="825" spans="3:3" ht="15.75" customHeight="1">
      <c r="C825" s="273"/>
    </row>
    <row r="826" spans="3:3" ht="15.75" customHeight="1">
      <c r="C826" s="273"/>
    </row>
    <row r="827" spans="3:3" ht="15.75" customHeight="1">
      <c r="C827" s="273"/>
    </row>
    <row r="828" spans="3:3" ht="15.75" customHeight="1">
      <c r="C828" s="273"/>
    </row>
    <row r="829" spans="3:3" ht="15.75" customHeight="1">
      <c r="C829" s="273"/>
    </row>
    <row r="830" spans="3:3" ht="15.75" customHeight="1">
      <c r="C830" s="273"/>
    </row>
    <row r="831" spans="3:3" ht="15.75" customHeight="1">
      <c r="C831" s="273"/>
    </row>
    <row r="832" spans="3:3" ht="15.75" customHeight="1">
      <c r="C832" s="273"/>
    </row>
    <row r="833" spans="3:3" ht="15.75" customHeight="1">
      <c r="C833" s="273"/>
    </row>
    <row r="834" spans="3:3" ht="15.75" customHeight="1">
      <c r="C834" s="273"/>
    </row>
    <row r="835" spans="3:3" ht="15.75" customHeight="1">
      <c r="C835" s="273"/>
    </row>
    <row r="836" spans="3:3" ht="15.75" customHeight="1">
      <c r="C836" s="273"/>
    </row>
    <row r="837" spans="3:3" ht="15.75" customHeight="1">
      <c r="C837" s="273"/>
    </row>
    <row r="838" spans="3:3" ht="15.75" customHeight="1">
      <c r="C838" s="273"/>
    </row>
    <row r="839" spans="3:3" ht="15.75" customHeight="1">
      <c r="C839" s="273"/>
    </row>
    <row r="840" spans="3:3" ht="15.75" customHeight="1">
      <c r="C840" s="273"/>
    </row>
    <row r="841" spans="3:3" ht="15.75" customHeight="1">
      <c r="C841" s="273"/>
    </row>
    <row r="842" spans="3:3" ht="15.75" customHeight="1">
      <c r="C842" s="273"/>
    </row>
    <row r="843" spans="3:3" ht="15.75" customHeight="1">
      <c r="C843" s="273"/>
    </row>
    <row r="844" spans="3:3" ht="15.75" customHeight="1">
      <c r="C844" s="273"/>
    </row>
    <row r="845" spans="3:3" ht="15.75" customHeight="1">
      <c r="C845" s="273"/>
    </row>
    <row r="846" spans="3:3" ht="15.75" customHeight="1">
      <c r="C846" s="273"/>
    </row>
    <row r="847" spans="3:3" ht="15.75" customHeight="1">
      <c r="C847" s="273"/>
    </row>
    <row r="848" spans="3:3" ht="15.75" customHeight="1">
      <c r="C848" s="273"/>
    </row>
    <row r="849" spans="3:3" ht="15.75" customHeight="1">
      <c r="C849" s="273"/>
    </row>
    <row r="850" spans="3:3" ht="15.75" customHeight="1">
      <c r="C850" s="273"/>
    </row>
    <row r="851" spans="3:3" ht="15.75" customHeight="1">
      <c r="C851" s="273"/>
    </row>
    <row r="852" spans="3:3" ht="15.75" customHeight="1">
      <c r="C852" s="273"/>
    </row>
    <row r="853" spans="3:3" ht="15.75" customHeight="1">
      <c r="C853" s="273"/>
    </row>
    <row r="854" spans="3:3" ht="15.75" customHeight="1">
      <c r="C854" s="273"/>
    </row>
    <row r="855" spans="3:3" ht="15.75" customHeight="1">
      <c r="C855" s="273"/>
    </row>
    <row r="856" spans="3:3" ht="15.75" customHeight="1">
      <c r="C856" s="273"/>
    </row>
    <row r="857" spans="3:3" ht="15.75" customHeight="1">
      <c r="C857" s="273"/>
    </row>
    <row r="858" spans="3:3" ht="15.75" customHeight="1">
      <c r="C858" s="273"/>
    </row>
    <row r="859" spans="3:3" ht="15.75" customHeight="1">
      <c r="C859" s="273"/>
    </row>
    <row r="860" spans="3:3" ht="15.75" customHeight="1">
      <c r="C860" s="273"/>
    </row>
    <row r="861" spans="3:3" ht="15.75" customHeight="1">
      <c r="C861" s="273"/>
    </row>
    <row r="862" spans="3:3" ht="15.75" customHeight="1">
      <c r="C862" s="273"/>
    </row>
    <row r="863" spans="3:3" ht="15.75" customHeight="1">
      <c r="C863" s="273"/>
    </row>
    <row r="864" spans="3:3" ht="15.75" customHeight="1">
      <c r="C864" s="273"/>
    </row>
    <row r="865" spans="3:3" ht="15.75" customHeight="1">
      <c r="C865" s="273"/>
    </row>
    <row r="866" spans="3:3" ht="15.75" customHeight="1">
      <c r="C866" s="273"/>
    </row>
    <row r="867" spans="3:3" ht="15.75" customHeight="1">
      <c r="C867" s="273"/>
    </row>
    <row r="868" spans="3:3" ht="15.75" customHeight="1">
      <c r="C868" s="273"/>
    </row>
    <row r="869" spans="3:3" ht="15.75" customHeight="1">
      <c r="C869" s="273"/>
    </row>
    <row r="870" spans="3:3" ht="15.75" customHeight="1">
      <c r="C870" s="273"/>
    </row>
  </sheetData>
  <mergeCells count="3">
    <mergeCell ref="C1:F1"/>
    <mergeCell ref="G1:K1"/>
    <mergeCell ref="L1:Q1"/>
  </mergeCells>
  <conditionalFormatting sqref="I4:I10 I12 I14 I16 I18 I20 I22 I25 I27 I29 I31 I33 I35 I39:I51">
    <cfRule type="colorScale" priority="5">
      <colorScale>
        <cfvo type="min"/>
        <cfvo type="percentile" val="50"/>
        <cfvo type="max"/>
        <color rgb="FF57BB8A"/>
        <color rgb="FFFFFFFF"/>
        <color rgb="FFE67C73"/>
      </colorScale>
    </cfRule>
  </conditionalFormatting>
  <conditionalFormatting sqref="K4:K10 K12 K14 K16 K18 K20 K22 K25 K27 K29 K31 K33 K35 K39:K51">
    <cfRule type="colorScale" priority="6">
      <colorScale>
        <cfvo type="min"/>
        <cfvo type="max"/>
        <color rgb="FF57BB8A"/>
        <color rgb="FFFFFFFF"/>
      </colorScale>
    </cfRule>
  </conditionalFormatting>
  <conditionalFormatting sqref="L4:Q10 L12:Q12 L14:Q14 L16:Q16 L18:Q18 L20:Q20 L22:Q22 L25:Q25 L27:Q27 L29:Q29 L31:Q31 L33:Q33 L35:Q35 L39:Q51">
    <cfRule type="cellIs" dxfId="3" priority="3" operator="greaterThan">
      <formula>0</formula>
    </cfRule>
    <cfRule type="cellIs" dxfId="2" priority="4" operator="lessThanOrEqual">
      <formula>0</formula>
    </cfRule>
  </conditionalFormatting>
  <conditionalFormatting sqref="L4:Q10 L12:Q12 L14:Q14 L16:Q16 L18:Q18 L20:Q20 L22:Q22 L25:Q25 L27:Q27 L29:Q29 L31:Q31 L33:Q33 L35:Q35 L40:Q40 L42:Q42 L44:Q44 L46:Q46 L48:Q48 L50:Q50">
    <cfRule type="cellIs" dxfId="1" priority="1" operator="greaterThan">
      <formula>0</formula>
    </cfRule>
    <cfRule type="cellIs" dxfId="0" priority="2" operator="lessThanOrEqual">
      <formula>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Portafolio Discrecional</vt:lpstr>
      <vt:lpstr>Ideas de Trading</vt:lpstr>
      <vt:lpstr>Matriz táctica</vt:lpstr>
      <vt:lpstr>Watchlist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Portfolio</dc:creator>
  <cp:lastModifiedBy>Guillermo Davies</cp:lastModifiedBy>
  <dcterms:created xsi:type="dcterms:W3CDTF">2020-09-08T14:29:46Z</dcterms:created>
  <dcterms:modified xsi:type="dcterms:W3CDTF">2024-02-20T11:07:48Z</dcterms:modified>
</cp:coreProperties>
</file>