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8_{406AFF50-35C0-4B5D-862D-8AB963ABF2CE}" xr6:coauthVersionLast="47" xr6:coauthVersionMax="47" xr10:uidLastSave="{00000000-0000-0000-0000-000000000000}"/>
  <bookViews>
    <workbookView xWindow="-108" yWindow="-108" windowWidth="23256" windowHeight="12576" xr2:uid="{00000000-000D-0000-FFFF-FFFF00000000}"/>
  </bookViews>
  <sheets>
    <sheet name="Portafolio Discrecional" sheetId="3" r:id="rId1"/>
    <sheet name="Ideas de Trading" sheetId="4" r:id="rId2"/>
    <sheet name="Matriz táctica" sheetId="5" r:id="rId3"/>
    <sheet name="Watchlist" sheetId="6" r:id="rId4"/>
  </sheets>
  <calcPr calcId="191029"/>
  <extLst>
    <ext uri="GoogleSheetsCustomDataVersion2">
      <go:sheetsCustomData xmlns:go="http://customooxmlschemas.google.com/" r:id="rId10" roundtripDataChecksum="YvVe+0EsQW9NwF9hDKfXblwvMwmGqgKycBcW+ykwFG4="/>
    </ext>
  </extLst>
</workbook>
</file>

<file path=xl/calcChain.xml><?xml version="1.0" encoding="utf-8"?>
<calcChain xmlns="http://schemas.openxmlformats.org/spreadsheetml/2006/main">
  <c r="AD51" i="6" l="1"/>
  <c r="AC51" i="6"/>
  <c r="AB51" i="6"/>
  <c r="AA51" i="6"/>
  <c r="Z51" i="6"/>
  <c r="Y51" i="6"/>
  <c r="X51" i="6"/>
  <c r="W51" i="6"/>
  <c r="V51" i="6"/>
  <c r="U51" i="6"/>
  <c r="AD50" i="6"/>
  <c r="AC50" i="6"/>
  <c r="AB50" i="6"/>
  <c r="AA50" i="6"/>
  <c r="Z50" i="6"/>
  <c r="Y50" i="6"/>
  <c r="X50" i="6"/>
  <c r="W50" i="6"/>
  <c r="V50" i="6"/>
  <c r="U50" i="6"/>
  <c r="L50" i="6"/>
  <c r="K50" i="6"/>
  <c r="G50" i="6"/>
  <c r="I50" i="6" s="1"/>
  <c r="D50" i="6"/>
  <c r="C50" i="6"/>
  <c r="AD49" i="6"/>
  <c r="AC49" i="6"/>
  <c r="AB49" i="6"/>
  <c r="AA49" i="6"/>
  <c r="Z49" i="6"/>
  <c r="Y49" i="6"/>
  <c r="X49" i="6"/>
  <c r="W49" i="6"/>
  <c r="V49" i="6"/>
  <c r="U49" i="6"/>
  <c r="AD48" i="6"/>
  <c r="AC48" i="6"/>
  <c r="AB48" i="6"/>
  <c r="AA48" i="6"/>
  <c r="Z48" i="6"/>
  <c r="Y48" i="6"/>
  <c r="X48" i="6"/>
  <c r="W48" i="6"/>
  <c r="V48" i="6"/>
  <c r="U48" i="6"/>
  <c r="L48" i="6"/>
  <c r="K48" i="6"/>
  <c r="G48" i="6"/>
  <c r="D48" i="6"/>
  <c r="C48" i="6"/>
  <c r="AD47" i="6"/>
  <c r="AC47" i="6"/>
  <c r="AB47" i="6"/>
  <c r="AA47" i="6"/>
  <c r="Z47" i="6"/>
  <c r="Y47" i="6"/>
  <c r="X47" i="6"/>
  <c r="W47" i="6"/>
  <c r="V47" i="6"/>
  <c r="U47" i="6"/>
  <c r="AD46" i="6"/>
  <c r="AC46" i="6"/>
  <c r="AB46" i="6"/>
  <c r="AA46" i="6"/>
  <c r="Z46" i="6"/>
  <c r="Y46" i="6"/>
  <c r="X46" i="6"/>
  <c r="W46" i="6"/>
  <c r="V46" i="6"/>
  <c r="U46" i="6"/>
  <c r="L46" i="6"/>
  <c r="K46" i="6"/>
  <c r="G46" i="6"/>
  <c r="D46" i="6"/>
  <c r="C46" i="6"/>
  <c r="A46" i="6"/>
  <c r="A48" i="6" s="1"/>
  <c r="A50" i="6" s="1"/>
  <c r="AD45" i="6"/>
  <c r="AC45" i="6"/>
  <c r="AB45" i="6"/>
  <c r="AA45" i="6"/>
  <c r="Z45" i="6"/>
  <c r="Y45" i="6"/>
  <c r="X45" i="6"/>
  <c r="W45" i="6"/>
  <c r="V45" i="6"/>
  <c r="U45" i="6"/>
  <c r="AD44" i="6"/>
  <c r="AC44" i="6"/>
  <c r="AB44" i="6"/>
  <c r="AA44" i="6"/>
  <c r="Z44" i="6"/>
  <c r="Y44" i="6"/>
  <c r="X44" i="6"/>
  <c r="W44" i="6"/>
  <c r="V44" i="6"/>
  <c r="U44" i="6"/>
  <c r="L44" i="6"/>
  <c r="K44" i="6"/>
  <c r="G44" i="6"/>
  <c r="D44" i="6"/>
  <c r="C44" i="6"/>
  <c r="A44" i="6"/>
  <c r="AD43" i="6"/>
  <c r="AC43" i="6"/>
  <c r="AB43" i="6"/>
  <c r="AA43" i="6"/>
  <c r="Z43" i="6"/>
  <c r="Y43" i="6"/>
  <c r="X43" i="6"/>
  <c r="W43" i="6"/>
  <c r="V43" i="6"/>
  <c r="U43" i="6"/>
  <c r="A43" i="6"/>
  <c r="AD42" i="6"/>
  <c r="AC42" i="6"/>
  <c r="AB42" i="6"/>
  <c r="AA42" i="6"/>
  <c r="Z42" i="6"/>
  <c r="Y42" i="6"/>
  <c r="X42" i="6"/>
  <c r="W42" i="6"/>
  <c r="V42" i="6"/>
  <c r="U42" i="6"/>
  <c r="L42" i="6"/>
  <c r="K42" i="6"/>
  <c r="G42" i="6"/>
  <c r="D42" i="6"/>
  <c r="C42" i="6"/>
  <c r="A42" i="6"/>
  <c r="AD41" i="6"/>
  <c r="AC41" i="6"/>
  <c r="AB41" i="6"/>
  <c r="AA41" i="6"/>
  <c r="Z41" i="6"/>
  <c r="Y41" i="6"/>
  <c r="X41" i="6"/>
  <c r="W41" i="6"/>
  <c r="V41" i="6"/>
  <c r="U41" i="6"/>
  <c r="AD40" i="6"/>
  <c r="AC40" i="6"/>
  <c r="AB40" i="6"/>
  <c r="AA40" i="6"/>
  <c r="Z40" i="6"/>
  <c r="Y40" i="6"/>
  <c r="X40" i="6"/>
  <c r="W40" i="6"/>
  <c r="V40" i="6"/>
  <c r="U40" i="6"/>
  <c r="L40" i="6"/>
  <c r="K40" i="6"/>
  <c r="G40" i="6"/>
  <c r="I40" i="6" s="1"/>
  <c r="D40" i="6"/>
  <c r="C40" i="6"/>
  <c r="AD36" i="6"/>
  <c r="AC36" i="6"/>
  <c r="AB36" i="6"/>
  <c r="AA36" i="6"/>
  <c r="Z36" i="6"/>
  <c r="Y36" i="6"/>
  <c r="X36" i="6"/>
  <c r="W36" i="6"/>
  <c r="V36" i="6"/>
  <c r="U36" i="6"/>
  <c r="AD35" i="6"/>
  <c r="AC35" i="6"/>
  <c r="AB35" i="6"/>
  <c r="AA35" i="6"/>
  <c r="Z35" i="6"/>
  <c r="Y35" i="6"/>
  <c r="X35" i="6"/>
  <c r="W35" i="6"/>
  <c r="V35" i="6"/>
  <c r="U35" i="6"/>
  <c r="L35" i="6"/>
  <c r="G35" i="6"/>
  <c r="D35" i="6"/>
  <c r="C35" i="6"/>
  <c r="AD34" i="6"/>
  <c r="AC34" i="6"/>
  <c r="AB34" i="6"/>
  <c r="AA34" i="6"/>
  <c r="Z34" i="6"/>
  <c r="Y34" i="6"/>
  <c r="X34" i="6"/>
  <c r="W34" i="6"/>
  <c r="V34" i="6"/>
  <c r="U34" i="6"/>
  <c r="AD33" i="6"/>
  <c r="AC33" i="6"/>
  <c r="AB33" i="6"/>
  <c r="AA33" i="6"/>
  <c r="Z33" i="6"/>
  <c r="Y33" i="6"/>
  <c r="X33" i="6"/>
  <c r="W33" i="6"/>
  <c r="V33" i="6"/>
  <c r="U33" i="6"/>
  <c r="L33" i="6"/>
  <c r="G33" i="6"/>
  <c r="D33" i="6"/>
  <c r="C33" i="6"/>
  <c r="AD32" i="6"/>
  <c r="AC32" i="6"/>
  <c r="AB32" i="6"/>
  <c r="AA32" i="6"/>
  <c r="Z32" i="6"/>
  <c r="Y32" i="6"/>
  <c r="X32" i="6"/>
  <c r="W32" i="6"/>
  <c r="V32" i="6"/>
  <c r="U32" i="6"/>
  <c r="AD31" i="6"/>
  <c r="AC31" i="6"/>
  <c r="AB31" i="6"/>
  <c r="AA31" i="6"/>
  <c r="Z31" i="6"/>
  <c r="Y31" i="6"/>
  <c r="X31" i="6"/>
  <c r="W31" i="6"/>
  <c r="V31" i="6"/>
  <c r="U31" i="6"/>
  <c r="L31" i="6"/>
  <c r="G31" i="6"/>
  <c r="I31" i="6" s="1"/>
  <c r="D31" i="6"/>
  <c r="C31" i="6"/>
  <c r="AD30" i="6"/>
  <c r="AC30" i="6"/>
  <c r="AB30" i="6"/>
  <c r="AA30" i="6"/>
  <c r="Z30" i="6"/>
  <c r="Y30" i="6"/>
  <c r="X30" i="6"/>
  <c r="W30" i="6"/>
  <c r="V30" i="6"/>
  <c r="U30" i="6"/>
  <c r="AD29" i="6"/>
  <c r="AC29" i="6"/>
  <c r="AB29" i="6"/>
  <c r="AA29" i="6"/>
  <c r="Z29" i="6"/>
  <c r="Y29" i="6"/>
  <c r="X29" i="6"/>
  <c r="W29" i="6"/>
  <c r="V29" i="6"/>
  <c r="U29" i="6"/>
  <c r="L29" i="6"/>
  <c r="G29" i="6"/>
  <c r="D29" i="6"/>
  <c r="C29" i="6"/>
  <c r="A29" i="6"/>
  <c r="A31" i="6" s="1"/>
  <c r="A33" i="6" s="1"/>
  <c r="A35" i="6" s="1"/>
  <c r="AD28" i="6"/>
  <c r="AC28" i="6"/>
  <c r="AB28" i="6"/>
  <c r="AA28" i="6"/>
  <c r="Z28" i="6"/>
  <c r="Y28" i="6"/>
  <c r="X28" i="6"/>
  <c r="W28" i="6"/>
  <c r="V28" i="6"/>
  <c r="U28" i="6"/>
  <c r="A28" i="6"/>
  <c r="A30" i="6" s="1"/>
  <c r="A32" i="6" s="1"/>
  <c r="AD27" i="6"/>
  <c r="AC27" i="6"/>
  <c r="AB27" i="6"/>
  <c r="AA27" i="6"/>
  <c r="Z27" i="6"/>
  <c r="Y27" i="6"/>
  <c r="X27" i="6"/>
  <c r="W27" i="6"/>
  <c r="V27" i="6"/>
  <c r="U27" i="6"/>
  <c r="L27" i="6"/>
  <c r="G27" i="6"/>
  <c r="K27" i="6" s="1"/>
  <c r="D27" i="6"/>
  <c r="C27" i="6"/>
  <c r="A27" i="6"/>
  <c r="AD26" i="6"/>
  <c r="AC26" i="6"/>
  <c r="AB26" i="6"/>
  <c r="AA26" i="6"/>
  <c r="Z26" i="6"/>
  <c r="Y26" i="6"/>
  <c r="X26" i="6"/>
  <c r="W26" i="6"/>
  <c r="V26" i="6"/>
  <c r="U26" i="6"/>
  <c r="A26" i="6"/>
  <c r="AD25" i="6"/>
  <c r="AC25" i="6"/>
  <c r="AB25" i="6"/>
  <c r="AA25" i="6"/>
  <c r="Z25" i="6"/>
  <c r="Y25" i="6"/>
  <c r="X25" i="6"/>
  <c r="W25" i="6"/>
  <c r="V25" i="6"/>
  <c r="U25" i="6"/>
  <c r="L25" i="6"/>
  <c r="G25" i="6"/>
  <c r="I25" i="6" s="1"/>
  <c r="D25" i="6"/>
  <c r="C25" i="6"/>
  <c r="AD23" i="6"/>
  <c r="AC23" i="6"/>
  <c r="AB23" i="6"/>
  <c r="AA23" i="6"/>
  <c r="Z23" i="6"/>
  <c r="Y23" i="6"/>
  <c r="X23" i="6"/>
  <c r="W23" i="6"/>
  <c r="V23" i="6"/>
  <c r="U23" i="6"/>
  <c r="AD22" i="6"/>
  <c r="AC22" i="6"/>
  <c r="AB22" i="6"/>
  <c r="AA22" i="6"/>
  <c r="Z22" i="6"/>
  <c r="Y22" i="6"/>
  <c r="X22" i="6"/>
  <c r="W22" i="6"/>
  <c r="V22" i="6"/>
  <c r="U22" i="6"/>
  <c r="L22" i="6"/>
  <c r="G22" i="6"/>
  <c r="D22" i="6"/>
  <c r="C22" i="6"/>
  <c r="AD21" i="6"/>
  <c r="AC21" i="6"/>
  <c r="AB21" i="6"/>
  <c r="AA21" i="6"/>
  <c r="Z21" i="6"/>
  <c r="Y21" i="6"/>
  <c r="X21" i="6"/>
  <c r="W21" i="6"/>
  <c r="V21" i="6"/>
  <c r="U21" i="6"/>
  <c r="AD20" i="6"/>
  <c r="AC20" i="6"/>
  <c r="AB20" i="6"/>
  <c r="AA20" i="6"/>
  <c r="Z20" i="6"/>
  <c r="Y20" i="6"/>
  <c r="X20" i="6"/>
  <c r="W20" i="6"/>
  <c r="V20" i="6"/>
  <c r="U20" i="6"/>
  <c r="L20" i="6"/>
  <c r="G20" i="6"/>
  <c r="K20" i="6" s="1"/>
  <c r="D20" i="6"/>
  <c r="C20" i="6"/>
  <c r="AD19" i="6"/>
  <c r="AC19" i="6"/>
  <c r="AB19" i="6"/>
  <c r="AA19" i="6"/>
  <c r="Z19" i="6"/>
  <c r="Y19" i="6"/>
  <c r="X19" i="6"/>
  <c r="W19" i="6"/>
  <c r="V19" i="6"/>
  <c r="U19" i="6"/>
  <c r="AD18" i="6"/>
  <c r="AC18" i="6"/>
  <c r="AB18" i="6"/>
  <c r="AA18" i="6"/>
  <c r="Z18" i="6"/>
  <c r="Y18" i="6"/>
  <c r="X18" i="6"/>
  <c r="W18" i="6"/>
  <c r="V18" i="6"/>
  <c r="U18" i="6"/>
  <c r="L18" i="6"/>
  <c r="G18" i="6"/>
  <c r="D18" i="6"/>
  <c r="C18" i="6"/>
  <c r="AD17" i="6"/>
  <c r="AC17" i="6"/>
  <c r="AB17" i="6"/>
  <c r="AA17" i="6"/>
  <c r="Z17" i="6"/>
  <c r="Y17" i="6"/>
  <c r="X17" i="6"/>
  <c r="W17" i="6"/>
  <c r="V17" i="6"/>
  <c r="U17" i="6"/>
  <c r="AD16" i="6"/>
  <c r="AC16" i="6"/>
  <c r="AB16" i="6"/>
  <c r="AA16" i="6"/>
  <c r="Z16" i="6"/>
  <c r="Y16" i="6"/>
  <c r="X16" i="6"/>
  <c r="W16" i="6"/>
  <c r="V16" i="6"/>
  <c r="U16" i="6"/>
  <c r="L16" i="6"/>
  <c r="G16" i="6"/>
  <c r="D16" i="6"/>
  <c r="C16" i="6"/>
  <c r="AD15" i="6"/>
  <c r="AC15" i="6"/>
  <c r="AB15" i="6"/>
  <c r="AA15" i="6"/>
  <c r="Z15" i="6"/>
  <c r="Y15" i="6"/>
  <c r="X15" i="6"/>
  <c r="W15" i="6"/>
  <c r="V15" i="6"/>
  <c r="U15" i="6"/>
  <c r="A15" i="6"/>
  <c r="AD14" i="6"/>
  <c r="AC14" i="6"/>
  <c r="AB14" i="6"/>
  <c r="AA14" i="6"/>
  <c r="Z14" i="6"/>
  <c r="Y14" i="6"/>
  <c r="X14" i="6"/>
  <c r="W14" i="6"/>
  <c r="V14" i="6"/>
  <c r="U14" i="6"/>
  <c r="L14" i="6"/>
  <c r="G14" i="6"/>
  <c r="D14" i="6"/>
  <c r="C14" i="6"/>
  <c r="AD13" i="6"/>
  <c r="AC13" i="6"/>
  <c r="AB13" i="6"/>
  <c r="AA13" i="6"/>
  <c r="Z13" i="6"/>
  <c r="Y13" i="6"/>
  <c r="X13" i="6"/>
  <c r="W13" i="6"/>
  <c r="V13" i="6"/>
  <c r="U13" i="6"/>
  <c r="AD12" i="6"/>
  <c r="AC12" i="6"/>
  <c r="AB12" i="6"/>
  <c r="AA12" i="6"/>
  <c r="Z12" i="6"/>
  <c r="Y12" i="6"/>
  <c r="X12" i="6"/>
  <c r="W12" i="6"/>
  <c r="V12" i="6"/>
  <c r="U12" i="6"/>
  <c r="L12" i="6"/>
  <c r="G12" i="6"/>
  <c r="D12" i="6"/>
  <c r="C12" i="6"/>
  <c r="AD11" i="6"/>
  <c r="AC11" i="6"/>
  <c r="AB11" i="6"/>
  <c r="AA11" i="6"/>
  <c r="Z11" i="6"/>
  <c r="Y11" i="6"/>
  <c r="X11" i="6"/>
  <c r="W11" i="6"/>
  <c r="V11" i="6"/>
  <c r="U11" i="6"/>
  <c r="AD10" i="6"/>
  <c r="AC10" i="6"/>
  <c r="AB10" i="6"/>
  <c r="AA10" i="6"/>
  <c r="Z10" i="6"/>
  <c r="Y10" i="6"/>
  <c r="X10" i="6"/>
  <c r="W10" i="6"/>
  <c r="V10" i="6"/>
  <c r="U10" i="6"/>
  <c r="L10" i="6"/>
  <c r="G10" i="6"/>
  <c r="D10" i="6"/>
  <c r="C10" i="6"/>
  <c r="AD9" i="6"/>
  <c r="AC9" i="6"/>
  <c r="AB9" i="6"/>
  <c r="AA9" i="6"/>
  <c r="Z9" i="6"/>
  <c r="Y9" i="6"/>
  <c r="X9" i="6"/>
  <c r="W9" i="6"/>
  <c r="V9" i="6"/>
  <c r="U9" i="6"/>
  <c r="A9" i="6"/>
  <c r="AD8" i="6"/>
  <c r="AC8" i="6"/>
  <c r="AB8" i="6"/>
  <c r="AA8" i="6"/>
  <c r="Z8" i="6"/>
  <c r="Y8" i="6"/>
  <c r="X8" i="6"/>
  <c r="W8" i="6"/>
  <c r="V8" i="6"/>
  <c r="U8" i="6"/>
  <c r="L8" i="6"/>
  <c r="G8" i="6"/>
  <c r="D8" i="6"/>
  <c r="C8" i="6"/>
  <c r="A8" i="6"/>
  <c r="A10" i="6" s="1"/>
  <c r="A12" i="6" s="1"/>
  <c r="A14" i="6" s="1"/>
  <c r="A16" i="6" s="1"/>
  <c r="A18" i="6" s="1"/>
  <c r="A20" i="6" s="1"/>
  <c r="A22" i="6" s="1"/>
  <c r="AD7" i="6"/>
  <c r="AC7" i="6"/>
  <c r="AB7" i="6"/>
  <c r="AA7" i="6"/>
  <c r="Z7" i="6"/>
  <c r="Y7" i="6"/>
  <c r="X7" i="6"/>
  <c r="W7" i="6"/>
  <c r="V7" i="6"/>
  <c r="U7" i="6"/>
  <c r="A7" i="6"/>
  <c r="AD6" i="6"/>
  <c r="AC6" i="6"/>
  <c r="AB6" i="6"/>
  <c r="AA6" i="6"/>
  <c r="Z6" i="6"/>
  <c r="Y6" i="6"/>
  <c r="X6" i="6"/>
  <c r="W6" i="6"/>
  <c r="V6" i="6"/>
  <c r="U6" i="6"/>
  <c r="L6" i="6"/>
  <c r="G6" i="6"/>
  <c r="I6" i="6" s="1"/>
  <c r="D6" i="6"/>
  <c r="C6" i="6"/>
  <c r="A6" i="6"/>
  <c r="AD5" i="6"/>
  <c r="AC5" i="6"/>
  <c r="AB5" i="6"/>
  <c r="AA5" i="6"/>
  <c r="Z5" i="6"/>
  <c r="Y5" i="6"/>
  <c r="X5" i="6"/>
  <c r="W5" i="6"/>
  <c r="V5" i="6"/>
  <c r="U5" i="6"/>
  <c r="A5" i="6"/>
  <c r="AD4" i="6"/>
  <c r="AC4" i="6"/>
  <c r="AB4" i="6"/>
  <c r="AA4" i="6"/>
  <c r="Z4" i="6"/>
  <c r="Y4" i="6"/>
  <c r="X4" i="6"/>
  <c r="W4" i="6"/>
  <c r="V4" i="6"/>
  <c r="U4" i="6"/>
  <c r="L4" i="6"/>
  <c r="G4" i="6"/>
  <c r="K4" i="6" s="1"/>
  <c r="D4" i="6"/>
  <c r="C4" i="6"/>
  <c r="H29" i="5"/>
  <c r="C29" i="5"/>
  <c r="H28" i="5"/>
  <c r="C28" i="5"/>
  <c r="H27" i="5"/>
  <c r="C27" i="5"/>
  <c r="H26" i="5"/>
  <c r="C26" i="5"/>
  <c r="H25" i="5"/>
  <c r="C25" i="5"/>
  <c r="H24" i="5"/>
  <c r="C24" i="5"/>
  <c r="H23" i="5"/>
  <c r="C23" i="5"/>
  <c r="H22" i="5"/>
  <c r="C22" i="5"/>
  <c r="H21" i="5"/>
  <c r="C21" i="5"/>
  <c r="H20" i="5"/>
  <c r="C20" i="5"/>
  <c r="H19" i="5"/>
  <c r="C19" i="5"/>
  <c r="H18" i="5"/>
  <c r="C18" i="5"/>
  <c r="H17" i="5"/>
  <c r="C17" i="5"/>
  <c r="H16" i="5"/>
  <c r="C16" i="5"/>
  <c r="H15" i="5"/>
  <c r="C15" i="5"/>
  <c r="AD10" i="5"/>
  <c r="AC10" i="5"/>
  <c r="AB10" i="5"/>
  <c r="AA10" i="5"/>
  <c r="Z10" i="5"/>
  <c r="Y10" i="5"/>
  <c r="X10" i="5"/>
  <c r="W10" i="5"/>
  <c r="V10" i="5"/>
  <c r="U10" i="5"/>
  <c r="AD9" i="5"/>
  <c r="AC9" i="5"/>
  <c r="AB9" i="5"/>
  <c r="AA9" i="5"/>
  <c r="Z9" i="5"/>
  <c r="Y9" i="5"/>
  <c r="X9" i="5"/>
  <c r="W9" i="5"/>
  <c r="V9" i="5"/>
  <c r="U9" i="5"/>
  <c r="L9" i="5"/>
  <c r="H9" i="5"/>
  <c r="C9" i="5"/>
  <c r="AD8" i="5"/>
  <c r="AC8" i="5"/>
  <c r="AB8" i="5"/>
  <c r="AA8" i="5"/>
  <c r="Z8" i="5"/>
  <c r="Y8" i="5"/>
  <c r="X8" i="5"/>
  <c r="W8" i="5"/>
  <c r="V8" i="5"/>
  <c r="U8" i="5"/>
  <c r="AD7" i="5"/>
  <c r="AC7" i="5"/>
  <c r="AB7" i="5"/>
  <c r="AA7" i="5"/>
  <c r="Z7" i="5"/>
  <c r="Y7" i="5"/>
  <c r="X7" i="5"/>
  <c r="W7" i="5"/>
  <c r="V7" i="5"/>
  <c r="U7" i="5"/>
  <c r="L7" i="5"/>
  <c r="H7" i="5"/>
  <c r="C7" i="5"/>
  <c r="A7" i="5"/>
  <c r="A9" i="5" s="1"/>
  <c r="AD6" i="5"/>
  <c r="AC6" i="5"/>
  <c r="AB6" i="5"/>
  <c r="AA6" i="5"/>
  <c r="Z6" i="5"/>
  <c r="Y6" i="5"/>
  <c r="X6" i="5"/>
  <c r="W6" i="5"/>
  <c r="V6" i="5"/>
  <c r="U6" i="5"/>
  <c r="A6" i="5"/>
  <c r="AD5" i="5"/>
  <c r="AC5" i="5"/>
  <c r="AB5" i="5"/>
  <c r="AA5" i="5"/>
  <c r="Z5" i="5"/>
  <c r="Y5" i="5"/>
  <c r="X5" i="5"/>
  <c r="W5" i="5"/>
  <c r="V5" i="5"/>
  <c r="U5" i="5"/>
  <c r="L5" i="5"/>
  <c r="H5" i="5"/>
  <c r="C5" i="5"/>
  <c r="A5" i="5"/>
  <c r="AD4" i="5"/>
  <c r="AC4" i="5"/>
  <c r="AB4" i="5"/>
  <c r="AA4" i="5"/>
  <c r="Z4" i="5"/>
  <c r="Y4" i="5"/>
  <c r="X4" i="5"/>
  <c r="W4" i="5"/>
  <c r="V4" i="5"/>
  <c r="U4" i="5"/>
  <c r="A4" i="5"/>
  <c r="AD3" i="5"/>
  <c r="AC3" i="5"/>
  <c r="AB3" i="5"/>
  <c r="AA3" i="5"/>
  <c r="Z3" i="5"/>
  <c r="Y3" i="5"/>
  <c r="X3" i="5"/>
  <c r="W3" i="5"/>
  <c r="V3" i="5"/>
  <c r="U3" i="5"/>
  <c r="L3" i="5"/>
  <c r="H3" i="5"/>
  <c r="C3" i="5"/>
  <c r="O113" i="4"/>
  <c r="N113" i="4"/>
  <c r="J113" i="4"/>
  <c r="K113" i="4" s="1"/>
  <c r="M113" i="4" s="1"/>
  <c r="D113" i="4"/>
  <c r="C113" i="4"/>
  <c r="O112" i="4"/>
  <c r="N112" i="4"/>
  <c r="J112" i="4"/>
  <c r="L112" i="4" s="1"/>
  <c r="D112" i="4"/>
  <c r="C112" i="4"/>
  <c r="O111" i="4"/>
  <c r="N111" i="4"/>
  <c r="M111" i="4"/>
  <c r="L111" i="4"/>
  <c r="J111" i="4"/>
  <c r="K111" i="4" s="1"/>
  <c r="D111" i="4"/>
  <c r="C111" i="4"/>
  <c r="O110" i="4"/>
  <c r="N110" i="4"/>
  <c r="J110" i="4"/>
  <c r="L110" i="4" s="1"/>
  <c r="M110" i="4" s="1"/>
  <c r="D110" i="4"/>
  <c r="C110" i="4"/>
  <c r="O109" i="4"/>
  <c r="J109" i="4"/>
  <c r="H109" i="4"/>
  <c r="N109" i="4" s="1"/>
  <c r="D109" i="4"/>
  <c r="C109" i="4"/>
  <c r="O108" i="4"/>
  <c r="N108" i="4"/>
  <c r="J108" i="4"/>
  <c r="L108" i="4" s="1"/>
  <c r="D108" i="4"/>
  <c r="C108" i="4"/>
  <c r="O107" i="4"/>
  <c r="N107" i="4"/>
  <c r="M107" i="4"/>
  <c r="L107" i="4"/>
  <c r="J107" i="4"/>
  <c r="D107" i="4"/>
  <c r="C107" i="4"/>
  <c r="O106" i="4"/>
  <c r="N106" i="4"/>
  <c r="J106" i="4"/>
  <c r="K106" i="4" s="1"/>
  <c r="M106" i="4" s="1"/>
  <c r="D106" i="4"/>
  <c r="C106" i="4"/>
  <c r="O105" i="4"/>
  <c r="N105" i="4"/>
  <c r="J105" i="4"/>
  <c r="L105" i="4" s="1"/>
  <c r="D105" i="4"/>
  <c r="C105" i="4"/>
  <c r="O104" i="4"/>
  <c r="N104" i="4"/>
  <c r="M104" i="4"/>
  <c r="L104" i="4"/>
  <c r="K104" i="4"/>
  <c r="J104" i="4"/>
  <c r="D104" i="4"/>
  <c r="C104" i="4"/>
  <c r="O103" i="4"/>
  <c r="N103" i="4"/>
  <c r="J103" i="4"/>
  <c r="K103" i="4" s="1"/>
  <c r="M103" i="4" s="1"/>
  <c r="D103" i="4"/>
  <c r="C103" i="4"/>
  <c r="O102" i="4"/>
  <c r="N102" i="4"/>
  <c r="K102" i="4"/>
  <c r="M102" i="4" s="1"/>
  <c r="J102" i="4"/>
  <c r="D102" i="4"/>
  <c r="C102" i="4"/>
  <c r="O101" i="4"/>
  <c r="N101" i="4"/>
  <c r="I101" i="4"/>
  <c r="J101" i="4" s="1"/>
  <c r="D101" i="4"/>
  <c r="C101" i="4"/>
  <c r="O100" i="4"/>
  <c r="N100" i="4"/>
  <c r="L100" i="4"/>
  <c r="M100" i="4" s="1"/>
  <c r="K100" i="4"/>
  <c r="J100" i="4"/>
  <c r="D100" i="4"/>
  <c r="C100" i="4"/>
  <c r="O99" i="4"/>
  <c r="L99" i="4"/>
  <c r="I99" i="4"/>
  <c r="N99" i="4" s="1"/>
  <c r="D99" i="4"/>
  <c r="C99" i="4"/>
  <c r="O98" i="4"/>
  <c r="N98" i="4"/>
  <c r="L98" i="4"/>
  <c r="M98" i="4" s="1"/>
  <c r="K98" i="4"/>
  <c r="D98" i="4"/>
  <c r="C98" i="4"/>
  <c r="O97" i="4"/>
  <c r="N97" i="4"/>
  <c r="J97" i="4"/>
  <c r="K97" i="4" s="1"/>
  <c r="M97" i="4" s="1"/>
  <c r="D97" i="4"/>
  <c r="C97" i="4"/>
  <c r="O96" i="4"/>
  <c r="L96" i="4"/>
  <c r="M96" i="4" s="1"/>
  <c r="K96" i="4"/>
  <c r="I96" i="4" s="1"/>
  <c r="N96" i="4" s="1"/>
  <c r="J96" i="4"/>
  <c r="O95" i="4"/>
  <c r="N95" i="4"/>
  <c r="K95" i="4"/>
  <c r="M95" i="4" s="1"/>
  <c r="J95" i="4"/>
  <c r="D95" i="4"/>
  <c r="C95" i="4"/>
  <c r="O94" i="4"/>
  <c r="N94" i="4"/>
  <c r="J94" i="4"/>
  <c r="K94" i="4" s="1"/>
  <c r="M94" i="4" s="1"/>
  <c r="D94" i="4"/>
  <c r="C94" i="4"/>
  <c r="O93" i="4"/>
  <c r="N93" i="4"/>
  <c r="L93" i="4"/>
  <c r="M93" i="4" s="1"/>
  <c r="K93" i="4"/>
  <c r="D93" i="4"/>
  <c r="C93" i="4"/>
  <c r="O92" i="4"/>
  <c r="N92" i="4"/>
  <c r="L92" i="4"/>
  <c r="M92" i="4" s="1"/>
  <c r="K92" i="4"/>
  <c r="D92" i="4"/>
  <c r="C92" i="4"/>
  <c r="O91" i="4"/>
  <c r="N91" i="4"/>
  <c r="J91" i="4"/>
  <c r="L91" i="4" s="1"/>
  <c r="D91" i="4"/>
  <c r="C91" i="4"/>
  <c r="O90" i="4"/>
  <c r="N90" i="4"/>
  <c r="M90" i="4"/>
  <c r="L90" i="4"/>
  <c r="J90" i="4"/>
  <c r="D90" i="4"/>
  <c r="C90" i="4"/>
  <c r="O89" i="4"/>
  <c r="N89" i="4"/>
  <c r="M89" i="4"/>
  <c r="K89" i="4"/>
  <c r="O88" i="4"/>
  <c r="N88" i="4"/>
  <c r="L88" i="4"/>
  <c r="M88" i="4" s="1"/>
  <c r="K88" i="4"/>
  <c r="D88" i="4"/>
  <c r="C88" i="4"/>
  <c r="O87" i="4"/>
  <c r="N87" i="4"/>
  <c r="L87" i="4"/>
  <c r="M87" i="4" s="1"/>
  <c r="D87" i="4"/>
  <c r="C87" i="4"/>
  <c r="O86" i="4"/>
  <c r="N86" i="4"/>
  <c r="L86" i="4"/>
  <c r="K86" i="4"/>
  <c r="M86" i="4" s="1"/>
  <c r="O85" i="4"/>
  <c r="N85" i="4"/>
  <c r="K85" i="4"/>
  <c r="J85" i="4"/>
  <c r="L85" i="4" s="1"/>
  <c r="M85" i="4" s="1"/>
  <c r="D85" i="4"/>
  <c r="C85" i="4"/>
  <c r="O84" i="4"/>
  <c r="N84" i="4"/>
  <c r="K84" i="4"/>
  <c r="J84" i="4"/>
  <c r="L84" i="4" s="1"/>
  <c r="M84" i="4" s="1"/>
  <c r="D84" i="4"/>
  <c r="C84" i="4"/>
  <c r="O83" i="4"/>
  <c r="N83" i="4"/>
  <c r="L83" i="4"/>
  <c r="M83" i="4" s="1"/>
  <c r="K83" i="4"/>
  <c r="D83" i="4"/>
  <c r="C83" i="4"/>
  <c r="O82" i="4"/>
  <c r="N82" i="4"/>
  <c r="L82" i="4"/>
  <c r="M82" i="4" s="1"/>
  <c r="K82" i="4"/>
  <c r="J82" i="4"/>
  <c r="D82" i="4"/>
  <c r="C82" i="4"/>
  <c r="O81" i="4"/>
  <c r="N81" i="4"/>
  <c r="L81" i="4"/>
  <c r="M81" i="4" s="1"/>
  <c r="K81" i="4"/>
  <c r="D81" i="4"/>
  <c r="C81" i="4"/>
  <c r="O80" i="4"/>
  <c r="N80" i="4"/>
  <c r="J80" i="4"/>
  <c r="L80" i="4" s="1"/>
  <c r="D80" i="4"/>
  <c r="C80" i="4"/>
  <c r="O79" i="4"/>
  <c r="N79" i="4"/>
  <c r="M79" i="4"/>
  <c r="L79" i="4"/>
  <c r="J79" i="4"/>
  <c r="K79" i="4" s="1"/>
  <c r="D79" i="4"/>
  <c r="C79" i="4"/>
  <c r="O78" i="4"/>
  <c r="N78" i="4"/>
  <c r="J78" i="4"/>
  <c r="L78" i="4" s="1"/>
  <c r="D78" i="4"/>
  <c r="C78" i="4"/>
  <c r="O77" i="4"/>
  <c r="N77" i="4"/>
  <c r="J77" i="4"/>
  <c r="D77" i="4"/>
  <c r="C77" i="4"/>
  <c r="A77" i="4"/>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O76" i="4"/>
  <c r="N76" i="4"/>
  <c r="L76" i="4"/>
  <c r="K76" i="4"/>
  <c r="D76" i="4"/>
  <c r="C76" i="4"/>
  <c r="A76" i="4"/>
  <c r="F65" i="4"/>
  <c r="E65" i="4"/>
  <c r="G64" i="4"/>
  <c r="G63" i="4"/>
  <c r="E59" i="4"/>
  <c r="AS51" i="4"/>
  <c r="AR51" i="4"/>
  <c r="AQ51" i="4"/>
  <c r="AP51" i="4"/>
  <c r="AO51" i="4"/>
  <c r="AN51" i="4"/>
  <c r="AM51" i="4"/>
  <c r="AL51" i="4"/>
  <c r="AK51" i="4"/>
  <c r="AJ51" i="4"/>
  <c r="AI51" i="4"/>
  <c r="AH51" i="4"/>
  <c r="AG51" i="4"/>
  <c r="AS50" i="4"/>
  <c r="AR50" i="4"/>
  <c r="AQ50" i="4"/>
  <c r="AP50" i="4"/>
  <c r="AO50" i="4"/>
  <c r="AN50" i="4"/>
  <c r="AM50" i="4"/>
  <c r="AL50" i="4"/>
  <c r="AK50" i="4"/>
  <c r="AJ50" i="4"/>
  <c r="AI50" i="4"/>
  <c r="AH50" i="4"/>
  <c r="AQ46" i="4"/>
  <c r="AP46" i="4"/>
  <c r="AO46" i="4"/>
  <c r="AN46" i="4"/>
  <c r="AM46" i="4"/>
  <c r="AL46" i="4"/>
  <c r="AK46" i="4"/>
  <c r="AJ46" i="4"/>
  <c r="AI46" i="4"/>
  <c r="AH46" i="4"/>
  <c r="A46" i="4"/>
  <c r="AQ45" i="4"/>
  <c r="AP45" i="4"/>
  <c r="AO45" i="4"/>
  <c r="AN45" i="4"/>
  <c r="AM45" i="4"/>
  <c r="AL45" i="4"/>
  <c r="AK45" i="4"/>
  <c r="AJ45" i="4"/>
  <c r="AI45" i="4"/>
  <c r="AH45" i="4"/>
  <c r="T45" i="4"/>
  <c r="O45" i="4"/>
  <c r="J45" i="4"/>
  <c r="H45" i="4"/>
  <c r="D45" i="4"/>
  <c r="C45" i="4"/>
  <c r="AQ44" i="4"/>
  <c r="AP44" i="4"/>
  <c r="AO44" i="4"/>
  <c r="AN44" i="4"/>
  <c r="AM44" i="4"/>
  <c r="AL44" i="4"/>
  <c r="AK44" i="4"/>
  <c r="AJ44" i="4"/>
  <c r="AI44" i="4"/>
  <c r="AH44" i="4"/>
  <c r="A44" i="4"/>
  <c r="AQ43" i="4"/>
  <c r="AP43" i="4"/>
  <c r="AO43" i="4"/>
  <c r="AN43" i="4"/>
  <c r="AM43" i="4"/>
  <c r="AL43" i="4"/>
  <c r="AK43" i="4"/>
  <c r="AJ43" i="4"/>
  <c r="AI43" i="4"/>
  <c r="AH43" i="4"/>
  <c r="T43" i="4"/>
  <c r="O43" i="4"/>
  <c r="J43" i="4"/>
  <c r="H43" i="4"/>
  <c r="D43" i="4"/>
  <c r="C43" i="4"/>
  <c r="AQ42" i="4"/>
  <c r="AP42" i="4"/>
  <c r="AO42" i="4"/>
  <c r="AN42" i="4"/>
  <c r="AM42" i="4"/>
  <c r="AL42" i="4"/>
  <c r="AK42" i="4"/>
  <c r="AJ42" i="4"/>
  <c r="AI42" i="4"/>
  <c r="AH42" i="4"/>
  <c r="AQ41" i="4"/>
  <c r="AP41" i="4"/>
  <c r="AO41" i="4"/>
  <c r="AN41" i="4"/>
  <c r="AM41" i="4"/>
  <c r="AL41" i="4"/>
  <c r="AK41" i="4"/>
  <c r="AJ41" i="4"/>
  <c r="AI41" i="4"/>
  <c r="AH41" i="4"/>
  <c r="T41" i="4"/>
  <c r="O41" i="4"/>
  <c r="J41" i="4"/>
  <c r="H41" i="4"/>
  <c r="D41" i="4"/>
  <c r="C41" i="4"/>
  <c r="AQ40" i="4"/>
  <c r="AP40" i="4"/>
  <c r="AO40" i="4"/>
  <c r="AN40" i="4"/>
  <c r="AM40" i="4"/>
  <c r="AL40" i="4"/>
  <c r="AK40" i="4"/>
  <c r="AJ40" i="4"/>
  <c r="AI40" i="4"/>
  <c r="AH40" i="4"/>
  <c r="AQ39" i="4"/>
  <c r="AP39" i="4"/>
  <c r="AO39" i="4"/>
  <c r="AN39" i="4"/>
  <c r="AM39" i="4"/>
  <c r="AL39" i="4"/>
  <c r="AK39" i="4"/>
  <c r="AJ39" i="4"/>
  <c r="AI39" i="4"/>
  <c r="AH39" i="4"/>
  <c r="T39" i="4"/>
  <c r="O39" i="4"/>
  <c r="J39" i="4"/>
  <c r="H39" i="4"/>
  <c r="L39" i="4" s="1"/>
  <c r="M39" i="4" s="1"/>
  <c r="D39" i="4"/>
  <c r="C39" i="4"/>
  <c r="AQ38" i="4"/>
  <c r="AP38" i="4"/>
  <c r="AO38" i="4"/>
  <c r="AN38" i="4"/>
  <c r="AM38" i="4"/>
  <c r="AL38" i="4"/>
  <c r="AK38" i="4"/>
  <c r="AJ38" i="4"/>
  <c r="AI38" i="4"/>
  <c r="AH38" i="4"/>
  <c r="A38" i="4"/>
  <c r="A40" i="4" s="1"/>
  <c r="A42" i="4" s="1"/>
  <c r="AQ37" i="4"/>
  <c r="AP37" i="4"/>
  <c r="AO37" i="4"/>
  <c r="AN37" i="4"/>
  <c r="AM37" i="4"/>
  <c r="AL37" i="4"/>
  <c r="AK37" i="4"/>
  <c r="AJ37" i="4"/>
  <c r="AI37" i="4"/>
  <c r="AH37" i="4"/>
  <c r="T37" i="4"/>
  <c r="O37" i="4"/>
  <c r="J37" i="4"/>
  <c r="H37" i="4"/>
  <c r="N37" i="4" s="1"/>
  <c r="D37" i="4"/>
  <c r="C37" i="4"/>
  <c r="A37" i="4"/>
  <c r="A39" i="4" s="1"/>
  <c r="A41" i="4" s="1"/>
  <c r="A43" i="4" s="1"/>
  <c r="A45" i="4" s="1"/>
  <c r="AQ36" i="4"/>
  <c r="AP36" i="4"/>
  <c r="AO36" i="4"/>
  <c r="AN36" i="4"/>
  <c r="AM36" i="4"/>
  <c r="AL36" i="4"/>
  <c r="AK36" i="4"/>
  <c r="AJ36" i="4"/>
  <c r="AI36" i="4"/>
  <c r="AH36" i="4"/>
  <c r="A36" i="4"/>
  <c r="AQ35" i="4"/>
  <c r="AP35" i="4"/>
  <c r="AO35" i="4"/>
  <c r="AN35" i="4"/>
  <c r="AM35" i="4"/>
  <c r="AL35" i="4"/>
  <c r="AK35" i="4"/>
  <c r="AJ35" i="4"/>
  <c r="AI35" i="4"/>
  <c r="AH35" i="4"/>
  <c r="T35" i="4"/>
  <c r="O35" i="4"/>
  <c r="J35" i="4"/>
  <c r="H35" i="4"/>
  <c r="Y35" i="4" s="1"/>
  <c r="D35" i="4"/>
  <c r="C35" i="4"/>
  <c r="AQ31" i="4"/>
  <c r="AP31" i="4"/>
  <c r="AO31" i="4"/>
  <c r="AN31" i="4"/>
  <c r="AM31" i="4"/>
  <c r="AL31" i="4"/>
  <c r="AK31" i="4"/>
  <c r="AJ31" i="4"/>
  <c r="AI31" i="4"/>
  <c r="AH31" i="4"/>
  <c r="A31" i="4"/>
  <c r="AQ30" i="4"/>
  <c r="AP30" i="4"/>
  <c r="AO30" i="4"/>
  <c r="AN30" i="4"/>
  <c r="AM30" i="4"/>
  <c r="AL30" i="4"/>
  <c r="AK30" i="4"/>
  <c r="AJ30" i="4"/>
  <c r="AI30" i="4"/>
  <c r="AH30" i="4"/>
  <c r="T30" i="4"/>
  <c r="O30" i="4"/>
  <c r="K30" i="4"/>
  <c r="H30" i="4"/>
  <c r="D30" i="4"/>
  <c r="C30" i="4"/>
  <c r="A30" i="4"/>
  <c r="AQ29" i="4"/>
  <c r="AP29" i="4"/>
  <c r="AO29" i="4"/>
  <c r="AN29" i="4"/>
  <c r="AM29" i="4"/>
  <c r="AL29" i="4"/>
  <c r="AK29" i="4"/>
  <c r="AJ29" i="4"/>
  <c r="AI29" i="4"/>
  <c r="AH29" i="4"/>
  <c r="A29" i="4"/>
  <c r="AQ28" i="4"/>
  <c r="AP28" i="4"/>
  <c r="AO28" i="4"/>
  <c r="AN28" i="4"/>
  <c r="AM28" i="4"/>
  <c r="AL28" i="4"/>
  <c r="AK28" i="4"/>
  <c r="AJ28" i="4"/>
  <c r="AI28" i="4"/>
  <c r="AH28" i="4"/>
  <c r="T28" i="4"/>
  <c r="O28" i="4"/>
  <c r="H28" i="4"/>
  <c r="D28" i="4"/>
  <c r="C28" i="4"/>
  <c r="AQ27" i="4"/>
  <c r="AP27" i="4"/>
  <c r="AO27" i="4"/>
  <c r="AN27" i="4"/>
  <c r="AM27" i="4"/>
  <c r="AL27" i="4"/>
  <c r="AK27" i="4"/>
  <c r="AJ27" i="4"/>
  <c r="AI27" i="4"/>
  <c r="AH27" i="4"/>
  <c r="A27" i="4"/>
  <c r="AQ26" i="4"/>
  <c r="AP26" i="4"/>
  <c r="AO26" i="4"/>
  <c r="AN26" i="4"/>
  <c r="AM26" i="4"/>
  <c r="AL26" i="4"/>
  <c r="AK26" i="4"/>
  <c r="AJ26" i="4"/>
  <c r="AI26" i="4"/>
  <c r="AH26" i="4"/>
  <c r="T26" i="4"/>
  <c r="O26" i="4"/>
  <c r="J26" i="4"/>
  <c r="H26" i="4"/>
  <c r="N26" i="4" s="1"/>
  <c r="D26" i="4"/>
  <c r="C26" i="4"/>
  <c r="AQ25" i="4"/>
  <c r="AP25" i="4"/>
  <c r="AO25" i="4"/>
  <c r="AN25" i="4"/>
  <c r="AM25" i="4"/>
  <c r="AL25" i="4"/>
  <c r="AK25" i="4"/>
  <c r="AJ25" i="4"/>
  <c r="AI25" i="4"/>
  <c r="AH25" i="4"/>
  <c r="A25" i="4"/>
  <c r="AQ24" i="4"/>
  <c r="AP24" i="4"/>
  <c r="AO24" i="4"/>
  <c r="AN24" i="4"/>
  <c r="AM24" i="4"/>
  <c r="AL24" i="4"/>
  <c r="AK24" i="4"/>
  <c r="AJ24" i="4"/>
  <c r="AI24" i="4"/>
  <c r="AH24" i="4"/>
  <c r="T24" i="4"/>
  <c r="O24" i="4"/>
  <c r="J24" i="4"/>
  <c r="H24" i="4"/>
  <c r="D24" i="4"/>
  <c r="C24" i="4"/>
  <c r="AQ23" i="4"/>
  <c r="AP23" i="4"/>
  <c r="AO23" i="4"/>
  <c r="AN23" i="4"/>
  <c r="AM23" i="4"/>
  <c r="AL23" i="4"/>
  <c r="AK23" i="4"/>
  <c r="AJ23" i="4"/>
  <c r="AI23" i="4"/>
  <c r="AH23" i="4"/>
  <c r="AQ22" i="4"/>
  <c r="AP22" i="4"/>
  <c r="AO22" i="4"/>
  <c r="AN22" i="4"/>
  <c r="AM22" i="4"/>
  <c r="AL22" i="4"/>
  <c r="AK22" i="4"/>
  <c r="AJ22" i="4"/>
  <c r="AI22" i="4"/>
  <c r="AH22" i="4"/>
  <c r="T22" i="4"/>
  <c r="O22" i="4"/>
  <c r="J22" i="4"/>
  <c r="H22" i="4"/>
  <c r="D22" i="4"/>
  <c r="C22" i="4"/>
  <c r="AQ21" i="4"/>
  <c r="AP21" i="4"/>
  <c r="AO21" i="4"/>
  <c r="AN21" i="4"/>
  <c r="AM21" i="4"/>
  <c r="AL21" i="4"/>
  <c r="AK21" i="4"/>
  <c r="AJ21" i="4"/>
  <c r="AI21" i="4"/>
  <c r="AH21" i="4"/>
  <c r="AQ20" i="4"/>
  <c r="AP20" i="4"/>
  <c r="AO20" i="4"/>
  <c r="AN20" i="4"/>
  <c r="AM20" i="4"/>
  <c r="AL20" i="4"/>
  <c r="AK20" i="4"/>
  <c r="AJ20" i="4"/>
  <c r="AI20" i="4"/>
  <c r="AH20" i="4"/>
  <c r="T20" i="4"/>
  <c r="O20" i="4"/>
  <c r="K20" i="4"/>
  <c r="J20" i="4"/>
  <c r="H20" i="4"/>
  <c r="Q20" i="4" s="1"/>
  <c r="D20" i="4"/>
  <c r="C20" i="4"/>
  <c r="AQ19" i="4"/>
  <c r="AP19" i="4"/>
  <c r="AO19" i="4"/>
  <c r="AN19" i="4"/>
  <c r="AM19" i="4"/>
  <c r="AL19" i="4"/>
  <c r="AK19" i="4"/>
  <c r="AJ19" i="4"/>
  <c r="AI19" i="4"/>
  <c r="AH19" i="4"/>
  <c r="AQ18" i="4"/>
  <c r="AP18" i="4"/>
  <c r="AO18" i="4"/>
  <c r="AN18" i="4"/>
  <c r="AM18" i="4"/>
  <c r="AL18" i="4"/>
  <c r="AK18" i="4"/>
  <c r="AJ18" i="4"/>
  <c r="AI18" i="4"/>
  <c r="AH18" i="4"/>
  <c r="T18" i="4"/>
  <c r="O18" i="4"/>
  <c r="K18" i="4"/>
  <c r="J18" i="4"/>
  <c r="H18" i="4"/>
  <c r="D18" i="4"/>
  <c r="C18" i="4"/>
  <c r="AQ17" i="4"/>
  <c r="AP17" i="4"/>
  <c r="AO17" i="4"/>
  <c r="AN17" i="4"/>
  <c r="AM17" i="4"/>
  <c r="AL17" i="4"/>
  <c r="AK17" i="4"/>
  <c r="AJ17" i="4"/>
  <c r="AI17" i="4"/>
  <c r="AH17" i="4"/>
  <c r="AQ16" i="4"/>
  <c r="AP16" i="4"/>
  <c r="AO16" i="4"/>
  <c r="AN16" i="4"/>
  <c r="AM16" i="4"/>
  <c r="AL16" i="4"/>
  <c r="AK16" i="4"/>
  <c r="AJ16" i="4"/>
  <c r="AI16" i="4"/>
  <c r="AH16" i="4"/>
  <c r="T16" i="4"/>
  <c r="O16" i="4"/>
  <c r="K16" i="4"/>
  <c r="J16" i="4"/>
  <c r="H16" i="4"/>
  <c r="L16" i="4" s="1"/>
  <c r="M16" i="4" s="1"/>
  <c r="D16" i="4"/>
  <c r="C16" i="4"/>
  <c r="AQ15" i="4"/>
  <c r="AP15" i="4"/>
  <c r="AO15" i="4"/>
  <c r="AN15" i="4"/>
  <c r="AM15" i="4"/>
  <c r="AL15" i="4"/>
  <c r="AK15" i="4"/>
  <c r="AJ15" i="4"/>
  <c r="AI15" i="4"/>
  <c r="AH15" i="4"/>
  <c r="AQ14" i="4"/>
  <c r="AP14" i="4"/>
  <c r="AO14" i="4"/>
  <c r="AN14" i="4"/>
  <c r="AM14" i="4"/>
  <c r="AL14" i="4"/>
  <c r="AK14" i="4"/>
  <c r="AJ14" i="4"/>
  <c r="AI14" i="4"/>
  <c r="AH14" i="4"/>
  <c r="T14" i="4"/>
  <c r="O14" i="4"/>
  <c r="K14" i="4"/>
  <c r="J14" i="4"/>
  <c r="H14" i="4"/>
  <c r="Q14" i="4" s="1"/>
  <c r="D14" i="4"/>
  <c r="C14" i="4"/>
  <c r="AQ13" i="4"/>
  <c r="AP13" i="4"/>
  <c r="AO13" i="4"/>
  <c r="AN13" i="4"/>
  <c r="AM13" i="4"/>
  <c r="AL13" i="4"/>
  <c r="AK13" i="4"/>
  <c r="AJ13" i="4"/>
  <c r="AI13" i="4"/>
  <c r="AH13" i="4"/>
  <c r="AQ12" i="4"/>
  <c r="AP12" i="4"/>
  <c r="AO12" i="4"/>
  <c r="AN12" i="4"/>
  <c r="AM12" i="4"/>
  <c r="AL12" i="4"/>
  <c r="AK12" i="4"/>
  <c r="AJ12" i="4"/>
  <c r="AI12" i="4"/>
  <c r="AH12" i="4"/>
  <c r="T12" i="4"/>
  <c r="O12" i="4"/>
  <c r="J12" i="4"/>
  <c r="H12" i="4"/>
  <c r="D12" i="4"/>
  <c r="C12" i="4"/>
  <c r="AQ11" i="4"/>
  <c r="AP11" i="4"/>
  <c r="AO11" i="4"/>
  <c r="AN11" i="4"/>
  <c r="AM11" i="4"/>
  <c r="AL11" i="4"/>
  <c r="AK11" i="4"/>
  <c r="AJ11" i="4"/>
  <c r="AI11" i="4"/>
  <c r="AH11" i="4"/>
  <c r="A11" i="4"/>
  <c r="A13" i="4" s="1"/>
  <c r="AQ10" i="4"/>
  <c r="AP10" i="4"/>
  <c r="AO10" i="4"/>
  <c r="AN10" i="4"/>
  <c r="AM10" i="4"/>
  <c r="AL10" i="4"/>
  <c r="AK10" i="4"/>
  <c r="AJ10" i="4"/>
  <c r="AI10" i="4"/>
  <c r="AH10" i="4"/>
  <c r="T10" i="4"/>
  <c r="O10" i="4"/>
  <c r="J10" i="4"/>
  <c r="H10" i="4"/>
  <c r="D10" i="4"/>
  <c r="C10" i="4"/>
  <c r="AQ9" i="4"/>
  <c r="AP9" i="4"/>
  <c r="AO9" i="4"/>
  <c r="AN9" i="4"/>
  <c r="AM9" i="4"/>
  <c r="AL9" i="4"/>
  <c r="AK9" i="4"/>
  <c r="AJ9" i="4"/>
  <c r="AI9" i="4"/>
  <c r="AH9" i="4"/>
  <c r="A9" i="4"/>
  <c r="AQ8" i="4"/>
  <c r="AP8" i="4"/>
  <c r="AO8" i="4"/>
  <c r="AN8" i="4"/>
  <c r="AM8" i="4"/>
  <c r="AL8" i="4"/>
  <c r="AK8" i="4"/>
  <c r="AJ8" i="4"/>
  <c r="AI8" i="4"/>
  <c r="AH8" i="4"/>
  <c r="T8" i="4"/>
  <c r="O8" i="4"/>
  <c r="J8" i="4"/>
  <c r="H8" i="4"/>
  <c r="D8" i="4"/>
  <c r="C8" i="4"/>
  <c r="AQ7" i="4"/>
  <c r="AP7" i="4"/>
  <c r="AO7" i="4"/>
  <c r="AN7" i="4"/>
  <c r="AM7" i="4"/>
  <c r="AL7" i="4"/>
  <c r="AK7" i="4"/>
  <c r="AJ7" i="4"/>
  <c r="AI7" i="4"/>
  <c r="AH7" i="4"/>
  <c r="A7" i="4"/>
  <c r="AQ6" i="4"/>
  <c r="AP6" i="4"/>
  <c r="AO6" i="4"/>
  <c r="AN6" i="4"/>
  <c r="AM6" i="4"/>
  <c r="AL6" i="4"/>
  <c r="AK6" i="4"/>
  <c r="AJ6" i="4"/>
  <c r="AI6" i="4"/>
  <c r="AH6" i="4"/>
  <c r="T6" i="4"/>
  <c r="O6" i="4"/>
  <c r="K6" i="4"/>
  <c r="J6" i="4"/>
  <c r="H6" i="4"/>
  <c r="D6" i="4"/>
  <c r="C6" i="4"/>
  <c r="A6" i="4"/>
  <c r="A8" i="4" s="1"/>
  <c r="A10" i="4" s="1"/>
  <c r="A12" i="4" s="1"/>
  <c r="A14" i="4" s="1"/>
  <c r="A16" i="4" s="1"/>
  <c r="A18" i="4" s="1"/>
  <c r="A20" i="4" s="1"/>
  <c r="A22" i="4" s="1"/>
  <c r="A24" i="4" s="1"/>
  <c r="A26" i="4" s="1"/>
  <c r="A28" i="4" s="1"/>
  <c r="AQ5" i="4"/>
  <c r="AP5" i="4"/>
  <c r="AO5" i="4"/>
  <c r="AN5" i="4"/>
  <c r="AM5" i="4"/>
  <c r="AL5" i="4"/>
  <c r="AK5" i="4"/>
  <c r="AJ5" i="4"/>
  <c r="AI5" i="4"/>
  <c r="AH5" i="4"/>
  <c r="AQ4" i="4"/>
  <c r="AP4" i="4"/>
  <c r="AO4" i="4"/>
  <c r="AN4" i="4"/>
  <c r="AM4" i="4"/>
  <c r="AL4" i="4"/>
  <c r="AK4" i="4"/>
  <c r="AJ4" i="4"/>
  <c r="AI4" i="4"/>
  <c r="AH4" i="4"/>
  <c r="T4" i="4"/>
  <c r="O4" i="4"/>
  <c r="J4" i="4"/>
  <c r="H4" i="4"/>
  <c r="D4" i="4"/>
  <c r="C4" i="4"/>
  <c r="Q114" i="3"/>
  <c r="P114" i="3"/>
  <c r="N114" i="3"/>
  <c r="O114" i="3" s="1"/>
  <c r="M114" i="3"/>
  <c r="D114" i="3"/>
  <c r="C114" i="3"/>
  <c r="Q113" i="3"/>
  <c r="P113" i="3"/>
  <c r="N113" i="3"/>
  <c r="O113" i="3" s="1"/>
  <c r="M113" i="3"/>
  <c r="D113" i="3"/>
  <c r="C113" i="3"/>
  <c r="Q112" i="3"/>
  <c r="P112" i="3"/>
  <c r="N112" i="3"/>
  <c r="O112" i="3" s="1"/>
  <c r="M112" i="3"/>
  <c r="D112" i="3"/>
  <c r="C112" i="3"/>
  <c r="Q111" i="3"/>
  <c r="P111" i="3"/>
  <c r="O111" i="3"/>
  <c r="N111" i="3"/>
  <c r="M111" i="3"/>
  <c r="D111" i="3"/>
  <c r="C111" i="3"/>
  <c r="Q110" i="3"/>
  <c r="P110" i="3"/>
  <c r="N110" i="3"/>
  <c r="O110" i="3" s="1"/>
  <c r="M110" i="3"/>
  <c r="D110" i="3"/>
  <c r="C110" i="3"/>
  <c r="Q109" i="3"/>
  <c r="P109" i="3"/>
  <c r="L109" i="3"/>
  <c r="N109" i="3" s="1"/>
  <c r="D109" i="3"/>
  <c r="C109" i="3"/>
  <c r="Q108" i="3"/>
  <c r="P108" i="3"/>
  <c r="N108" i="3"/>
  <c r="M108" i="3"/>
  <c r="O108" i="3" s="1"/>
  <c r="L108" i="3"/>
  <c r="D108" i="3"/>
  <c r="C108" i="3"/>
  <c r="Q107" i="3"/>
  <c r="P107" i="3"/>
  <c r="O107" i="3"/>
  <c r="N107" i="3"/>
  <c r="M107" i="3"/>
  <c r="L107" i="3"/>
  <c r="D107" i="3"/>
  <c r="C107" i="3"/>
  <c r="Q106" i="3"/>
  <c r="P106" i="3"/>
  <c r="N106" i="3"/>
  <c r="M106" i="3"/>
  <c r="D106" i="3"/>
  <c r="C106" i="3"/>
  <c r="Q105" i="3"/>
  <c r="P105" i="3"/>
  <c r="O105" i="3"/>
  <c r="N105" i="3"/>
  <c r="K105" i="3"/>
  <c r="D105" i="3"/>
  <c r="C105" i="3"/>
  <c r="Q104" i="3"/>
  <c r="P104" i="3"/>
  <c r="N104" i="3"/>
  <c r="L104" i="3"/>
  <c r="M104" i="3" s="1"/>
  <c r="D104" i="3"/>
  <c r="C104" i="3"/>
  <c r="Q103" i="3"/>
  <c r="P103" i="3"/>
  <c r="N103" i="3"/>
  <c r="O103" i="3" s="1"/>
  <c r="M103" i="3"/>
  <c r="D103" i="3"/>
  <c r="C103" i="3"/>
  <c r="Q102" i="3"/>
  <c r="P102" i="3"/>
  <c r="L102" i="3"/>
  <c r="N102" i="3" s="1"/>
  <c r="D102" i="3"/>
  <c r="C102" i="3"/>
  <c r="Q101" i="3"/>
  <c r="P101" i="3"/>
  <c r="O101" i="3"/>
  <c r="N101" i="3"/>
  <c r="M101" i="3"/>
  <c r="L101" i="3"/>
  <c r="K101" i="3"/>
  <c r="D101" i="3"/>
  <c r="C101" i="3"/>
  <c r="Q100" i="3"/>
  <c r="N100" i="3"/>
  <c r="M100" i="3"/>
  <c r="L100" i="3"/>
  <c r="K100" i="3"/>
  <c r="P100" i="3" s="1"/>
  <c r="D100" i="3"/>
  <c r="C100" i="3"/>
  <c r="Q99" i="3"/>
  <c r="N99" i="3"/>
  <c r="K99" i="3"/>
  <c r="P99" i="3" s="1"/>
  <c r="D99" i="3"/>
  <c r="C99" i="3"/>
  <c r="Q98" i="3"/>
  <c r="N98" i="3"/>
  <c r="K98" i="3"/>
  <c r="D98" i="3"/>
  <c r="C98" i="3"/>
  <c r="Q97" i="3"/>
  <c r="P97" i="3"/>
  <c r="K97" i="3"/>
  <c r="L97" i="3" s="1"/>
  <c r="D97" i="3"/>
  <c r="C97" i="3"/>
  <c r="Q96" i="3"/>
  <c r="P96" i="3"/>
  <c r="N96" i="3"/>
  <c r="M96" i="3"/>
  <c r="L96" i="3"/>
  <c r="D96" i="3"/>
  <c r="C96" i="3"/>
  <c r="Q95" i="3"/>
  <c r="N95" i="3"/>
  <c r="M95" i="3"/>
  <c r="K95" i="3"/>
  <c r="P95" i="3" s="1"/>
  <c r="D95" i="3"/>
  <c r="C95" i="3"/>
  <c r="Q94" i="3"/>
  <c r="N94" i="3"/>
  <c r="K94" i="3"/>
  <c r="P94" i="3" s="1"/>
  <c r="D94" i="3"/>
  <c r="C94" i="3"/>
  <c r="Q93" i="3"/>
  <c r="P93" i="3"/>
  <c r="N93" i="3"/>
  <c r="O93" i="3" s="1"/>
  <c r="M93" i="3"/>
  <c r="D93" i="3"/>
  <c r="C93" i="3"/>
  <c r="Q92" i="3"/>
  <c r="P92" i="3"/>
  <c r="L92" i="3"/>
  <c r="N92" i="3" s="1"/>
  <c r="D92" i="3"/>
  <c r="C92" i="3"/>
  <c r="Q91" i="3"/>
  <c r="P91" i="3"/>
  <c r="O91" i="3"/>
  <c r="N91" i="3"/>
  <c r="M91" i="3"/>
  <c r="D91" i="3"/>
  <c r="C91" i="3"/>
  <c r="Q90" i="3"/>
  <c r="P90" i="3"/>
  <c r="N90" i="3"/>
  <c r="O90" i="3" s="1"/>
  <c r="M90" i="3"/>
  <c r="D90" i="3"/>
  <c r="C90" i="3"/>
  <c r="Q89" i="3"/>
  <c r="P89" i="3"/>
  <c r="O89" i="3"/>
  <c r="N89" i="3"/>
  <c r="M89" i="3"/>
  <c r="D89" i="3"/>
  <c r="C89" i="3"/>
  <c r="Q88" i="3"/>
  <c r="P88" i="3"/>
  <c r="N88" i="3"/>
  <c r="O88" i="3" s="1"/>
  <c r="M88" i="3"/>
  <c r="D88" i="3"/>
  <c r="C88" i="3"/>
  <c r="Q87" i="3"/>
  <c r="P87" i="3"/>
  <c r="N87" i="3"/>
  <c r="O87" i="3" s="1"/>
  <c r="M87" i="3"/>
  <c r="D87" i="3"/>
  <c r="C87" i="3"/>
  <c r="Q86" i="3"/>
  <c r="P86" i="3"/>
  <c r="N86" i="3"/>
  <c r="L86" i="3"/>
  <c r="D86" i="3"/>
  <c r="C86" i="3"/>
  <c r="Q85" i="3"/>
  <c r="P85" i="3"/>
  <c r="N85" i="3"/>
  <c r="M85" i="3"/>
  <c r="D85" i="3"/>
  <c r="C85" i="3"/>
  <c r="Q84" i="3"/>
  <c r="P84" i="3"/>
  <c r="N84" i="3"/>
  <c r="O84" i="3" s="1"/>
  <c r="M84" i="3"/>
  <c r="D84" i="3"/>
  <c r="C84" i="3"/>
  <c r="Q83" i="3"/>
  <c r="P83" i="3"/>
  <c r="O83" i="3"/>
  <c r="N83" i="3"/>
  <c r="M83" i="3"/>
  <c r="D83" i="3"/>
  <c r="C83" i="3"/>
  <c r="Q82" i="3"/>
  <c r="P82" i="3"/>
  <c r="N82" i="3"/>
  <c r="O82" i="3" s="1"/>
  <c r="M82" i="3"/>
  <c r="D82" i="3"/>
  <c r="C82" i="3"/>
  <c r="Q81" i="3"/>
  <c r="P81" i="3"/>
  <c r="N81" i="3"/>
  <c r="O81" i="3" s="1"/>
  <c r="M81" i="3"/>
  <c r="D81" i="3"/>
  <c r="C81" i="3"/>
  <c r="Q80" i="3"/>
  <c r="P80" i="3"/>
  <c r="N80" i="3"/>
  <c r="M80" i="3"/>
  <c r="D80" i="3"/>
  <c r="C80" i="3"/>
  <c r="Q79" i="3"/>
  <c r="P79" i="3"/>
  <c r="O79" i="3"/>
  <c r="N79" i="3"/>
  <c r="M79" i="3"/>
  <c r="D79" i="3"/>
  <c r="C79" i="3"/>
  <c r="Q78" i="3"/>
  <c r="P78" i="3"/>
  <c r="N78" i="3"/>
  <c r="O78" i="3" s="1"/>
  <c r="M78" i="3"/>
  <c r="D78" i="3"/>
  <c r="C78" i="3"/>
  <c r="Q77" i="3"/>
  <c r="P77" i="3"/>
  <c r="O77" i="3"/>
  <c r="N77" i="3"/>
  <c r="M77" i="3"/>
  <c r="D77" i="3"/>
  <c r="C77" i="3"/>
  <c r="AZ73" i="3"/>
  <c r="AD73" i="3"/>
  <c r="BB62" i="3"/>
  <c r="BA62" i="3"/>
  <c r="AZ62" i="3"/>
  <c r="AY62" i="3"/>
  <c r="AL62" i="3"/>
  <c r="N62" i="3"/>
  <c r="M62" i="3"/>
  <c r="L62" i="3"/>
  <c r="K62" i="3"/>
  <c r="M55" i="3"/>
  <c r="A52" i="3"/>
  <c r="V51" i="3"/>
  <c r="Q51" i="3"/>
  <c r="M51" i="3"/>
  <c r="J51" i="3"/>
  <c r="AA51" i="3" s="1"/>
  <c r="D51" i="3"/>
  <c r="C51" i="3"/>
  <c r="A50" i="3"/>
  <c r="V49" i="3"/>
  <c r="Q49" i="3"/>
  <c r="M49" i="3"/>
  <c r="J49" i="3"/>
  <c r="U49" i="3" s="1"/>
  <c r="D49" i="3"/>
  <c r="C49" i="3"/>
  <c r="A48" i="3"/>
  <c r="V47" i="3"/>
  <c r="Q47" i="3"/>
  <c r="M47" i="3"/>
  <c r="J47" i="3"/>
  <c r="D47" i="3"/>
  <c r="C47" i="3"/>
  <c r="A46" i="3"/>
  <c r="V45" i="3"/>
  <c r="Q45" i="3"/>
  <c r="L45" i="3"/>
  <c r="M45" i="3" s="1"/>
  <c r="J45" i="3"/>
  <c r="AA45" i="3" s="1"/>
  <c r="D45" i="3"/>
  <c r="C45" i="3"/>
  <c r="V43" i="3"/>
  <c r="Q43" i="3"/>
  <c r="L43" i="3"/>
  <c r="J43" i="3"/>
  <c r="D43" i="3"/>
  <c r="C43" i="3"/>
  <c r="V41" i="3"/>
  <c r="Q41" i="3"/>
  <c r="M41" i="3"/>
  <c r="K41" i="3"/>
  <c r="J41" i="3"/>
  <c r="U41" i="3" s="1"/>
  <c r="D41" i="3"/>
  <c r="C41" i="3"/>
  <c r="V39" i="3"/>
  <c r="Q39" i="3"/>
  <c r="M39" i="3"/>
  <c r="K39" i="3"/>
  <c r="J39" i="3"/>
  <c r="D39" i="3"/>
  <c r="C39" i="3"/>
  <c r="V37" i="3"/>
  <c r="Q37" i="3"/>
  <c r="L37" i="3"/>
  <c r="J37" i="3"/>
  <c r="D37" i="3"/>
  <c r="C37" i="3"/>
  <c r="V35" i="3"/>
  <c r="Q35" i="3"/>
  <c r="L35" i="3"/>
  <c r="J35" i="3"/>
  <c r="D35" i="3"/>
  <c r="C35" i="3"/>
  <c r="A34" i="3"/>
  <c r="A36" i="3" s="1"/>
  <c r="A38" i="3" s="1"/>
  <c r="A40" i="3" s="1"/>
  <c r="A42" i="3" s="1"/>
  <c r="A44" i="3" s="1"/>
  <c r="V33" i="3"/>
  <c r="Q33" i="3"/>
  <c r="M33" i="3"/>
  <c r="L33" i="3"/>
  <c r="J33" i="3"/>
  <c r="P33" i="3" s="1"/>
  <c r="D33" i="3"/>
  <c r="C33" i="3"/>
  <c r="A32" i="3"/>
  <c r="V31" i="3"/>
  <c r="Q31" i="3"/>
  <c r="L31" i="3"/>
  <c r="M31" i="3" s="1"/>
  <c r="J31" i="3"/>
  <c r="U31" i="3" s="1"/>
  <c r="D31" i="3"/>
  <c r="C31" i="3"/>
  <c r="A30" i="3"/>
  <c r="V29" i="3"/>
  <c r="Q29" i="3"/>
  <c r="M29" i="3"/>
  <c r="L29" i="3"/>
  <c r="J29" i="3"/>
  <c r="D29" i="3"/>
  <c r="C29" i="3"/>
  <c r="V27" i="3"/>
  <c r="Q27" i="3"/>
  <c r="L27" i="3"/>
  <c r="M27" i="3" s="1"/>
  <c r="K27" i="3"/>
  <c r="J27" i="3"/>
  <c r="P27" i="3" s="1"/>
  <c r="D27" i="3"/>
  <c r="C27" i="3"/>
  <c r="A26" i="3"/>
  <c r="A28" i="3" s="1"/>
  <c r="V25" i="3"/>
  <c r="Q25" i="3"/>
  <c r="M25" i="3"/>
  <c r="L25" i="3"/>
  <c r="K25" i="3"/>
  <c r="J25" i="3"/>
  <c r="D25" i="3"/>
  <c r="C25" i="3"/>
  <c r="V23" i="3"/>
  <c r="Q23" i="3"/>
  <c r="L23" i="3"/>
  <c r="K23" i="3"/>
  <c r="J23" i="3"/>
  <c r="D23" i="3"/>
  <c r="C23" i="3"/>
  <c r="V21" i="3"/>
  <c r="Q21" i="3"/>
  <c r="L21" i="3"/>
  <c r="J21" i="3"/>
  <c r="N21" i="3" s="1"/>
  <c r="D21" i="3"/>
  <c r="C21" i="3"/>
  <c r="V19" i="3"/>
  <c r="Q19" i="3"/>
  <c r="L19" i="3"/>
  <c r="J19" i="3"/>
  <c r="S19" i="3" s="1"/>
  <c r="D19" i="3"/>
  <c r="C19" i="3"/>
  <c r="V17" i="3"/>
  <c r="Q17" i="3"/>
  <c r="M17" i="3"/>
  <c r="L17" i="3"/>
  <c r="J17" i="3"/>
  <c r="U17" i="3" s="1"/>
  <c r="D17" i="3"/>
  <c r="C17" i="3"/>
  <c r="V15" i="3"/>
  <c r="Q15" i="3"/>
  <c r="L15" i="3"/>
  <c r="M15" i="3" s="1"/>
  <c r="J15" i="3"/>
  <c r="U15" i="3" s="1"/>
  <c r="D15" i="3"/>
  <c r="C15" i="3"/>
  <c r="A14" i="3"/>
  <c r="A16" i="3" s="1"/>
  <c r="V13" i="3"/>
  <c r="Q13" i="3"/>
  <c r="L13" i="3"/>
  <c r="M13" i="3" s="1"/>
  <c r="J13" i="3"/>
  <c r="W13" i="3" s="1"/>
  <c r="D13" i="3"/>
  <c r="C13" i="3"/>
  <c r="A12" i="3"/>
  <c r="V11" i="3"/>
  <c r="Q11" i="3"/>
  <c r="L11" i="3"/>
  <c r="M11" i="3" s="1"/>
  <c r="J11" i="3"/>
  <c r="D11" i="3"/>
  <c r="C11" i="3"/>
  <c r="V9" i="3"/>
  <c r="Q9" i="3"/>
  <c r="M9" i="3"/>
  <c r="J9" i="3"/>
  <c r="D9" i="3"/>
  <c r="C9" i="3"/>
  <c r="S8" i="3"/>
  <c r="V7" i="3"/>
  <c r="Q7" i="3"/>
  <c r="M7" i="3"/>
  <c r="L7" i="3"/>
  <c r="J7" i="3"/>
  <c r="D7" i="3"/>
  <c r="C7" i="3"/>
  <c r="A7" i="3"/>
  <c r="A9" i="3" s="1"/>
  <c r="A11" i="3" s="1"/>
  <c r="A13" i="3" s="1"/>
  <c r="A15" i="3" s="1"/>
  <c r="A17" i="3" s="1"/>
  <c r="A19" i="3" s="1"/>
  <c r="A21" i="3" s="1"/>
  <c r="A23" i="3" s="1"/>
  <c r="A25" i="3" s="1"/>
  <c r="A27" i="3" s="1"/>
  <c r="A29" i="3" s="1"/>
  <c r="S6" i="3"/>
  <c r="V5" i="3"/>
  <c r="Q5" i="3"/>
  <c r="L5" i="3"/>
  <c r="M5" i="3" s="1"/>
  <c r="J5" i="3"/>
  <c r="N5" i="3" s="1"/>
  <c r="D5" i="3"/>
  <c r="C5" i="3"/>
  <c r="A5" i="3"/>
  <c r="S4" i="3"/>
  <c r="A4" i="3"/>
  <c r="A6" i="3" s="1"/>
  <c r="A8" i="3" s="1"/>
  <c r="A10" i="3" s="1"/>
  <c r="V3" i="3"/>
  <c r="Q3" i="3"/>
  <c r="M3" i="3"/>
  <c r="L3" i="3"/>
  <c r="J3" i="3"/>
  <c r="P3" i="3" s="1"/>
  <c r="D3" i="3"/>
  <c r="C3" i="3"/>
  <c r="W39" i="3" l="1"/>
  <c r="V12" i="4"/>
  <c r="W19" i="3"/>
  <c r="Y25" i="3"/>
  <c r="W30" i="4"/>
  <c r="AA37" i="3"/>
  <c r="Q35" i="6"/>
  <c r="AA43" i="3"/>
  <c r="N8" i="6"/>
  <c r="M14" i="6"/>
  <c r="W43" i="3"/>
  <c r="U37" i="3"/>
  <c r="L14" i="4"/>
  <c r="M14" i="4" s="1"/>
  <c r="Q48" i="6"/>
  <c r="N50" i="6"/>
  <c r="P14" i="6"/>
  <c r="O50" i="6"/>
  <c r="Q50" i="6"/>
  <c r="Y6" i="4"/>
  <c r="P50" i="6"/>
  <c r="N39" i="4"/>
  <c r="AA19" i="3"/>
  <c r="Y7" i="3"/>
  <c r="X11" i="3"/>
  <c r="P5" i="5"/>
  <c r="N9" i="5"/>
  <c r="Z43" i="3"/>
  <c r="N14" i="6"/>
  <c r="L8" i="4"/>
  <c r="X23" i="3"/>
  <c r="P5" i="3"/>
  <c r="J5" i="5"/>
  <c r="O6" i="6"/>
  <c r="M6" i="6"/>
  <c r="AA9" i="3"/>
  <c r="U10" i="4"/>
  <c r="N5" i="5"/>
  <c r="W5" i="3"/>
  <c r="V41" i="4"/>
  <c r="W45" i="4"/>
  <c r="N6" i="6"/>
  <c r="Q44" i="6"/>
  <c r="L6" i="4"/>
  <c r="M6" i="4" s="1"/>
  <c r="Y20" i="4"/>
  <c r="Q22" i="6"/>
  <c r="W29" i="3"/>
  <c r="Z35" i="3"/>
  <c r="W49" i="3"/>
  <c r="N6" i="4"/>
  <c r="X28" i="4"/>
  <c r="V35" i="4"/>
  <c r="O5" i="5"/>
  <c r="Z47" i="3"/>
  <c r="O29" i="6"/>
  <c r="O33" i="6"/>
  <c r="X16" i="4"/>
  <c r="S20" i="4"/>
  <c r="Y22" i="4"/>
  <c r="P9" i="5"/>
  <c r="P42" i="6"/>
  <c r="U3" i="3"/>
  <c r="Y41" i="3"/>
  <c r="Y14" i="4"/>
  <c r="U20" i="4"/>
  <c r="X30" i="4"/>
  <c r="S27" i="3"/>
  <c r="N33" i="3"/>
  <c r="O33" i="3" s="1"/>
  <c r="Y47" i="3"/>
  <c r="W16" i="4"/>
  <c r="W18" i="4"/>
  <c r="W26" i="4"/>
  <c r="M12" i="6"/>
  <c r="M50" i="6"/>
  <c r="U27" i="3"/>
  <c r="X49" i="3"/>
  <c r="S6" i="4"/>
  <c r="L18" i="4"/>
  <c r="M18" i="4" s="1"/>
  <c r="V20" i="4"/>
  <c r="Y30" i="4"/>
  <c r="P29" i="6"/>
  <c r="P35" i="6"/>
  <c r="N44" i="6"/>
  <c r="U30" i="4"/>
  <c r="Q29" i="6"/>
  <c r="O44" i="6"/>
  <c r="Z23" i="3"/>
  <c r="X33" i="3"/>
  <c r="Y49" i="3"/>
  <c r="V30" i="4"/>
  <c r="N12" i="6"/>
  <c r="O35" i="6"/>
  <c r="P44" i="6"/>
  <c r="AA23" i="3"/>
  <c r="Y33" i="3"/>
  <c r="Y4" i="4"/>
  <c r="N14" i="4"/>
  <c r="L20" i="4"/>
  <c r="M20" i="4" s="1"/>
  <c r="Y26" i="4"/>
  <c r="U35" i="4"/>
  <c r="I4" i="6"/>
  <c r="S41" i="3"/>
  <c r="P49" i="3"/>
  <c r="Q39" i="4"/>
  <c r="X41" i="4"/>
  <c r="O12" i="6"/>
  <c r="P20" i="6"/>
  <c r="Q25" i="6"/>
  <c r="S9" i="3"/>
  <c r="U11" i="3"/>
  <c r="AA31" i="3"/>
  <c r="N20" i="4"/>
  <c r="K25" i="6"/>
  <c r="O42" i="6"/>
  <c r="Z45" i="3"/>
  <c r="S49" i="3"/>
  <c r="N20" i="6"/>
  <c r="I42" i="6"/>
  <c r="Z11" i="3"/>
  <c r="W35" i="4"/>
  <c r="O9" i="5"/>
  <c r="K6" i="6"/>
  <c r="N25" i="6"/>
  <c r="W37" i="4"/>
  <c r="P33" i="6"/>
  <c r="X19" i="3"/>
  <c r="S21" i="3"/>
  <c r="L4" i="4"/>
  <c r="Q6" i="4"/>
  <c r="L12" i="4"/>
  <c r="L22" i="4"/>
  <c r="M22" i="4" s="1"/>
  <c r="S39" i="4"/>
  <c r="L45" i="4"/>
  <c r="M45" i="4" s="1"/>
  <c r="M5" i="5"/>
  <c r="Q5" i="5"/>
  <c r="O14" i="6"/>
  <c r="M25" i="6"/>
  <c r="I33" i="6"/>
  <c r="Z7" i="3"/>
  <c r="P25" i="3"/>
  <c r="N29" i="3"/>
  <c r="O29" i="3" s="1"/>
  <c r="W35" i="3"/>
  <c r="N51" i="3"/>
  <c r="O51" i="3" s="1"/>
  <c r="N4" i="4"/>
  <c r="N12" i="4"/>
  <c r="N22" i="4"/>
  <c r="Y45" i="4"/>
  <c r="O8" i="6"/>
  <c r="K33" i="6"/>
  <c r="Q33" i="6"/>
  <c r="N7" i="3"/>
  <c r="O7" i="3" s="1"/>
  <c r="AA11" i="3"/>
  <c r="N17" i="3"/>
  <c r="O17" i="3" s="1"/>
  <c r="X21" i="3"/>
  <c r="P23" i="3"/>
  <c r="P29" i="3"/>
  <c r="N43" i="3"/>
  <c r="O43" i="3" s="1"/>
  <c r="U47" i="3"/>
  <c r="P51" i="3"/>
  <c r="S14" i="4"/>
  <c r="V18" i="4"/>
  <c r="L28" i="4"/>
  <c r="M28" i="4" s="1"/>
  <c r="Q37" i="4"/>
  <c r="U39" i="4"/>
  <c r="L41" i="4"/>
  <c r="M41" i="4" s="1"/>
  <c r="P8" i="6"/>
  <c r="Q14" i="6"/>
  <c r="P16" i="6"/>
  <c r="P7" i="3"/>
  <c r="X15" i="3"/>
  <c r="P17" i="3"/>
  <c r="Y19" i="3"/>
  <c r="N23" i="3"/>
  <c r="U25" i="3"/>
  <c r="Z39" i="3"/>
  <c r="P43" i="3"/>
  <c r="AA49" i="3"/>
  <c r="Q4" i="4"/>
  <c r="Y8" i="4"/>
  <c r="Q12" i="4"/>
  <c r="Y16" i="4"/>
  <c r="X18" i="4"/>
  <c r="Q22" i="4"/>
  <c r="S37" i="4"/>
  <c r="N41" i="4"/>
  <c r="V45" i="4"/>
  <c r="Q7" i="5"/>
  <c r="J9" i="5"/>
  <c r="Q9" i="5"/>
  <c r="Q8" i="6"/>
  <c r="P12" i="6"/>
  <c r="M33" i="6"/>
  <c r="Q42" i="6"/>
  <c r="I48" i="6"/>
  <c r="N19" i="3"/>
  <c r="O19" i="3" s="1"/>
  <c r="Z19" i="3"/>
  <c r="S29" i="3"/>
  <c r="S51" i="3"/>
  <c r="S4" i="4"/>
  <c r="U6" i="4"/>
  <c r="S12" i="4"/>
  <c r="U14" i="4"/>
  <c r="Y18" i="4"/>
  <c r="S22" i="4"/>
  <c r="V39" i="4"/>
  <c r="X45" i="4"/>
  <c r="I12" i="6"/>
  <c r="Q16" i="6"/>
  <c r="Q20" i="6"/>
  <c r="M27" i="6"/>
  <c r="Q27" i="6"/>
  <c r="N33" i="6"/>
  <c r="M42" i="6"/>
  <c r="S7" i="3"/>
  <c r="S23" i="3"/>
  <c r="U29" i="3"/>
  <c r="S33" i="3"/>
  <c r="S43" i="3"/>
  <c r="N49" i="3"/>
  <c r="O49" i="3" s="1"/>
  <c r="N8" i="4"/>
  <c r="U22" i="4"/>
  <c r="L24" i="4"/>
  <c r="M24" i="4" s="1"/>
  <c r="U28" i="4"/>
  <c r="S35" i="4"/>
  <c r="U37" i="4"/>
  <c r="Q41" i="4"/>
  <c r="O115" i="4"/>
  <c r="M9" i="5"/>
  <c r="P6" i="6"/>
  <c r="K12" i="6"/>
  <c r="Q12" i="6"/>
  <c r="M20" i="6"/>
  <c r="N27" i="6"/>
  <c r="I35" i="6"/>
  <c r="N42" i="6"/>
  <c r="U7" i="3"/>
  <c r="Y9" i="3"/>
  <c r="W17" i="3"/>
  <c r="U23" i="3"/>
  <c r="U43" i="3"/>
  <c r="Y51" i="3"/>
  <c r="U4" i="4"/>
  <c r="X6" i="4"/>
  <c r="V6" i="4"/>
  <c r="U12" i="4"/>
  <c r="X14" i="4"/>
  <c r="V14" i="4"/>
  <c r="Y28" i="4"/>
  <c r="V37" i="4"/>
  <c r="W39" i="4"/>
  <c r="S41" i="4"/>
  <c r="O25" i="6"/>
  <c r="O27" i="6"/>
  <c r="M48" i="6"/>
  <c r="S3" i="3"/>
  <c r="X17" i="3"/>
  <c r="U19" i="3"/>
  <c r="W33" i="3"/>
  <c r="AA41" i="3"/>
  <c r="Z51" i="3"/>
  <c r="Y10" i="4"/>
  <c r="V22" i="4"/>
  <c r="X26" i="4"/>
  <c r="Q6" i="6"/>
  <c r="O20" i="6"/>
  <c r="P22" i="6"/>
  <c r="P27" i="6"/>
  <c r="N35" i="6"/>
  <c r="N48" i="6"/>
  <c r="X29" i="3"/>
  <c r="W7" i="3"/>
  <c r="N9" i="3"/>
  <c r="O9" i="3" s="1"/>
  <c r="Y23" i="3"/>
  <c r="V4" i="4"/>
  <c r="Y41" i="4"/>
  <c r="U41" i="4"/>
  <c r="P25" i="6"/>
  <c r="AA7" i="3"/>
  <c r="X7" i="3"/>
  <c r="W22" i="4"/>
  <c r="I14" i="6"/>
  <c r="A20" i="3"/>
  <c r="A22" i="3" s="1"/>
  <c r="A24" i="3" s="1"/>
  <c r="A18" i="3"/>
  <c r="O104" i="3"/>
  <c r="O5" i="3"/>
  <c r="A33" i="3"/>
  <c r="A35" i="3" s="1"/>
  <c r="A37" i="3" s="1"/>
  <c r="A39" i="3" s="1"/>
  <c r="A41" i="3" s="1"/>
  <c r="A43" i="3" s="1"/>
  <c r="A45" i="3" s="1"/>
  <c r="A31" i="3"/>
  <c r="A47" i="3"/>
  <c r="A51" i="3" s="1"/>
  <c r="A49" i="3"/>
  <c r="O21" i="3"/>
  <c r="Z9" i="3"/>
  <c r="Y11" i="3"/>
  <c r="X13" i="3"/>
  <c r="W15" i="3"/>
  <c r="P21" i="3"/>
  <c r="W31" i="3"/>
  <c r="Z31" i="3"/>
  <c r="U35" i="3"/>
  <c r="S37" i="3"/>
  <c r="S47" i="3"/>
  <c r="S10" i="4"/>
  <c r="L26" i="4"/>
  <c r="M26" i="4" s="1"/>
  <c r="Q10" i="6"/>
  <c r="P10" i="6"/>
  <c r="O10" i="6"/>
  <c r="N10" i="6"/>
  <c r="M10" i="6"/>
  <c r="K10" i="6"/>
  <c r="I10" i="6"/>
  <c r="Q31" i="6"/>
  <c r="P31" i="6"/>
  <c r="O31" i="6"/>
  <c r="N31" i="6"/>
  <c r="M31" i="6"/>
  <c r="K31" i="6"/>
  <c r="Y13" i="3"/>
  <c r="W24" i="4"/>
  <c r="V24" i="4"/>
  <c r="U24" i="4"/>
  <c r="S24" i="4"/>
  <c r="V43" i="4"/>
  <c r="U43" i="4"/>
  <c r="S43" i="4"/>
  <c r="Q43" i="4"/>
  <c r="Q18" i="6"/>
  <c r="P18" i="6"/>
  <c r="O18" i="6"/>
  <c r="N18" i="6"/>
  <c r="M18" i="6"/>
  <c r="Z13" i="3"/>
  <c r="Y15" i="3"/>
  <c r="M23" i="3"/>
  <c r="O85" i="3"/>
  <c r="M92" i="3"/>
  <c r="O92" i="3" s="1"/>
  <c r="O95" i="3"/>
  <c r="I18" i="6"/>
  <c r="S5" i="3"/>
  <c r="N11" i="3"/>
  <c r="AA13" i="3"/>
  <c r="Z15" i="3"/>
  <c r="Y17" i="3"/>
  <c r="U21" i="3"/>
  <c r="X25" i="3"/>
  <c r="W25" i="3"/>
  <c r="Z25" i="3"/>
  <c r="N31" i="3"/>
  <c r="Z33" i="3"/>
  <c r="X35" i="3"/>
  <c r="W37" i="3"/>
  <c r="X39" i="3"/>
  <c r="W45" i="3"/>
  <c r="W47" i="3"/>
  <c r="O80" i="3"/>
  <c r="N97" i="3"/>
  <c r="M97" i="3"/>
  <c r="O100" i="3"/>
  <c r="V10" i="4"/>
  <c r="S18" i="4"/>
  <c r="V28" i="4"/>
  <c r="Q35" i="4"/>
  <c r="N35" i="4"/>
  <c r="L35" i="4"/>
  <c r="M35" i="4" s="1"/>
  <c r="L43" i="4"/>
  <c r="M43" i="4" s="1"/>
  <c r="K78" i="4"/>
  <c r="M78" i="4" s="1"/>
  <c r="K99" i="4"/>
  <c r="M99" i="4" s="1"/>
  <c r="Q3" i="5"/>
  <c r="P3" i="5"/>
  <c r="O3" i="5"/>
  <c r="N3" i="5"/>
  <c r="M3" i="5"/>
  <c r="K18" i="6"/>
  <c r="Q46" i="6"/>
  <c r="P46" i="6"/>
  <c r="O46" i="6"/>
  <c r="N46" i="6"/>
  <c r="M46" i="6"/>
  <c r="I46" i="6"/>
  <c r="W3" i="3"/>
  <c r="U5" i="3"/>
  <c r="P9" i="3"/>
  <c r="N13" i="3"/>
  <c r="AA15" i="3"/>
  <c r="Z17" i="3"/>
  <c r="AA25" i="3"/>
  <c r="W27" i="3"/>
  <c r="AA33" i="3"/>
  <c r="Y35" i="3"/>
  <c r="Z37" i="3"/>
  <c r="Y39" i="3"/>
  <c r="W41" i="3"/>
  <c r="X45" i="3"/>
  <c r="X47" i="3"/>
  <c r="V8" i="4"/>
  <c r="W10" i="4"/>
  <c r="N16" i="4"/>
  <c r="W28" i="4"/>
  <c r="G65" i="4"/>
  <c r="L101" i="4"/>
  <c r="M101" i="4" s="1"/>
  <c r="K101" i="4"/>
  <c r="J3" i="5"/>
  <c r="X3" i="3"/>
  <c r="P11" i="3"/>
  <c r="N15" i="3"/>
  <c r="AA17" i="3"/>
  <c r="K19" i="3"/>
  <c r="P19" i="3" s="1"/>
  <c r="W21" i="3"/>
  <c r="X27" i="3"/>
  <c r="P31" i="3"/>
  <c r="X41" i="3"/>
  <c r="Y45" i="3"/>
  <c r="X51" i="3"/>
  <c r="W51" i="3"/>
  <c r="U51" i="3"/>
  <c r="M94" i="3"/>
  <c r="M99" i="3"/>
  <c r="O99" i="3" s="1"/>
  <c r="W8" i="4"/>
  <c r="X10" i="4"/>
  <c r="A15" i="4"/>
  <c r="A17" i="4" s="1"/>
  <c r="A19" i="4" s="1"/>
  <c r="A21" i="4" s="1"/>
  <c r="A23" i="4"/>
  <c r="U18" i="4"/>
  <c r="N24" i="4"/>
  <c r="V26" i="4"/>
  <c r="N43" i="4"/>
  <c r="U45" i="4"/>
  <c r="Y3" i="3"/>
  <c r="P13" i="3"/>
  <c r="Y27" i="3"/>
  <c r="N35" i="3"/>
  <c r="AA35" i="3"/>
  <c r="Y37" i="3"/>
  <c r="X37" i="3"/>
  <c r="U39" i="3"/>
  <c r="S39" i="3"/>
  <c r="AA39" i="3"/>
  <c r="O94" i="3"/>
  <c r="O48" i="4"/>
  <c r="X8" i="4"/>
  <c r="E58" i="4"/>
  <c r="M35" i="6"/>
  <c r="Z3" i="3"/>
  <c r="X5" i="3"/>
  <c r="U9" i="3"/>
  <c r="S11" i="3"/>
  <c r="P15" i="3"/>
  <c r="Y21" i="3"/>
  <c r="N25" i="3"/>
  <c r="Z27" i="3"/>
  <c r="S31" i="3"/>
  <c r="Y43" i="3"/>
  <c r="Y12" i="4"/>
  <c r="V16" i="4"/>
  <c r="Q24" i="4"/>
  <c r="S30" i="4"/>
  <c r="Q30" i="4"/>
  <c r="L30" i="4"/>
  <c r="M30" i="4" s="1"/>
  <c r="AA3" i="3"/>
  <c r="Y5" i="3"/>
  <c r="S13" i="3"/>
  <c r="Z21" i="3"/>
  <c r="AA27" i="3"/>
  <c r="N37" i="3"/>
  <c r="N41" i="3"/>
  <c r="Z41" i="3"/>
  <c r="U45" i="3"/>
  <c r="S45" i="3"/>
  <c r="P45" i="3"/>
  <c r="U8" i="4"/>
  <c r="S8" i="4"/>
  <c r="Q8" i="4"/>
  <c r="Q10" i="4"/>
  <c r="N10" i="4"/>
  <c r="W43" i="4"/>
  <c r="Q4" i="6"/>
  <c r="P4" i="6"/>
  <c r="O4" i="6"/>
  <c r="N4" i="6"/>
  <c r="M4" i="6"/>
  <c r="N3" i="3"/>
  <c r="Z5" i="3"/>
  <c r="W9" i="3"/>
  <c r="U13" i="3"/>
  <c r="S15" i="3"/>
  <c r="AA21" i="3"/>
  <c r="P35" i="3"/>
  <c r="N39" i="3"/>
  <c r="M43" i="3"/>
  <c r="P47" i="3"/>
  <c r="N47" i="3"/>
  <c r="AA47" i="3"/>
  <c r="O86" i="3"/>
  <c r="L10" i="4"/>
  <c r="X24" i="4"/>
  <c r="S28" i="4"/>
  <c r="Q28" i="4"/>
  <c r="N28" i="4"/>
  <c r="X43" i="4"/>
  <c r="L77" i="4"/>
  <c r="K77" i="4"/>
  <c r="M44" i="6"/>
  <c r="AA5" i="3"/>
  <c r="X9" i="3"/>
  <c r="W11" i="3"/>
  <c r="S17" i="3"/>
  <c r="W23" i="3"/>
  <c r="N27" i="3"/>
  <c r="AA29" i="3"/>
  <c r="Z29" i="3"/>
  <c r="Y29" i="3"/>
  <c r="X31" i="3"/>
  <c r="U33" i="3"/>
  <c r="P37" i="3"/>
  <c r="O96" i="3"/>
  <c r="P98" i="3"/>
  <c r="M98" i="3"/>
  <c r="K8" i="4"/>
  <c r="K10" i="4"/>
  <c r="Y24" i="4"/>
  <c r="U26" i="4"/>
  <c r="S26" i="4"/>
  <c r="Q26" i="4"/>
  <c r="Y43" i="4"/>
  <c r="A8" i="5"/>
  <c r="A10" i="5"/>
  <c r="S25" i="3"/>
  <c r="Y31" i="3"/>
  <c r="S35" i="3"/>
  <c r="P39" i="3"/>
  <c r="P41" i="3"/>
  <c r="N45" i="3"/>
  <c r="O98" i="3"/>
  <c r="O106" i="3"/>
  <c r="U16" i="4"/>
  <c r="S16" i="4"/>
  <c r="Q16" i="4"/>
  <c r="Q18" i="4"/>
  <c r="N18" i="4"/>
  <c r="X35" i="4"/>
  <c r="S45" i="4"/>
  <c r="Q45" i="4"/>
  <c r="N45" i="4"/>
  <c r="Q40" i="6"/>
  <c r="P40" i="6"/>
  <c r="O40" i="6"/>
  <c r="N40" i="6"/>
  <c r="M40" i="6"/>
  <c r="J7" i="5"/>
  <c r="I16" i="6"/>
  <c r="I22" i="6"/>
  <c r="O48" i="6"/>
  <c r="W12" i="4"/>
  <c r="W20" i="4"/>
  <c r="X37" i="4"/>
  <c r="L109" i="4"/>
  <c r="M109" i="4" s="1"/>
  <c r="K16" i="6"/>
  <c r="K22" i="6"/>
  <c r="I29" i="6"/>
  <c r="P48" i="6"/>
  <c r="W4" i="4"/>
  <c r="X12" i="4"/>
  <c r="X20" i="4"/>
  <c r="Y37" i="4"/>
  <c r="K80" i="4"/>
  <c r="M80" i="4" s="1"/>
  <c r="K105" i="4"/>
  <c r="M105" i="4" s="1"/>
  <c r="K112" i="4"/>
  <c r="M112" i="4" s="1"/>
  <c r="M7" i="5"/>
  <c r="I8" i="6"/>
  <c r="K29" i="6"/>
  <c r="M102" i="3"/>
  <c r="O102" i="3" s="1"/>
  <c r="M109" i="3"/>
  <c r="O109" i="3" s="1"/>
  <c r="X4" i="4"/>
  <c r="K12" i="4"/>
  <c r="L37" i="4"/>
  <c r="M37" i="4" s="1"/>
  <c r="X39" i="4"/>
  <c r="K108" i="4"/>
  <c r="M108" i="4" s="1"/>
  <c r="N7" i="5"/>
  <c r="K8" i="6"/>
  <c r="M16" i="6"/>
  <c r="M22" i="6"/>
  <c r="I44" i="6"/>
  <c r="X43" i="3"/>
  <c r="Z49" i="3"/>
  <c r="K4" i="4"/>
  <c r="W6" i="4"/>
  <c r="W14" i="4"/>
  <c r="X22" i="4"/>
  <c r="Y39" i="4"/>
  <c r="W41" i="4"/>
  <c r="M76" i="4"/>
  <c r="K91" i="4"/>
  <c r="M91" i="4" s="1"/>
  <c r="O7" i="5"/>
  <c r="K14" i="6"/>
  <c r="N16" i="6"/>
  <c r="I20" i="6"/>
  <c r="N22" i="6"/>
  <c r="I27" i="6"/>
  <c r="M29" i="6"/>
  <c r="K35" i="6"/>
  <c r="P7" i="5"/>
  <c r="M8" i="6"/>
  <c r="O16" i="6"/>
  <c r="O22" i="6"/>
  <c r="N29" i="6"/>
  <c r="M8" i="4" l="1"/>
  <c r="M12" i="4"/>
  <c r="O23" i="3"/>
  <c r="L115" i="4"/>
  <c r="F58" i="4"/>
  <c r="F59" i="4"/>
  <c r="O31" i="3"/>
  <c r="O3" i="3"/>
  <c r="M54" i="3"/>
  <c r="O15" i="3"/>
  <c r="K115" i="4"/>
  <c r="O45" i="3"/>
  <c r="M10" i="4"/>
  <c r="O47" i="3"/>
  <c r="O41" i="3"/>
  <c r="O13" i="3"/>
  <c r="O37" i="3"/>
  <c r="O97" i="3"/>
  <c r="O27" i="3"/>
  <c r="O39" i="3"/>
  <c r="O35" i="3"/>
  <c r="K48" i="4"/>
  <c r="M4" i="4"/>
  <c r="O25" i="3"/>
  <c r="L48" i="4"/>
  <c r="O11" i="3"/>
  <c r="M77" i="4"/>
  <c r="M115" i="4" s="1"/>
  <c r="N115" i="4" s="1"/>
  <c r="D52" i="4" s="1"/>
  <c r="E69" i="4"/>
  <c r="F68" i="4"/>
  <c r="E68" i="4"/>
  <c r="G68" i="4" s="1"/>
  <c r="F69" i="4"/>
  <c r="G69" i="4" s="1"/>
  <c r="N48" i="4" l="1"/>
  <c r="D53" i="4" s="1"/>
  <c r="M56" i="3"/>
  <c r="F70" i="4"/>
  <c r="M48" i="4"/>
  <c r="D54" i="4" s="1"/>
  <c r="E70" i="4"/>
  <c r="I105" i="3" l="1"/>
  <c r="I112" i="3"/>
  <c r="I93" i="3"/>
  <c r="I90" i="3"/>
  <c r="I87" i="3"/>
  <c r="I84" i="3"/>
  <c r="I81" i="3"/>
  <c r="I78" i="3"/>
  <c r="I111" i="3"/>
  <c r="I106" i="3"/>
  <c r="I98" i="3"/>
  <c r="I88" i="3"/>
  <c r="I107" i="3"/>
  <c r="I94" i="3"/>
  <c r="I110" i="3"/>
  <c r="I82" i="3"/>
  <c r="I33" i="3"/>
  <c r="I17" i="3"/>
  <c r="I92" i="3"/>
  <c r="I114" i="3"/>
  <c r="I86" i="3"/>
  <c r="I113" i="3"/>
  <c r="I83" i="3"/>
  <c r="I102" i="3"/>
  <c r="I29" i="3"/>
  <c r="I5" i="3"/>
  <c r="I104" i="3"/>
  <c r="I51" i="3"/>
  <c r="I80" i="3"/>
  <c r="I19" i="3"/>
  <c r="I96" i="3"/>
  <c r="I103" i="3"/>
  <c r="I23" i="3"/>
  <c r="Y70" i="3" s="1"/>
  <c r="I85" i="3"/>
  <c r="I21" i="3"/>
  <c r="I109" i="3"/>
  <c r="I100" i="3"/>
  <c r="N55" i="3"/>
  <c r="I7" i="3"/>
  <c r="I9" i="3"/>
  <c r="I99" i="3"/>
  <c r="I77" i="3"/>
  <c r="I79" i="3"/>
  <c r="I91" i="3"/>
  <c r="I89" i="3"/>
  <c r="I49" i="3"/>
  <c r="I43" i="3"/>
  <c r="I95" i="3"/>
  <c r="I108" i="3"/>
  <c r="I101" i="3"/>
  <c r="I31" i="3"/>
  <c r="I11" i="3"/>
  <c r="I27" i="3"/>
  <c r="I47" i="3"/>
  <c r="I39" i="3"/>
  <c r="I41" i="3"/>
  <c r="I35" i="3"/>
  <c r="I3" i="3"/>
  <c r="I13" i="3"/>
  <c r="I37" i="3"/>
  <c r="I25" i="3"/>
  <c r="I15" i="3"/>
  <c r="I97" i="3"/>
  <c r="I45" i="3"/>
  <c r="AC71" i="3" s="1"/>
  <c r="AE71" i="3" s="1"/>
  <c r="N54" i="3"/>
  <c r="AC72" i="3" l="1"/>
  <c r="AE72" i="3" s="1"/>
  <c r="Y71" i="3"/>
  <c r="AC69" i="3"/>
  <c r="AE69" i="3" s="1"/>
  <c r="Y69" i="3"/>
  <c r="Y67" i="3"/>
  <c r="D62" i="3"/>
  <c r="AC68" i="3"/>
  <c r="AE68" i="3" s="1"/>
  <c r="AC62" i="3"/>
  <c r="AE62" i="3" s="1"/>
  <c r="AC64" i="3"/>
  <c r="AE64" i="3" s="1"/>
  <c r="AC70" i="3"/>
  <c r="AE70" i="3" s="1"/>
  <c r="AC67" i="3"/>
  <c r="AE67" i="3" s="1"/>
  <c r="AC66" i="3"/>
  <c r="AE66" i="3" s="1"/>
  <c r="AC65" i="3"/>
  <c r="AE65" i="3" s="1"/>
  <c r="AC63" i="3"/>
  <c r="AE63" i="3" s="1"/>
  <c r="Y68" i="3"/>
  <c r="E62" i="3"/>
  <c r="Y72" i="3" l="1"/>
  <c r="AC73" i="3"/>
  <c r="F62" i="3"/>
  <c r="G62" i="3" l="1"/>
  <c r="J62" i="3"/>
  <c r="O62" i="3" l="1"/>
  <c r="P62" i="3"/>
  <c r="I62" i="3"/>
  <c r="H62" i="3"/>
</calcChain>
</file>

<file path=xl/sharedStrings.xml><?xml version="1.0" encoding="utf-8"?>
<sst xmlns="http://schemas.openxmlformats.org/spreadsheetml/2006/main" count="1494" uniqueCount="380">
  <si>
    <t>Ticker</t>
  </si>
  <si>
    <t>Nombre</t>
  </si>
  <si>
    <t>Sector</t>
  </si>
  <si>
    <t>Precio actual</t>
  </si>
  <si>
    <t>Hoy</t>
  </si>
  <si>
    <t>SPY</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</si>
  <si>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</si>
  <si>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</si>
  <si>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</si>
  <si>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</si>
  <si>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</si>
  <si>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</si>
  <si>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</si>
  <si>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</si>
  <si>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</si>
  <si>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</si>
  <si>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</si>
  <si>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</si>
  <si>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</si>
  <si>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</si>
  <si>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</si>
  <si>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</si>
  <si>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Litio</t>
  </si>
  <si>
    <t>Energía solar</t>
  </si>
  <si>
    <t>TLT</t>
  </si>
  <si>
    <t>Commodities</t>
  </si>
  <si>
    <t>Oro</t>
  </si>
  <si>
    <t>SLV</t>
  </si>
  <si>
    <t>Plata</t>
  </si>
  <si>
    <t>Petróleo</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</si>
  <si>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</si>
  <si>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</si>
  <si>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</si>
  <si>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</si>
  <si>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</si>
  <si>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</si>
  <si>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</si>
  <si>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</si>
  <si>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</si>
  <si>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</si>
  <si>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</si>
  <si>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</si>
  <si>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</si>
  <si>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</si>
  <si>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</si>
  <si>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</si>
  <si>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</si>
  <si>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</si>
  <si>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</si>
  <si>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</si>
  <si>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</si>
  <si>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</si>
  <si>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</si>
  <si>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</si>
  <si>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</si>
  <si>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</si>
  <si>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</si>
  <si>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</si>
  <si>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</si>
  <si>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</si>
  <si>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</si>
  <si>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</si>
  <si>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</si>
  <si>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</si>
  <si>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</si>
  <si>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</si>
  <si>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</si>
  <si>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</si>
  <si>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</si>
  <si>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</si>
  <si>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Bajista</t>
  </si>
  <si>
    <t>Alta calidad</t>
  </si>
  <si>
    <t>Core</t>
  </si>
  <si>
    <t>Baja</t>
  </si>
  <si>
    <r>
      <rPr>
        <b/>
        <sz val="7"/>
        <color rgb="FF000000"/>
        <rFont val="Arial"/>
      </rPr>
      <t>Procter &amp; Gamble</t>
    </r>
    <r>
      <rPr>
        <sz val="7"/>
        <color rgb="FF000000"/>
        <rFont val="Arial"/>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</si>
  <si>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Encontró soporte en niveles de $152 y rebotó, en línea con lo esperado. Potencial para alcanzar niveles de $172 en los próximos meses y completar la suba</t>
  </si>
  <si>
    <t>Ene 21</t>
  </si>
  <si>
    <t>TGT</t>
  </si>
  <si>
    <t>Minorista</t>
  </si>
  <si>
    <t>Alcista</t>
  </si>
  <si>
    <t>Las acciones de Target Corporation cayeron alrededor de un 7,5% después de resultados financieros decepcionantes. Las acciones están baratas</t>
  </si>
  <si>
    <t>Cayó hasta la mm200 y rebotó. En las últimas semanas ha vuelto a caer, en línea con lo esperado. Posibilidad de hacer un nuevo mínimo en las próximas semanas antes de comenzar al suba</t>
  </si>
  <si>
    <t>PEP</t>
  </si>
  <si>
    <t>Alimentos y bebidas</t>
  </si>
  <si>
    <t>PepsiCo cotiza a una valoración por debajo del promedio a pesar de ser una de las empresas más resistentes y predecibles del mundo, por lo que resulta más atractiva.</t>
  </si>
  <si>
    <t>La profundidad de la caída reciente ha ma hecho cuestionar el escenario base que venía manteniendo. Posibilidad de continuar con las caídas en los próximos meses</t>
  </si>
  <si>
    <t>KR</t>
  </si>
  <si>
    <t>Alimentos</t>
  </si>
  <si>
    <t>Esperar</t>
  </si>
  <si>
    <t>Satellite</t>
  </si>
  <si>
    <t>The Kroger Co., un minorista líder de comestibles, es una propuesta de inversión sólida debido a su sólido modelo de negocio, reputación de marca y crecimiento constante de dividendos. El beneficio operativo ajustado fue de 1.310 millones de dólares frente a los 1.210 millones de dólares del consenso y los 1.120 millones de dólares de hace un año. El margen bruto fue del 22,7% de las ventas durante el trimestre, frente al 21,9% del consenso. El principal riesgo en la actualidad es que la Comisión Federal de Comercio (FTC, por sus siglas en inglés) demandó recientemente a Kroger para bloquear la adquisición de Albertsons ante la probabilidad de aumentos de precios para los consumidores.</t>
  </si>
  <si>
    <t>Operó durante mucho tiempo en rango. Redujimos el peso en marzo. Alcanzó niveles de $58 en abril y ha consolidado. Está cerca de comenzar a rebotar. De todas formas, es posible que haya alcanzado un tope de mediano plazo.</t>
  </si>
  <si>
    <t>TMUS</t>
  </si>
  <si>
    <t>Servicios telec</t>
  </si>
  <si>
    <t>Líder global</t>
  </si>
  <si>
    <t>Media</t>
  </si>
  <si>
    <r>
      <rPr>
        <b/>
        <sz val="7"/>
        <color rgb="FF000000"/>
        <rFont val="Arial"/>
      </rPr>
      <t xml:space="preserve">T-Mobile </t>
    </r>
    <r>
      <rPr>
        <sz val="7"/>
        <color rgb="FF000000"/>
        <rFont val="Arial"/>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</si>
  <si>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Potencial de consolidación al área de $150 en los próximos meses antes de retomar las subas</t>
  </si>
  <si>
    <t>DIS</t>
  </si>
  <si>
    <t>Entretenimiento</t>
  </si>
  <si>
    <r>
      <rPr>
        <sz val="7"/>
        <color rgb="FF000000"/>
        <rFont val="Arial"/>
      </rPr>
      <t>Disney</t>
    </r>
    <r>
      <rPr>
        <sz val="7"/>
        <color rgb="FF000000"/>
        <rFont val="Arial"/>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</si>
  <si>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DIS alcanzó el mínimo de marzo 2020 en octubre de 2023 y rebotó. Compramos. Llegó a niveles de $123 y comenzó a corregir en línea con lo esperado. Alcanzó valores de $100, en línea con lo esperado, con divergencia positiva. Cerca de volver a comprar</t>
  </si>
  <si>
    <t>AMX</t>
  </si>
  <si>
    <t>Las ganancias de América Móvil en el tercer trimestre de 2023 muestran fortaleza en el volumen a expensas de las tarifas. La compañía se ha enfrentado en los últimos meses a vientos en contra debido a la volatilidad de las divisas y a los factores macroeconómicos que afectan a su rendimiento, pero es posible que esa situación esté comenzando a cambiar.</t>
  </si>
  <si>
    <t>Las ganancias de América Móvil en el tercer trimestre de 2023 muestran fortaleza en los impulsores de volumen a expensas de la tarifa. La compañía se enfrenta a vientos en contra debido a la volatilidad de las divisas y a los factores macroeconómicos que afectan a su rendimiento.</t>
  </si>
  <si>
    <t>BIDU</t>
  </si>
  <si>
    <t>Ha vuelto a caer alcanzando un nuevo mínimo. Revaluar en el próximo rebote</t>
  </si>
  <si>
    <t>TSLA</t>
  </si>
  <si>
    <t>Autos Eléctricos</t>
  </si>
  <si>
    <t>Alta</t>
  </si>
  <si>
    <t>El margen bruto de Tesla en el cuarto trimestre de 2023 experimentó un grave descenso interanual, pero está empezando a mostrar algunos signos de haber tocado piso. 
Soy optimista sobre las perspectivas de crecimiento a largo plazo de Tesla debido a su liderazgo en los sectores de vehículos eléctricos y energía limpia, con un potencial alcista adicional de proyectos como la robótica.</t>
  </si>
  <si>
    <t>Posibilidad de caer al área de $150 en las próximas semanas antes de retomar las subas</t>
  </si>
  <si>
    <t>BABA</t>
  </si>
  <si>
    <t>Consumo Cíclico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</si>
  <si>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</si>
  <si>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Consolidó aunque más de lo esperado. Espero pronto el inicio de un nuevo repunte</t>
  </si>
  <si>
    <t>GLOB</t>
  </si>
  <si>
    <t>Servicios</t>
  </si>
  <si>
    <t>Futuro líder</t>
  </si>
  <si>
    <t>Globant representa una oportunidad sólida para los inversores interesados en el sector de la tecnología y la transformación digital</t>
  </si>
  <si>
    <t>OXY</t>
  </si>
  <si>
    <t>Petróleo&amp;Gas</t>
  </si>
  <si>
    <t>Atractivo</t>
  </si>
  <si>
    <t>Atractiva MP</t>
  </si>
  <si>
    <r>
      <rPr>
        <sz val="7"/>
        <color rgb="FF000000"/>
        <rFont val="Arial"/>
      </rPr>
      <t xml:space="preserve">En el segundo trimestre, </t>
    </r>
    <r>
      <rPr>
        <sz val="7"/>
        <color rgb="FF000000"/>
        <rFont val="Arial"/>
      </rPr>
      <t>OXY</t>
    </r>
    <r>
      <rPr>
        <sz val="7"/>
        <color rgb="FF000000"/>
        <rFont val="Arial"/>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</si>
  <si>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BP</t>
  </si>
  <si>
    <t>Integrado</t>
  </si>
  <si>
    <r>
      <rPr>
        <sz val="7"/>
        <color rgb="FF000000"/>
        <rFont val="Arial"/>
      </rPr>
      <t>BP</t>
    </r>
    <r>
      <rPr>
        <sz val="7"/>
        <color rgb="FF000000"/>
        <rFont val="Arial"/>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</si>
  <si>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FTXN</t>
  </si>
  <si>
    <t>ETF sin una alta concentración en los principales productores</t>
  </si>
  <si>
    <t>FCG</t>
  </si>
  <si>
    <t>Gas Natural</t>
  </si>
  <si>
    <t>FCG es un ETF que busca replicar el índice de gas natural ISE-Revere. Invierte en empresas que exploran y producen gas natural. Las principales tenencias son Hess Midstream (HESM) y Western Midstream (WES).</t>
  </si>
  <si>
    <t>LAAC</t>
  </si>
  <si>
    <t>El ciclo de auge y caída del litio continúa. Si observamos todos los proyectos de vehículos eléctricos en el futuro, podemos suponer que la demanda de litio llegó para quedarse, si no mejorar, a medida que aumenta la adopción. LAAC tiene el potencial de convertirse en un jugador clave en los próximos años. En la actualidad, tiene "efectivo y equivalentes de efectivo de $147.4 millones.</t>
  </si>
  <si>
    <t>Acción muy volátil. Hizo nuevo mínimo. Posibilidad de alcanzar los mínimos recién en el tercer trimestre. Esperar</t>
  </si>
  <si>
    <t>ALB</t>
  </si>
  <si>
    <t>Albemarle es uno de los favoritos dentro de la industria minera de litio para los inversores con aversión al riesgo debido a su bajo perfil de riesgo político y geopolítico, así como a sus operaciones bien establecidas. Los débiles resultados financieros en toda la industria minera del litio indican que los precios actuales del litio no son sostenibles, lo que significa que se prevé un cambio de rumbo, aunque el momento es incierto</t>
  </si>
  <si>
    <t>ITUB</t>
  </si>
  <si>
    <t>BAncos</t>
  </si>
  <si>
    <t>Itaú logró una utilidad neta de casi $2.000 millones en el trimestre con un ROE de 21,9%.
 El banco está logrando una buena expansión de los ingresos, al tiempo que mantiene los costos y gastos bajo control. Los dividendos extraordinarios y un PER por debajo de los niveles históricos dan aún más confianza en la tesis</t>
  </si>
  <si>
    <t>La profundidad de la caída reciente ha ma hecho cuestionar el escenario base que venía manteniendo. Posibilidad de rebotar en breve para luego hacer un nuevo mínimo en octubre</t>
  </si>
  <si>
    <t>Mineras</t>
  </si>
  <si>
    <t>El oro ha alcanzado recientemente nuevos máximos y podría seguir subiendo en los próximos años, creando una oportunidad de compra potencial para los inversores. El precio de las acciones de las mineras de oro no está en nuevos máximos, lo que indica una disparidad en los valores y una posible oportunidad de ruptura.</t>
  </si>
  <si>
    <t>Ha mantenido las subas, espero una pausa en el sector por unas semanas</t>
  </si>
  <si>
    <t>La plata opera con un descuento en comparación con el oro r, a pesar de su tremendo potencial de cobertura contra la inflación</t>
  </si>
  <si>
    <t>WEAT</t>
  </si>
  <si>
    <t>Trigo</t>
  </si>
  <si>
    <t>El mercado del trigo ha experimentado fluctuaciones significativas en los últimos tiempos, impulsado tanto por factores geopolíticos, condiciones climáticas y tendencias de oferta y demanda</t>
  </si>
  <si>
    <t>Continúa consolidando. Debería pronto comenzar a repuntar</t>
  </si>
  <si>
    <t>Ha subiod mucho en las últimas semanas. Potencial de suba a niveles de $6.2 antes de una pausa</t>
  </si>
  <si>
    <t>Renta Fija</t>
  </si>
  <si>
    <t>Soberanos &gt; 20</t>
  </si>
  <si>
    <t>La Fed está desesperada por bajar las tasas debido a las preocupaciones sobre la creciente deuda nacional, las pérdidas en los bancos estadounidenses, el mercado inmobiliario congelado.</t>
  </si>
  <si>
    <t>Continúa avanzando, posbilidad de alcanzar un tope en las próximas semanas antes de consolidar durante julio</t>
  </si>
  <si>
    <t>Oportunidad CP</t>
  </si>
  <si>
    <t>Volvimos a tomar ganancias. Espero que pronto comience una aceleración en las caídas</t>
  </si>
  <si>
    <t>RSP</t>
  </si>
  <si>
    <t>Tras la fuerte suba esa semana, tomamos algo de ganancias. Espero pausa hacia fin de mes y suba en diciembre</t>
  </si>
  <si>
    <t>Cash</t>
  </si>
  <si>
    <t>Valor actual posiciones</t>
  </si>
  <si>
    <t>Valor posiciones al 14-jun-2024</t>
  </si>
  <si>
    <t>Distribución sectorial</t>
  </si>
  <si>
    <t>1 año</t>
  </si>
  <si>
    <t>Desde el inicio</t>
  </si>
  <si>
    <t>Desde el inicio (anual)</t>
  </si>
  <si>
    <t>Diferencia</t>
  </si>
  <si>
    <t>Rend Sem (%)</t>
  </si>
  <si>
    <t>Rendimiento PORTAFOLIO</t>
  </si>
  <si>
    <t>1 semana</t>
  </si>
  <si>
    <t>MTD</t>
  </si>
  <si>
    <t>3m</t>
  </si>
  <si>
    <t>6m</t>
  </si>
  <si>
    <t>12m</t>
  </si>
  <si>
    <t>3Y</t>
  </si>
  <si>
    <t>Rendimiento S&amp;P 500</t>
  </si>
  <si>
    <t>Real estate</t>
  </si>
  <si>
    <t>Consumo cíclico</t>
  </si>
  <si>
    <t>El rendimiento YTD incluye dividendos y tbills correspondiente al efectivo</t>
  </si>
  <si>
    <t>Atractivas Mediano plazo</t>
  </si>
  <si>
    <t>Futuros líderes</t>
  </si>
  <si>
    <t>Bonos soberanos</t>
  </si>
  <si>
    <t>POSICIONES CERRADAS 2024</t>
  </si>
  <si>
    <t>Posiciones cerradas</t>
  </si>
  <si>
    <t>Cierre</t>
  </si>
  <si>
    <t>Precio cierre</t>
  </si>
  <si>
    <t>Monto cierre</t>
  </si>
  <si>
    <t>Comentarios</t>
  </si>
  <si>
    <t>Toma de ganancias ante el inicio de corrección</t>
  </si>
  <si>
    <t>ABBV</t>
  </si>
  <si>
    <t>Biofarmaceútica</t>
  </si>
  <si>
    <t>Toma de ganancias</t>
  </si>
  <si>
    <t>Abr 22</t>
  </si>
  <si>
    <t>PARA</t>
  </si>
  <si>
    <t>UNH</t>
  </si>
  <si>
    <t>Servicios salud</t>
  </si>
  <si>
    <t>PXD</t>
  </si>
  <si>
    <t>CF</t>
  </si>
  <si>
    <t>Fertilizantes</t>
  </si>
  <si>
    <t>CF Industries Holdings es una inversión atractiva con una sólida demanda mundial de fertilizantes. La compañía reportó un sólido desempeño financiero en 2023, generando flujos de caja sustanciales y rentabilidad operativa en un entorno de precios difíciles.</t>
  </si>
  <si>
    <t>La acción parece haber hecho piso y está comenzando proceso de subas</t>
  </si>
  <si>
    <t>MCD</t>
  </si>
  <si>
    <t>Restaurantes</t>
  </si>
  <si>
    <t>JPM</t>
  </si>
  <si>
    <t>SLB</t>
  </si>
  <si>
    <t>Cierre de posición parcial</t>
  </si>
  <si>
    <t>1 a 4 semanas</t>
  </si>
  <si>
    <t>1 a 3 meses</t>
  </si>
  <si>
    <t>Operaciones LONG</t>
  </si>
  <si>
    <t>GGAL</t>
  </si>
  <si>
    <t>BUD</t>
  </si>
  <si>
    <t>KWEB</t>
  </si>
  <si>
    <t>China</t>
  </si>
  <si>
    <t>AMPH</t>
  </si>
  <si>
    <t>Bio</t>
  </si>
  <si>
    <t>LULU</t>
  </si>
  <si>
    <t>retail</t>
  </si>
  <si>
    <t>BKR</t>
  </si>
  <si>
    <t>VET</t>
  </si>
  <si>
    <t>AMD</t>
  </si>
  <si>
    <t>SOXS</t>
  </si>
  <si>
    <t>Inverso semi X 3</t>
  </si>
  <si>
    <t>Inverso</t>
  </si>
  <si>
    <t>AAPD</t>
  </si>
  <si>
    <t>Inverso de IWM</t>
  </si>
  <si>
    <t>Inverso AAPL</t>
  </si>
  <si>
    <t>TZA</t>
  </si>
  <si>
    <t>Inverso triple</t>
  </si>
  <si>
    <t>FAZ</t>
  </si>
  <si>
    <t>Inverso de XLF (-3)</t>
  </si>
  <si>
    <t>DOG</t>
  </si>
  <si>
    <t>Inverso del Dow</t>
  </si>
  <si>
    <t>Acciones USA</t>
  </si>
  <si>
    <t>Se ha mantenido firme en un escenario de caída generalizada</t>
  </si>
  <si>
    <t>Precio promedio de venta</t>
  </si>
  <si>
    <t>Monto de venta</t>
  </si>
  <si>
    <t>Punto de venta actual</t>
  </si>
  <si>
    <t>Operaciones SHORT</t>
  </si>
  <si>
    <t>MELI</t>
  </si>
  <si>
    <t>MSGS</t>
  </si>
  <si>
    <t>CAT</t>
  </si>
  <si>
    <t>Transporte</t>
  </si>
  <si>
    <t>PLTR</t>
  </si>
  <si>
    <t>Seguridad</t>
  </si>
  <si>
    <t>RH</t>
  </si>
  <si>
    <t>Retail</t>
  </si>
  <si>
    <t>SCHW</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</si>
  <si>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</si>
  <si>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</si>
  <si>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</si>
  <si>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</si>
  <si>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</si>
  <si>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</si>
  <si>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</si>
  <si>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</si>
  <si>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</si>
  <si>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</si>
  <si>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</si>
  <si>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</si>
  <si>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</si>
  <si>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</si>
  <si>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</si>
  <si>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</si>
  <si>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</si>
  <si>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</si>
  <si>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Duración</t>
  </si>
  <si>
    <t>28 días</t>
  </si>
  <si>
    <t>54 días</t>
  </si>
  <si>
    <t>16,0%</t>
  </si>
  <si>
    <t>-11,0%</t>
  </si>
  <si>
    <t>9,5%</t>
  </si>
  <si>
    <t>21,3%</t>
  </si>
  <si>
    <t>-10,2%</t>
  </si>
  <si>
    <t>Cantidad</t>
  </si>
  <si>
    <t>9,1%</t>
  </si>
  <si>
    <t>19,5%</t>
  </si>
  <si>
    <t>-5,3%</t>
  </si>
  <si>
    <t>Negativas</t>
  </si>
  <si>
    <t>8,2%</t>
  </si>
  <si>
    <t>Positivas</t>
  </si>
  <si>
    <t>15,5%</t>
  </si>
  <si>
    <t>Cantidad (%)</t>
  </si>
  <si>
    <t>Tipo</t>
  </si>
  <si>
    <t>Fecha cierre</t>
  </si>
  <si>
    <t>L</t>
  </si>
  <si>
    <t>NFLX</t>
  </si>
  <si>
    <t>S</t>
  </si>
  <si>
    <t>TSM</t>
  </si>
  <si>
    <t>LRCX</t>
  </si>
  <si>
    <t>BITI</t>
  </si>
  <si>
    <t>Vehículos elec</t>
  </si>
  <si>
    <t>Inverso de Bitcoin</t>
  </si>
  <si>
    <t>MARA</t>
  </si>
  <si>
    <t>Cripto</t>
  </si>
  <si>
    <t>Minera</t>
  </si>
  <si>
    <t>VXX</t>
  </si>
  <si>
    <t>iPath Series S&amp;P 500 Vix Short Term</t>
  </si>
  <si>
    <t>AAPL</t>
  </si>
  <si>
    <t>SQ</t>
  </si>
  <si>
    <t>Block Inc</t>
  </si>
  <si>
    <t>TSLZ</t>
  </si>
  <si>
    <t>Inverso de tsla x 2</t>
  </si>
  <si>
    <t>MS</t>
  </si>
  <si>
    <t>FSLR</t>
  </si>
  <si>
    <t>Inverso de semi x 3</t>
  </si>
  <si>
    <t>NVDS</t>
  </si>
  <si>
    <t>Inverso de NVDA 1.25</t>
  </si>
  <si>
    <t>EXPE</t>
  </si>
  <si>
    <t>Viajes</t>
  </si>
  <si>
    <t>CASH</t>
  </si>
  <si>
    <t>PANW</t>
  </si>
  <si>
    <t>Inverso de NVDA</t>
  </si>
  <si>
    <t>AAL</t>
  </si>
  <si>
    <t>Aerolíneas</t>
  </si>
  <si>
    <t>SQQQ</t>
  </si>
  <si>
    <t>Inverso de QQQ (-3)</t>
  </si>
  <si>
    <t>MSFD</t>
  </si>
  <si>
    <t>Inverso de MSFT</t>
  </si>
  <si>
    <t>MTDR</t>
  </si>
  <si>
    <t>PUMP</t>
  </si>
  <si>
    <t>UNP</t>
  </si>
  <si>
    <t>Long</t>
  </si>
  <si>
    <t>Short</t>
  </si>
  <si>
    <t>Precio entrada</t>
  </si>
  <si>
    <t xml:space="preserve">% </t>
  </si>
  <si>
    <t>Precio objetivo de suba</t>
  </si>
  <si>
    <t>Nasdaq</t>
  </si>
  <si>
    <t>Russell 2000</t>
  </si>
  <si>
    <t>Bonos soberanos largos</t>
  </si>
  <si>
    <t>Nuevo estado</t>
  </si>
  <si>
    <t>Señal</t>
  </si>
  <si>
    <t>Acierto</t>
  </si>
  <si>
    <t>Incorrecta</t>
  </si>
  <si>
    <t>4,7%</t>
  </si>
  <si>
    <t>Precio objetivo de compra</t>
  </si>
  <si>
    <t>% para compra</t>
  </si>
  <si>
    <t>% de suba</t>
  </si>
  <si>
    <t>PORTAFOLIO DISCRECIONAL</t>
  </si>
  <si>
    <t>CVS</t>
  </si>
  <si>
    <t>LMT</t>
  </si>
  <si>
    <t>Defensa</t>
  </si>
  <si>
    <t>NOC</t>
  </si>
  <si>
    <t>VZ</t>
  </si>
  <si>
    <t>CRWD</t>
  </si>
  <si>
    <t>Ciberseguridad</t>
  </si>
  <si>
    <t>SWBI</t>
  </si>
  <si>
    <t>Oil &amp; Gas</t>
  </si>
  <si>
    <t>COP</t>
  </si>
  <si>
    <t>HES</t>
  </si>
  <si>
    <t>SOYB</t>
  </si>
  <si>
    <t>Soja</t>
  </si>
  <si>
    <t>IDEAS DE TRADING - LONG</t>
  </si>
  <si>
    <t>EQNR</t>
  </si>
  <si>
    <t>CEIX</t>
  </si>
  <si>
    <t>Carbón</t>
  </si>
  <si>
    <t>CPA</t>
  </si>
  <si>
    <t>OTEX</t>
  </si>
  <si>
    <t>Software</t>
  </si>
  <si>
    <t>CVI</t>
  </si>
  <si>
    <t>Refinería</t>
  </si>
  <si>
    <t>Precio objetivo de venta</t>
  </si>
  <si>
    <t>% para venta</t>
  </si>
  <si>
    <t>Precio objetivo de caída</t>
  </si>
  <si>
    <t>% de ganancia</t>
  </si>
  <si>
    <t>IDEAS DE TRADING - SHORT</t>
  </si>
  <si>
    <t>EBAY</t>
  </si>
  <si>
    <t>AA</t>
  </si>
  <si>
    <t>Meteriales</t>
  </si>
  <si>
    <t>Aluminio</t>
  </si>
  <si>
    <t>APD</t>
  </si>
  <si>
    <t>Químicos</t>
  </si>
  <si>
    <t>LLY</t>
  </si>
  <si>
    <t>Medicamentos</t>
  </si>
  <si>
    <t>LOW</t>
  </si>
  <si>
    <t>Consumo cílico</t>
  </si>
  <si>
    <t>Date</t>
  </si>
  <si>
    <t>Close</t>
  </si>
  <si>
    <t>Incipiente rebote. Considero que pronto retomará la suba</t>
  </si>
  <si>
    <t>Rebote con fuerza, por fuera del canal bajista. Puede ser el inicio del rebote hacia  agosto</t>
  </si>
  <si>
    <t>Loading...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</si>
</sst>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8" formatCode="0.0"/>
    <numFmt numFmtId="169" formatCode="&quot;$&quot;#,##0"/>
    <numFmt numFmtId="170" formatCode="m/d/yyyy"/>
    <numFmt numFmtId="171" formatCode="&quot;$&quot;#,##0.0"/>
    <numFmt numFmtId="172" formatCode="mmmd"/>
    <numFmt numFmtId="173" formatCode="mmm\ d"/>
  </numFmts>
  <fonts count="48">
    <font>
      <sz val="10"/>
      <color rgb="FF000000"/>
      <name val="Arial"/>
      <scheme val="minor"/>
    </font>
    <font>
      <sz val="9"/>
      <color theme="1"/>
      <name val="Arial"/>
    </font>
    <font>
      <sz val="10"/>
      <color theme="1"/>
      <name val="Arial"/>
    </font>
    <font>
      <sz val="9"/>
      <color rgb="FF000000"/>
      <name val="Arial"/>
    </font>
    <font>
      <b/>
      <sz val="9"/>
      <color rgb="FFFFFFFF"/>
      <name val="Arial"/>
    </font>
    <font>
      <b/>
      <sz val="9"/>
      <color theme="1"/>
      <name val="Arial"/>
    </font>
    <font>
      <sz val="10"/>
      <color theme="1"/>
      <name val="Arial"/>
      <scheme val="minor"/>
    </font>
    <font>
      <b/>
      <sz val="9"/>
      <color rgb="FF000000"/>
      <name val="Arial"/>
    </font>
    <font>
      <sz val="10"/>
      <name val="Arial"/>
    </font>
    <font>
      <sz val="7"/>
      <color rgb="FF000000"/>
      <name val="Arial"/>
    </font>
    <font>
      <sz val="9"/>
      <color rgb="FFFFFFFF"/>
      <name val="Arial"/>
    </font>
    <font>
      <sz val="9"/>
      <color rgb="FF0B8043"/>
      <name val="Arial"/>
    </font>
    <font>
      <sz val="9"/>
      <color rgb="FFC53929"/>
      <name val="Arial"/>
    </font>
    <font>
      <sz val="10"/>
      <color theme="1"/>
      <name val="Arial"/>
    </font>
    <font>
      <sz val="10"/>
      <color rgb="FF000000"/>
      <name val="Arial"/>
    </font>
    <font>
      <sz val="10"/>
      <color rgb="FF000000"/>
      <name val="Arial"/>
      <scheme val="minor"/>
    </font>
    <font>
      <b/>
      <sz val="10"/>
      <color theme="1"/>
      <name val="Arial"/>
    </font>
    <font>
      <b/>
      <sz val="10"/>
      <color theme="1"/>
      <name val="Arial"/>
      <scheme val="minor"/>
    </font>
    <font>
      <sz val="9"/>
      <color rgb="FFFF0000"/>
      <name val="Arial"/>
    </font>
    <font>
      <sz val="11"/>
      <color rgb="FF1F1F1F"/>
      <name val="&quot;Google Sans&quot;"/>
    </font>
    <font>
      <b/>
      <sz val="10"/>
      <color theme="1"/>
      <name val="Arial"/>
    </font>
    <font>
      <sz val="7"/>
      <color rgb="FFFF0000"/>
      <name val="Arial"/>
    </font>
    <font>
      <sz val="10"/>
      <color rgb="FFFF0000"/>
      <name val="Arial"/>
    </font>
    <font>
      <sz val="10"/>
      <color rgb="FFFF0000"/>
      <name val="Arial"/>
      <scheme val="minor"/>
    </font>
    <font>
      <sz val="10"/>
      <color rgb="FFFF0000"/>
      <name val="Arial"/>
    </font>
    <font>
      <b/>
      <sz val="10"/>
      <color rgb="FF000000"/>
      <name val="Arial"/>
    </font>
    <font>
      <sz val="10"/>
      <color rgb="FF000000"/>
      <name val="Arial"/>
    </font>
    <font>
      <sz val="9"/>
      <color rgb="FF1155CC"/>
      <name val="&quot;Google Sans Mono&quot;"/>
    </font>
    <font>
      <sz val="8"/>
      <color theme="1"/>
      <name val="Arial"/>
    </font>
    <font>
      <sz val="8"/>
      <color rgb="FF000000"/>
      <name val="Arial"/>
    </font>
    <font>
      <b/>
      <sz val="11"/>
      <color theme="1"/>
      <name val="Arial"/>
    </font>
    <font>
      <i/>
      <sz val="9"/>
      <color rgb="FF000000"/>
      <name val="Arial"/>
    </font>
    <font>
      <i/>
      <sz val="9"/>
      <color theme="1"/>
      <name val="Arial"/>
    </font>
    <font>
      <i/>
      <sz val="9"/>
      <color rgb="FF0B8043"/>
      <name val="Arial"/>
    </font>
    <font>
      <i/>
      <sz val="9"/>
      <color rgb="FFFF0000"/>
      <name val="Arial"/>
    </font>
    <font>
      <i/>
      <sz val="7"/>
      <color rgb="FF000000"/>
      <name val="Arial"/>
    </font>
    <font>
      <i/>
      <sz val="10"/>
      <color theme="1"/>
      <name val="Arial"/>
    </font>
    <font>
      <b/>
      <i/>
      <sz val="9"/>
      <color rgb="FF000000"/>
      <name val="Arial"/>
    </font>
    <font>
      <b/>
      <sz val="9"/>
      <color rgb="FF0B8043"/>
      <name val="Arial"/>
    </font>
    <font>
      <b/>
      <sz val="9"/>
      <color rgb="FFFF0000"/>
      <name val="Arial"/>
    </font>
    <font>
      <b/>
      <sz val="7"/>
      <color rgb="FF000000"/>
      <name val="Arial"/>
    </font>
    <font>
      <b/>
      <i/>
      <sz val="9"/>
      <color theme="1"/>
      <name val="Arial"/>
    </font>
    <font>
      <b/>
      <u/>
      <sz val="9"/>
      <color rgb="FF000000"/>
      <name val="Arial"/>
    </font>
    <font>
      <b/>
      <u/>
      <sz val="9"/>
      <color rgb="FFFFFFFF"/>
      <name val="Arial"/>
    </font>
    <font>
      <b/>
      <u/>
      <sz val="9"/>
      <color rgb="FF000000"/>
      <name val="Arial"/>
    </font>
    <font>
      <b/>
      <u/>
      <sz val="9"/>
      <color rgb="FF000000"/>
      <name val="Arial"/>
    </font>
    <font>
      <b/>
      <u/>
      <sz val="9"/>
      <color rgb="FFFFFFFF"/>
      <name val="Arial"/>
    </font>
    <font>
      <b/>
      <u/>
      <sz val="9"/>
      <color rgb="FFFFFFFF"/>
      <name val="Arial"/>
    </font>
  </fonts>
  <fills count="30">
    <fill>
      <patternFill patternType="none"/>
    </fill>
    <fill>
      <patternFill patternType="gray125"/>
    </fill>
    <fill>
      <patternFill patternType="solid">
        <fgColor rgb="FFFFFFFF"/>
        <bgColor rgb="FFFFFFFF"/>
      </patternFill>
    </fill>
    <fill>
      <patternFill patternType="solid">
        <fgColor rgb="FFBF9000"/>
        <bgColor rgb="FFBF9000"/>
      </patternFill>
    </fill>
    <fill>
      <patternFill patternType="solid">
        <fgColor rgb="FF0C343D"/>
        <bgColor rgb="FF0C343D"/>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FAE4E2"/>
        <bgColor rgb="FFFAE4E2"/>
      </patternFill>
    </fill>
    <fill>
      <patternFill patternType="solid">
        <fgColor rgb="FF9FC5E8"/>
        <bgColor rgb="FF9FC5E8"/>
      </patternFill>
    </fill>
    <fill>
      <patternFill patternType="solid">
        <fgColor rgb="FFB7E1CD"/>
        <bgColor rgb="FFB7E1CD"/>
      </patternFill>
    </fill>
    <fill>
      <patternFill patternType="solid">
        <fgColor rgb="FFFBE8E7"/>
        <bgColor rgb="FFFBE8E7"/>
      </patternFill>
    </fill>
    <fill>
      <patternFill patternType="solid">
        <fgColor rgb="FFCDEBDC"/>
        <bgColor rgb="FFCDEBDC"/>
      </patternFill>
    </fill>
    <fill>
      <patternFill patternType="solid">
        <fgColor rgb="FFEEF8F3"/>
        <bgColor rgb="FFEEF8F3"/>
      </patternFill>
    </fill>
    <fill>
      <patternFill patternType="solid">
        <fgColor rgb="FFF6CCC8"/>
        <bgColor rgb="FFF6CCC8"/>
      </patternFill>
    </fill>
    <fill>
      <patternFill patternType="solid">
        <fgColor rgb="FFFDFEFD"/>
        <bgColor rgb="FFFDFEFD"/>
      </patternFill>
    </fill>
    <fill>
      <patternFill patternType="solid">
        <fgColor rgb="FFF8DBD9"/>
        <bgColor rgb="FFF8DBD9"/>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F3F3F3"/>
        <bgColor rgb="FFF3F3F3"/>
      </patternFill>
    </fill>
    <fill>
      <patternFill patternType="solid">
        <fgColor rgb="FFF0F9F5"/>
        <bgColor rgb="FFF0F9F5"/>
      </patternFill>
    </fill>
    <fill>
      <patternFill patternType="solid">
        <fgColor rgb="FFF6CECB"/>
        <bgColor rgb="FFF6CECB"/>
      </patternFill>
    </fill>
    <fill>
      <patternFill patternType="solid">
        <fgColor rgb="FFE67C73"/>
        <bgColor rgb="FFE67C73"/>
      </patternFill>
    </fill>
    <fill>
      <patternFill patternType="solid">
        <fgColor rgb="FFEBF7F1"/>
        <bgColor rgb="FFEBF7F1"/>
      </patternFill>
    </fill>
  </fills>
  <borders count="69">
    <border>
      <left/>
      <right/>
      <top/>
      <bottom/>
      <diagonal/>
    </border>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top/>
      <bottom/>
      <diagonal/>
    </border>
    <border>
      <left/>
      <right/>
      <top/>
      <bottom/>
      <diagonal/>
    </border>
    <border>
      <left style="thin">
        <color rgb="FF000000"/>
      </left>
      <right/>
      <top/>
      <bottom/>
      <diagonal/>
    </border>
    <border>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thin">
        <color rgb="FFFFFFFF"/>
      </top>
      <bottom/>
      <diagonal/>
    </border>
    <border>
      <left/>
      <right style="thin">
        <color rgb="FF000000"/>
      </right>
      <top style="thin">
        <color rgb="FFFFFFFF"/>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s>
  <cellStyleXfs count="1">
    <xf numFmtId="0" fontId="0" fillId="0" borderId="0"/>
  </cellStyleXfs>
  <cellXfs count="561">
    <xf numFmtId="0" fontId="0" fillId="0" borderId="0" xfId="0"/>
    <xf numFmtId="0" fontId="1" fillId="2" borderId="1" xfId="0" applyFont="1" applyFill="1" applyBorder="1"/>
    <xf numFmtId="164" fontId="1" fillId="2" borderId="1" xfId="0" applyNumberFormat="1" applyFont="1" applyFill="1" applyBorder="1" applyAlignment="1">
      <alignment horizontal="center"/>
    </xf>
    <xf numFmtId="164" fontId="2" fillId="2" borderId="1" xfId="0" applyNumberFormat="1" applyFont="1" applyFill="1" applyBorder="1"/>
    <xf numFmtId="0" fontId="1" fillId="2" borderId="1" xfId="0" applyFont="1" applyFill="1" applyBorder="1" applyAlignment="1">
      <alignment horizontal="right"/>
    </xf>
    <xf numFmtId="0" fontId="2" fillId="2" borderId="1" xfId="0" applyFont="1" applyFill="1" applyBorder="1"/>
    <xf numFmtId="165" fontId="1" fillId="2" borderId="1" xfId="0" applyNumberFormat="1" applyFont="1" applyFill="1" applyBorder="1" applyAlignment="1">
      <alignment horizontal="right"/>
    </xf>
    <xf numFmtId="0" fontId="1" fillId="2" borderId="5" xfId="0" applyFont="1" applyFill="1" applyBorder="1"/>
    <xf numFmtId="0" fontId="3" fillId="2" borderId="1" xfId="0" applyFont="1" applyFill="1" applyBorder="1"/>
    <xf numFmtId="164" fontId="3" fillId="2" borderId="9"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1" xfId="0" applyNumberFormat="1" applyFont="1" applyFill="1" applyBorder="1" applyAlignment="1">
      <alignment horizontal="center"/>
    </xf>
    <xf numFmtId="164" fontId="1" fillId="2" borderId="12" xfId="0" applyNumberFormat="1" applyFont="1" applyFill="1" applyBorder="1" applyAlignment="1">
      <alignment horizontal="center"/>
    </xf>
    <xf numFmtId="164" fontId="1" fillId="2" borderId="5" xfId="0" applyNumberFormat="1" applyFont="1" applyFill="1" applyBorder="1"/>
    <xf numFmtId="164" fontId="2" fillId="2" borderId="8" xfId="0" applyNumberFormat="1" applyFont="1" applyFill="1" applyBorder="1"/>
    <xf numFmtId="164" fontId="2" fillId="2" borderId="9" xfId="0" applyNumberFormat="1" applyFont="1" applyFill="1" applyBorder="1"/>
    <xf numFmtId="164" fontId="2" fillId="2" borderId="5" xfId="0" applyNumberFormat="1" applyFont="1" applyFill="1" applyBorder="1"/>
    <xf numFmtId="164" fontId="3" fillId="2" borderId="14" xfId="0" applyNumberFormat="1" applyFont="1" applyFill="1" applyBorder="1" applyAlignment="1">
      <alignment horizontal="center"/>
    </xf>
    <xf numFmtId="164" fontId="1" fillId="2" borderId="13"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18" xfId="0" applyNumberFormat="1" applyFont="1" applyFill="1" applyBorder="1" applyAlignment="1">
      <alignment horizontal="center"/>
    </xf>
    <xf numFmtId="164" fontId="2" fillId="2" borderId="12" xfId="0" applyNumberFormat="1" applyFont="1" applyFill="1" applyBorder="1"/>
    <xf numFmtId="0" fontId="1" fillId="2" borderId="0" xfId="0" applyFont="1" applyFill="1"/>
    <xf numFmtId="164" fontId="1" fillId="2" borderId="0" xfId="0" applyNumberFormat="1" applyFont="1" applyFill="1" applyAlignment="1">
      <alignment horizontal="center"/>
    </xf>
    <xf numFmtId="164" fontId="1" fillId="2" borderId="19" xfId="0" applyNumberFormat="1" applyFont="1" applyFill="1" applyBorder="1" applyAlignment="1">
      <alignment horizontal="center"/>
    </xf>
    <xf numFmtId="0" fontId="1" fillId="2" borderId="0" xfId="0" applyFont="1" applyFill="1" applyAlignment="1">
      <alignment horizontal="center"/>
    </xf>
    <xf numFmtId="0" fontId="2" fillId="2" borderId="0" xfId="0" applyFont="1" applyFill="1"/>
    <xf numFmtId="164" fontId="2" fillId="2" borderId="0" xfId="0" applyNumberFormat="1" applyFont="1" applyFill="1"/>
    <xf numFmtId="0" fontId="5" fillId="2" borderId="1" xfId="0" applyFont="1" applyFill="1" applyBorder="1"/>
    <xf numFmtId="0" fontId="1" fillId="0" borderId="0" xfId="0" applyFont="1"/>
    <xf numFmtId="0" fontId="1" fillId="0" borderId="0" xfId="0" applyFont="1" applyAlignment="1">
      <alignment horizontal="center"/>
    </xf>
    <xf numFmtId="0" fontId="6" fillId="0" borderId="0" xfId="0" applyFont="1"/>
    <xf numFmtId="164" fontId="1" fillId="6" borderId="1" xfId="0" applyNumberFormat="1" applyFont="1" applyFill="1" applyBorder="1" applyAlignment="1">
      <alignment horizontal="center"/>
    </xf>
    <xf numFmtId="164" fontId="1" fillId="6" borderId="13" xfId="0" applyNumberFormat="1" applyFont="1" applyFill="1" applyBorder="1" applyAlignment="1">
      <alignment horizontal="center"/>
    </xf>
    <xf numFmtId="0" fontId="7" fillId="7" borderId="28" xfId="0" applyFont="1" applyFill="1" applyBorder="1" applyAlignment="1">
      <alignment horizontal="center" wrapText="1"/>
    </xf>
    <xf numFmtId="0" fontId="7" fillId="7" borderId="4" xfId="0" applyFont="1" applyFill="1" applyBorder="1" applyAlignment="1">
      <alignment horizontal="center" wrapText="1"/>
    </xf>
    <xf numFmtId="0" fontId="7" fillId="7" borderId="29" xfId="0" applyFont="1" applyFill="1" applyBorder="1" applyAlignment="1">
      <alignment horizontal="center" wrapText="1"/>
    </xf>
    <xf numFmtId="0" fontId="1" fillId="0" borderId="0" xfId="0" applyFont="1" applyAlignment="1">
      <alignment vertical="center"/>
    </xf>
    <xf numFmtId="0" fontId="4" fillId="4" borderId="24" xfId="0" applyFont="1" applyFill="1" applyBorder="1" applyAlignment="1">
      <alignment horizontal="center" vertical="center"/>
    </xf>
    <xf numFmtId="0" fontId="4" fillId="4" borderId="24" xfId="0" applyFont="1" applyFill="1" applyBorder="1" applyAlignment="1">
      <alignment horizontal="left" vertical="center"/>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wrapText="1"/>
    </xf>
    <xf numFmtId="0" fontId="4" fillId="4" borderId="33" xfId="0" applyFont="1" applyFill="1" applyBorder="1" applyAlignment="1">
      <alignment horizontal="left" vertical="center" wrapText="1"/>
    </xf>
    <xf numFmtId="0" fontId="2" fillId="0" borderId="0" xfId="0" applyFont="1" applyAlignment="1">
      <alignment vertical="center"/>
    </xf>
    <xf numFmtId="0" fontId="3" fillId="2" borderId="1" xfId="0" applyFont="1" applyFill="1" applyBorder="1" applyAlignment="1">
      <alignment horizontal="right"/>
    </xf>
    <xf numFmtId="3" fontId="1" fillId="2" borderId="1" xfId="0" applyNumberFormat="1" applyFont="1" applyFill="1" applyBorder="1" applyAlignment="1">
      <alignment horizontal="left"/>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1" fillId="2" borderId="9" xfId="0" applyFont="1" applyFill="1" applyBorder="1" applyAlignment="1">
      <alignment horizontal="right"/>
    </xf>
    <xf numFmtId="2" fontId="1" fillId="2" borderId="1" xfId="0" applyNumberFormat="1" applyFont="1" applyFill="1" applyBorder="1" applyAlignment="1">
      <alignment horizontal="center"/>
    </xf>
    <xf numFmtId="168" fontId="1" fillId="2" borderId="1" xfId="0" applyNumberFormat="1" applyFont="1" applyFill="1" applyBorder="1" applyAlignment="1">
      <alignment horizontal="center"/>
    </xf>
    <xf numFmtId="169" fontId="1" fillId="2" borderId="1" xfId="0" applyNumberFormat="1" applyFont="1" applyFill="1" applyBorder="1" applyAlignment="1">
      <alignment horizontal="center"/>
    </xf>
    <xf numFmtId="169" fontId="1"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2" borderId="10" xfId="0" applyFont="1" applyFill="1" applyBorder="1" applyAlignment="1">
      <alignment horizontal="center"/>
    </xf>
    <xf numFmtId="0" fontId="1" fillId="2" borderId="9" xfId="0" applyFont="1" applyFill="1" applyBorder="1" applyAlignment="1">
      <alignment horizontal="center"/>
    </xf>
    <xf numFmtId="0" fontId="1" fillId="2" borderId="9" xfId="0" applyFont="1" applyFill="1" applyBorder="1" applyAlignment="1">
      <alignment horizontal="center" vertical="center"/>
    </xf>
    <xf numFmtId="0" fontId="1" fillId="8"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9" borderId="34" xfId="0" applyFont="1" applyFill="1" applyBorder="1" applyAlignment="1">
      <alignment horizontal="left" vertical="center" wrapText="1"/>
    </xf>
    <xf numFmtId="170" fontId="1" fillId="2" borderId="1"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right"/>
    </xf>
    <xf numFmtId="164" fontId="3" fillId="6" borderId="0" xfId="0" applyNumberFormat="1" applyFont="1" applyFill="1" applyAlignment="1">
      <alignment horizontal="center"/>
    </xf>
    <xf numFmtId="164" fontId="3" fillId="2" borderId="10" xfId="0" applyNumberFormat="1" applyFont="1" applyFill="1" applyBorder="1" applyAlignment="1">
      <alignment horizontal="center"/>
    </xf>
    <xf numFmtId="0" fontId="10" fillId="4" borderId="35" xfId="0" applyFont="1" applyFill="1" applyBorder="1" applyAlignment="1">
      <alignment horizontal="center" vertical="center" wrapText="1"/>
    </xf>
    <xf numFmtId="0" fontId="1" fillId="2" borderId="19" xfId="0" applyFont="1" applyFill="1" applyBorder="1"/>
    <xf numFmtId="3" fontId="1" fillId="2" borderId="19" xfId="0" applyNumberFormat="1" applyFont="1" applyFill="1" applyBorder="1"/>
    <xf numFmtId="3" fontId="1" fillId="2" borderId="19" xfId="0" applyNumberFormat="1" applyFont="1" applyFill="1" applyBorder="1" applyAlignment="1">
      <alignment horizontal="center"/>
    </xf>
    <xf numFmtId="0" fontId="1" fillId="2" borderId="19" xfId="0" applyFont="1" applyFill="1" applyBorder="1" applyAlignment="1">
      <alignment horizontal="center"/>
    </xf>
    <xf numFmtId="165" fontId="1" fillId="2" borderId="19" xfId="0" applyNumberFormat="1" applyFont="1" applyFill="1" applyBorder="1" applyAlignment="1">
      <alignment horizontal="center"/>
    </xf>
    <xf numFmtId="164" fontId="1" fillId="2" borderId="20" xfId="0" applyNumberFormat="1" applyFont="1" applyFill="1" applyBorder="1" applyAlignment="1">
      <alignment horizontal="center"/>
    </xf>
    <xf numFmtId="0" fontId="1" fillId="2" borderId="19" xfId="0" applyFont="1" applyFill="1" applyBorder="1" applyAlignment="1">
      <alignment horizontal="right"/>
    </xf>
    <xf numFmtId="2" fontId="1" fillId="2" borderId="19" xfId="0" applyNumberFormat="1" applyFont="1" applyFill="1" applyBorder="1" applyAlignment="1">
      <alignment horizontal="center"/>
    </xf>
    <xf numFmtId="168" fontId="1" fillId="2" borderId="19" xfId="0" applyNumberFormat="1" applyFont="1" applyFill="1" applyBorder="1" applyAlignment="1">
      <alignment horizontal="center"/>
    </xf>
    <xf numFmtId="169" fontId="1" fillId="2" borderId="19" xfId="0" applyNumberFormat="1" applyFont="1" applyFill="1" applyBorder="1" applyAlignment="1">
      <alignment horizontal="center"/>
    </xf>
    <xf numFmtId="169" fontId="11" fillId="2" borderId="19" xfId="0" applyNumberFormat="1" applyFont="1" applyFill="1" applyBorder="1" applyAlignment="1">
      <alignment horizontal="center"/>
    </xf>
    <xf numFmtId="164" fontId="1" fillId="10" borderId="20" xfId="0" applyNumberFormat="1" applyFont="1" applyFill="1" applyBorder="1" applyAlignment="1">
      <alignment horizontal="center"/>
    </xf>
    <xf numFmtId="164" fontId="11" fillId="2" borderId="19" xfId="0" applyNumberFormat="1" applyFont="1" applyFill="1" applyBorder="1" applyAlignment="1">
      <alignment horizontal="center"/>
    </xf>
    <xf numFmtId="164" fontId="12" fillId="2" borderId="19" xfId="0" applyNumberFormat="1" applyFont="1" applyFill="1" applyBorder="1" applyAlignment="1">
      <alignment horizontal="center"/>
    </xf>
    <xf numFmtId="164" fontId="11" fillId="2" borderId="20" xfId="0" applyNumberFormat="1" applyFont="1" applyFill="1" applyBorder="1" applyAlignment="1">
      <alignment horizontal="center"/>
    </xf>
    <xf numFmtId="0" fontId="3" fillId="8" borderId="1" xfId="0" applyFont="1" applyFill="1" applyBorder="1" applyAlignment="1">
      <alignment horizontal="center" vertical="center"/>
    </xf>
    <xf numFmtId="164" fontId="1" fillId="11" borderId="0" xfId="0" applyNumberFormat="1" applyFont="1" applyFill="1" applyAlignment="1">
      <alignment horizontal="center"/>
    </xf>
    <xf numFmtId="164" fontId="1" fillId="3" borderId="0" xfId="0" applyNumberFormat="1" applyFont="1" applyFill="1" applyAlignment="1">
      <alignment horizontal="center"/>
    </xf>
    <xf numFmtId="164" fontId="1" fillId="12" borderId="36" xfId="0" applyNumberFormat="1" applyFont="1" applyFill="1" applyBorder="1" applyAlignment="1">
      <alignment horizontal="center"/>
    </xf>
    <xf numFmtId="164" fontId="13" fillId="2" borderId="0" xfId="0" applyNumberFormat="1" applyFont="1" applyFill="1"/>
    <xf numFmtId="0" fontId="13" fillId="2" borderId="0" xfId="0" applyFont="1" applyFill="1"/>
    <xf numFmtId="164" fontId="13" fillId="0" borderId="0" xfId="0" applyNumberFormat="1" applyFont="1"/>
    <xf numFmtId="0" fontId="13" fillId="0" borderId="0" xfId="0" applyFont="1"/>
    <xf numFmtId="3" fontId="13" fillId="2" borderId="0" xfId="0" applyNumberFormat="1" applyFont="1" applyFill="1"/>
    <xf numFmtId="170" fontId="13" fillId="2" borderId="0" xfId="0" applyNumberFormat="1" applyFont="1" applyFill="1"/>
    <xf numFmtId="0" fontId="13" fillId="2" borderId="36" xfId="0" applyFont="1" applyFill="1" applyBorder="1"/>
    <xf numFmtId="2" fontId="13" fillId="2" borderId="0" xfId="0" applyNumberFormat="1" applyFont="1" applyFill="1"/>
    <xf numFmtId="164" fontId="13" fillId="2" borderId="36" xfId="0" applyNumberFormat="1" applyFont="1" applyFill="1" applyBorder="1"/>
    <xf numFmtId="164" fontId="1" fillId="2" borderId="36" xfId="0" applyNumberFormat="1" applyFont="1" applyFill="1" applyBorder="1" applyAlignment="1">
      <alignment horizontal="center"/>
    </xf>
    <xf numFmtId="165" fontId="1" fillId="2" borderId="0" xfId="0" applyNumberFormat="1" applyFont="1" applyFill="1" applyAlignment="1">
      <alignment horizontal="center"/>
    </xf>
    <xf numFmtId="0" fontId="1" fillId="0" borderId="0" xfId="0" applyFont="1" applyAlignment="1">
      <alignment horizontal="right"/>
    </xf>
    <xf numFmtId="0" fontId="10" fillId="4" borderId="37" xfId="0" applyFont="1" applyFill="1" applyBorder="1" applyAlignment="1">
      <alignment horizontal="center" wrapText="1"/>
    </xf>
    <xf numFmtId="164" fontId="11" fillId="2" borderId="36" xfId="0" applyNumberFormat="1" applyFont="1" applyFill="1" applyBorder="1" applyAlignment="1">
      <alignment horizontal="center"/>
    </xf>
    <xf numFmtId="164" fontId="12" fillId="2" borderId="0" xfId="0" applyNumberFormat="1" applyFont="1" applyFill="1" applyAlignment="1">
      <alignment horizontal="center"/>
    </xf>
    <xf numFmtId="0" fontId="3" fillId="0" borderId="0" xfId="0" applyFont="1"/>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0" fontId="3" fillId="2" borderId="1" xfId="0" applyFont="1" applyFill="1" applyBorder="1" applyAlignment="1">
      <alignment horizontal="center"/>
    </xf>
    <xf numFmtId="165" fontId="3" fillId="2" borderId="1"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2" borderId="9" xfId="0" applyFont="1" applyFill="1" applyBorder="1" applyAlignment="1">
      <alignment horizontal="right"/>
    </xf>
    <xf numFmtId="2" fontId="3" fillId="2" borderId="1" xfId="0" applyNumberFormat="1" applyFont="1" applyFill="1" applyBorder="1" applyAlignment="1">
      <alignment horizontal="center"/>
    </xf>
    <xf numFmtId="168" fontId="3" fillId="2" borderId="1" xfId="0" applyNumberFormat="1" applyFont="1" applyFill="1" applyBorder="1" applyAlignment="1">
      <alignment horizontal="center"/>
    </xf>
    <xf numFmtId="169" fontId="3" fillId="2" borderId="1" xfId="0" applyNumberFormat="1" applyFont="1" applyFill="1" applyBorder="1" applyAlignment="1">
      <alignment horizontal="center"/>
    </xf>
    <xf numFmtId="169" fontId="3" fillId="2" borderId="5" xfId="0" applyNumberFormat="1"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9" fillId="13" borderId="34" xfId="0" applyFont="1" applyFill="1" applyBorder="1" applyAlignment="1">
      <alignment horizontal="left" vertical="center" wrapText="1"/>
    </xf>
    <xf numFmtId="0" fontId="14" fillId="2" borderId="1" xfId="0" applyFont="1" applyFill="1" applyBorder="1"/>
    <xf numFmtId="0" fontId="15" fillId="0" borderId="0" xfId="0" applyFont="1"/>
    <xf numFmtId="171" fontId="1" fillId="6" borderId="0" xfId="0" applyNumberFormat="1" applyFont="1" applyFill="1" applyAlignment="1">
      <alignment horizontal="center"/>
    </xf>
    <xf numFmtId="164" fontId="1" fillId="6" borderId="0" xfId="0" applyNumberFormat="1" applyFont="1" applyFill="1" applyAlignment="1">
      <alignment horizontal="center"/>
    </xf>
    <xf numFmtId="164" fontId="2" fillId="2" borderId="1" xfId="0" applyNumberFormat="1" applyFont="1" applyFill="1" applyBorder="1" applyAlignment="1">
      <alignment vertical="center"/>
    </xf>
    <xf numFmtId="3" fontId="5" fillId="2" borderId="1" xfId="0" applyNumberFormat="1" applyFont="1" applyFill="1" applyBorder="1" applyAlignment="1">
      <alignment horizontal="left"/>
    </xf>
    <xf numFmtId="3" fontId="5" fillId="2" borderId="1" xfId="0" applyNumberFormat="1" applyFont="1" applyFill="1" applyBorder="1" applyAlignment="1">
      <alignment horizontal="center"/>
    </xf>
    <xf numFmtId="0" fontId="5" fillId="2" borderId="1" xfId="0" applyFont="1" applyFill="1" applyBorder="1" applyAlignment="1">
      <alignment horizontal="center"/>
    </xf>
    <xf numFmtId="165" fontId="5"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right"/>
    </xf>
    <xf numFmtId="2" fontId="5" fillId="2" borderId="1" xfId="0" applyNumberFormat="1" applyFont="1" applyFill="1" applyBorder="1" applyAlignment="1">
      <alignment horizontal="center"/>
    </xf>
    <xf numFmtId="0" fontId="5" fillId="2" borderId="5" xfId="0" applyFont="1" applyFill="1" applyBorder="1" applyAlignment="1">
      <alignment horizontal="right"/>
    </xf>
    <xf numFmtId="171" fontId="5" fillId="6" borderId="0" xfId="0" applyNumberFormat="1" applyFont="1" applyFill="1" applyAlignment="1">
      <alignment horizontal="center"/>
    </xf>
    <xf numFmtId="164" fontId="5" fillId="6" borderId="0" xfId="0" applyNumberFormat="1" applyFont="1" applyFill="1" applyAlignment="1">
      <alignment horizontal="center"/>
    </xf>
    <xf numFmtId="164" fontId="7" fillId="2" borderId="10" xfId="0" applyNumberFormat="1" applyFont="1" applyFill="1" applyBorder="1" applyAlignment="1">
      <alignment horizontal="center"/>
    </xf>
    <xf numFmtId="164" fontId="7" fillId="2" borderId="9" xfId="0" applyNumberFormat="1" applyFont="1" applyFill="1" applyBorder="1" applyAlignment="1">
      <alignment horizontal="center"/>
    </xf>
    <xf numFmtId="164" fontId="7" fillId="2" borderId="1" xfId="0" applyNumberFormat="1" applyFont="1" applyFill="1" applyBorder="1" applyAlignment="1">
      <alignment horizontal="center"/>
    </xf>
    <xf numFmtId="164" fontId="5" fillId="2" borderId="9" xfId="0" applyNumberFormat="1" applyFont="1" applyFill="1" applyBorder="1" applyAlignment="1">
      <alignment horizontal="center"/>
    </xf>
    <xf numFmtId="164" fontId="16" fillId="2" borderId="9" xfId="0" applyNumberFormat="1" applyFont="1" applyFill="1" applyBorder="1"/>
    <xf numFmtId="164" fontId="16" fillId="2" borderId="1" xfId="0" applyNumberFormat="1" applyFont="1" applyFill="1" applyBorder="1"/>
    <xf numFmtId="164" fontId="16" fillId="2" borderId="1" xfId="0" applyNumberFormat="1" applyFont="1" applyFill="1" applyBorder="1" applyAlignment="1">
      <alignment vertical="center"/>
    </xf>
    <xf numFmtId="0" fontId="5" fillId="0" borderId="0" xfId="0" applyFont="1"/>
    <xf numFmtId="0" fontId="16" fillId="2" borderId="1" xfId="0" applyFont="1" applyFill="1" applyBorder="1"/>
    <xf numFmtId="0" fontId="17" fillId="0" borderId="0" xfId="0" applyFont="1"/>
    <xf numFmtId="0" fontId="7" fillId="2" borderId="1" xfId="0" applyFont="1" applyFill="1" applyBorder="1" applyAlignment="1">
      <alignment horizontal="right"/>
    </xf>
    <xf numFmtId="165" fontId="13" fillId="2" borderId="0" xfId="0" applyNumberFormat="1" applyFont="1" applyFill="1"/>
    <xf numFmtId="171" fontId="13" fillId="2" borderId="0" xfId="0" applyNumberFormat="1" applyFont="1" applyFill="1"/>
    <xf numFmtId="164" fontId="5" fillId="2" borderId="0" xfId="0" applyNumberFormat="1" applyFont="1" applyFill="1" applyAlignment="1">
      <alignment horizontal="center"/>
    </xf>
    <xf numFmtId="164" fontId="5" fillId="2" borderId="36" xfId="0" applyNumberFormat="1" applyFont="1" applyFill="1" applyBorder="1" applyAlignment="1">
      <alignment horizontal="center"/>
    </xf>
    <xf numFmtId="165" fontId="5" fillId="2" borderId="0" xfId="0" applyNumberFormat="1" applyFont="1" applyFill="1" applyAlignment="1">
      <alignment horizontal="center"/>
    </xf>
    <xf numFmtId="0" fontId="5" fillId="0" borderId="0" xfId="0" applyFont="1" applyAlignment="1">
      <alignment horizontal="right"/>
    </xf>
    <xf numFmtId="164" fontId="2" fillId="2" borderId="0" xfId="0" applyNumberFormat="1" applyFont="1" applyFill="1" applyAlignment="1">
      <alignment vertical="center"/>
    </xf>
    <xf numFmtId="0" fontId="9" fillId="14" borderId="34" xfId="0" applyFont="1" applyFill="1" applyBorder="1" applyAlignment="1">
      <alignment horizontal="left" vertical="center" wrapText="1"/>
    </xf>
    <xf numFmtId="0" fontId="3" fillId="2" borderId="5" xfId="0" applyFont="1" applyFill="1" applyBorder="1" applyAlignment="1">
      <alignment horizontal="center"/>
    </xf>
    <xf numFmtId="0" fontId="3" fillId="2" borderId="5" xfId="0" applyFont="1" applyFill="1" applyBorder="1" applyAlignment="1">
      <alignment horizontal="right"/>
    </xf>
    <xf numFmtId="171" fontId="3" fillId="6" borderId="0" xfId="0" applyNumberFormat="1" applyFont="1" applyFill="1" applyAlignment="1">
      <alignment horizontal="center"/>
    </xf>
    <xf numFmtId="164" fontId="14" fillId="2" borderId="9" xfId="0" applyNumberFormat="1" applyFont="1" applyFill="1" applyBorder="1"/>
    <xf numFmtId="164" fontId="14" fillId="2" borderId="1" xfId="0" applyNumberFormat="1" applyFont="1" applyFill="1" applyBorder="1"/>
    <xf numFmtId="0" fontId="18" fillId="2" borderId="1" xfId="0" applyFont="1" applyFill="1" applyBorder="1" applyAlignment="1">
      <alignment horizontal="right"/>
    </xf>
    <xf numFmtId="0" fontId="1" fillId="2" borderId="0" xfId="0" applyFont="1" applyFill="1" applyAlignment="1">
      <alignment horizontal="right"/>
    </xf>
    <xf numFmtId="3" fontId="1" fillId="2" borderId="0" xfId="0" applyNumberFormat="1" applyFont="1" applyFill="1"/>
    <xf numFmtId="3" fontId="1" fillId="2" borderId="0" xfId="0" applyNumberFormat="1" applyFont="1" applyFill="1" applyAlignment="1">
      <alignment horizontal="center"/>
    </xf>
    <xf numFmtId="2" fontId="1" fillId="2" borderId="0" xfId="0" applyNumberFormat="1" applyFont="1" applyFill="1" applyAlignment="1">
      <alignment horizontal="center"/>
    </xf>
    <xf numFmtId="168" fontId="1" fillId="2" borderId="0" xfId="0" applyNumberFormat="1" applyFont="1" applyFill="1" applyAlignment="1">
      <alignment horizontal="center"/>
    </xf>
    <xf numFmtId="169" fontId="1" fillId="2" borderId="0" xfId="0" applyNumberFormat="1" applyFont="1" applyFill="1" applyAlignment="1">
      <alignment horizontal="center"/>
    </xf>
    <xf numFmtId="169" fontId="11" fillId="2" borderId="0" xfId="0" applyNumberFormat="1" applyFont="1" applyFill="1" applyAlignment="1">
      <alignment horizontal="center"/>
    </xf>
    <xf numFmtId="164" fontId="11" fillId="2" borderId="0" xfId="0" applyNumberFormat="1" applyFont="1" applyFill="1" applyAlignment="1">
      <alignment horizontal="center"/>
    </xf>
    <xf numFmtId="164" fontId="1" fillId="15" borderId="0" xfId="0" applyNumberFormat="1" applyFont="1" applyFill="1" applyAlignment="1">
      <alignment horizontal="center"/>
    </xf>
    <xf numFmtId="164" fontId="1" fillId="16" borderId="36" xfId="0" applyNumberFormat="1" applyFont="1" applyFill="1" applyBorder="1" applyAlignment="1">
      <alignment horizontal="center"/>
    </xf>
    <xf numFmtId="164" fontId="1" fillId="12" borderId="0" xfId="0" applyNumberFormat="1" applyFont="1" applyFill="1" applyAlignment="1">
      <alignment horizontal="center"/>
    </xf>
    <xf numFmtId="164" fontId="1" fillId="8" borderId="0" xfId="0" applyNumberFormat="1" applyFont="1" applyFill="1" applyAlignment="1">
      <alignment horizontal="center"/>
    </xf>
    <xf numFmtId="0" fontId="18" fillId="2" borderId="0" xfId="0" applyFont="1" applyFill="1" applyAlignment="1">
      <alignment horizontal="right"/>
    </xf>
    <xf numFmtId="0" fontId="19" fillId="2" borderId="0" xfId="0" applyFont="1" applyFill="1"/>
    <xf numFmtId="0" fontId="20" fillId="2" borderId="0" xfId="0" applyFont="1" applyFill="1"/>
    <xf numFmtId="3" fontId="20" fillId="2" borderId="0" xfId="0" applyNumberFormat="1" applyFont="1" applyFill="1"/>
    <xf numFmtId="165" fontId="20" fillId="2" borderId="0" xfId="0" applyNumberFormat="1" applyFont="1" applyFill="1"/>
    <xf numFmtId="164" fontId="20" fillId="2" borderId="0" xfId="0" applyNumberFormat="1" applyFont="1" applyFill="1"/>
    <xf numFmtId="0" fontId="20" fillId="2" borderId="36" xfId="0" applyFont="1" applyFill="1" applyBorder="1"/>
    <xf numFmtId="2" fontId="20" fillId="2" borderId="0" xfId="0" applyNumberFormat="1" applyFont="1" applyFill="1"/>
    <xf numFmtId="171" fontId="20" fillId="2" borderId="0" xfId="0" applyNumberFormat="1" applyFont="1" applyFill="1"/>
    <xf numFmtId="164" fontId="20" fillId="2" borderId="36" xfId="0" applyNumberFormat="1" applyFont="1" applyFill="1" applyBorder="1"/>
    <xf numFmtId="0" fontId="20" fillId="0" borderId="0" xfId="0" applyFont="1"/>
    <xf numFmtId="0" fontId="18" fillId="2" borderId="1" xfId="0" applyFont="1" applyFill="1" applyBorder="1"/>
    <xf numFmtId="3" fontId="18" fillId="2" borderId="1" xfId="0" applyNumberFormat="1" applyFont="1" applyFill="1" applyBorder="1" applyAlignment="1">
      <alignment horizontal="left"/>
    </xf>
    <xf numFmtId="3" fontId="18" fillId="2" borderId="1" xfId="0" applyNumberFormat="1" applyFont="1" applyFill="1" applyBorder="1" applyAlignment="1">
      <alignment horizontal="center"/>
    </xf>
    <xf numFmtId="0" fontId="18" fillId="2" borderId="1" xfId="0" applyFont="1" applyFill="1" applyBorder="1" applyAlignment="1">
      <alignment horizontal="center"/>
    </xf>
    <xf numFmtId="165" fontId="18" fillId="2" borderId="1" xfId="0" applyNumberFormat="1" applyFont="1" applyFill="1" applyBorder="1" applyAlignment="1">
      <alignment horizontal="center"/>
    </xf>
    <xf numFmtId="164" fontId="18" fillId="2" borderId="1" xfId="0" applyNumberFormat="1" applyFont="1" applyFill="1" applyBorder="1" applyAlignment="1">
      <alignment horizontal="center"/>
    </xf>
    <xf numFmtId="164" fontId="18" fillId="2" borderId="5" xfId="0" applyNumberFormat="1" applyFont="1" applyFill="1" applyBorder="1" applyAlignment="1">
      <alignment horizontal="center"/>
    </xf>
    <xf numFmtId="0" fontId="18" fillId="2" borderId="9" xfId="0" applyFont="1" applyFill="1" applyBorder="1" applyAlignment="1">
      <alignment horizontal="right"/>
    </xf>
    <xf numFmtId="2" fontId="18" fillId="2" borderId="1" xfId="0" applyNumberFormat="1" applyFont="1" applyFill="1" applyBorder="1" applyAlignment="1">
      <alignment horizontal="center"/>
    </xf>
    <xf numFmtId="168" fontId="18" fillId="2" borderId="1" xfId="0" applyNumberFormat="1" applyFont="1" applyFill="1" applyBorder="1" applyAlignment="1">
      <alignment horizontal="center"/>
    </xf>
    <xf numFmtId="169" fontId="18" fillId="2" borderId="1" xfId="0" applyNumberFormat="1" applyFont="1" applyFill="1" applyBorder="1" applyAlignment="1">
      <alignment horizontal="center"/>
    </xf>
    <xf numFmtId="169" fontId="18" fillId="2" borderId="5" xfId="0" applyNumberFormat="1" applyFont="1" applyFill="1" applyBorder="1" applyAlignment="1">
      <alignment horizontal="center"/>
    </xf>
    <xf numFmtId="0" fontId="18" fillId="2" borderId="10" xfId="0" applyFont="1" applyFill="1" applyBorder="1" applyAlignment="1">
      <alignment horizontal="center"/>
    </xf>
    <xf numFmtId="0" fontId="18" fillId="2" borderId="9" xfId="0" applyFont="1" applyFill="1" applyBorder="1" applyAlignment="1">
      <alignment horizontal="center"/>
    </xf>
    <xf numFmtId="164" fontId="18" fillId="2" borderId="9" xfId="0" applyNumberFormat="1" applyFont="1" applyFill="1" applyBorder="1" applyAlignment="1">
      <alignment horizontal="center"/>
    </xf>
    <xf numFmtId="0" fontId="18" fillId="2" borderId="9" xfId="0" applyFont="1" applyFill="1" applyBorder="1" applyAlignment="1">
      <alignment horizontal="center" vertical="center"/>
    </xf>
    <xf numFmtId="0" fontId="18" fillId="8" borderId="1" xfId="0" applyFont="1" applyFill="1" applyBorder="1" applyAlignment="1">
      <alignment horizontal="center" vertical="center"/>
    </xf>
    <xf numFmtId="0" fontId="18" fillId="2" borderId="1" xfId="0" applyFont="1" applyFill="1" applyBorder="1" applyAlignment="1">
      <alignment horizontal="center" vertical="center"/>
    </xf>
    <xf numFmtId="0" fontId="21" fillId="9" borderId="34" xfId="0" applyFont="1" applyFill="1" applyBorder="1" applyAlignment="1">
      <alignment horizontal="left" vertical="center" wrapText="1"/>
    </xf>
    <xf numFmtId="0" fontId="18" fillId="0" borderId="0" xfId="0" applyFont="1"/>
    <xf numFmtId="0" fontId="22" fillId="2" borderId="1" xfId="0" applyFont="1" applyFill="1" applyBorder="1"/>
    <xf numFmtId="0" fontId="23" fillId="0" borderId="0" xfId="0" applyFont="1"/>
    <xf numFmtId="0" fontId="24" fillId="2" borderId="0" xfId="0" applyFont="1" applyFill="1"/>
    <xf numFmtId="3" fontId="24" fillId="2" borderId="0" xfId="0" applyNumberFormat="1" applyFont="1" applyFill="1"/>
    <xf numFmtId="165" fontId="24" fillId="2" borderId="0" xfId="0" applyNumberFormat="1" applyFont="1" applyFill="1"/>
    <xf numFmtId="164" fontId="24" fillId="2" borderId="0" xfId="0" applyNumberFormat="1" applyFont="1" applyFill="1"/>
    <xf numFmtId="0" fontId="24" fillId="2" borderId="36" xfId="0" applyFont="1" applyFill="1" applyBorder="1"/>
    <xf numFmtId="2" fontId="24" fillId="2" borderId="0" xfId="0" applyNumberFormat="1" applyFont="1" applyFill="1"/>
    <xf numFmtId="171" fontId="24" fillId="2" borderId="0" xfId="0" applyNumberFormat="1" applyFont="1" applyFill="1"/>
    <xf numFmtId="164" fontId="24" fillId="2" borderId="36" xfId="0" applyNumberFormat="1" applyFont="1" applyFill="1" applyBorder="1"/>
    <xf numFmtId="164" fontId="18" fillId="2" borderId="0" xfId="0" applyNumberFormat="1" applyFont="1" applyFill="1" applyAlignment="1">
      <alignment horizontal="center"/>
    </xf>
    <xf numFmtId="164" fontId="18" fillId="2" borderId="36" xfId="0" applyNumberFormat="1" applyFont="1" applyFill="1" applyBorder="1" applyAlignment="1">
      <alignment horizontal="center"/>
    </xf>
    <xf numFmtId="165" fontId="18" fillId="2" borderId="0" xfId="0" applyNumberFormat="1" applyFont="1" applyFill="1" applyAlignment="1">
      <alignment horizontal="center"/>
    </xf>
    <xf numFmtId="0" fontId="18" fillId="0" borderId="0" xfId="0" applyFont="1" applyAlignment="1">
      <alignment horizontal="right"/>
    </xf>
    <xf numFmtId="0" fontId="24" fillId="0" borderId="0" xfId="0" applyFont="1"/>
    <xf numFmtId="0" fontId="25" fillId="2" borderId="0" xfId="0" applyFont="1" applyFill="1"/>
    <xf numFmtId="3" fontId="25" fillId="2" borderId="0" xfId="0" applyNumberFormat="1" applyFont="1" applyFill="1"/>
    <xf numFmtId="165" fontId="25" fillId="2" borderId="0" xfId="0" applyNumberFormat="1" applyFont="1" applyFill="1"/>
    <xf numFmtId="164" fontId="25" fillId="2" borderId="0" xfId="0" applyNumberFormat="1" applyFont="1" applyFill="1"/>
    <xf numFmtId="0" fontId="25" fillId="2" borderId="36" xfId="0" applyFont="1" applyFill="1" applyBorder="1"/>
    <xf numFmtId="2" fontId="25" fillId="2" borderId="0" xfId="0" applyNumberFormat="1" applyFont="1" applyFill="1"/>
    <xf numFmtId="171" fontId="25" fillId="2" borderId="0" xfId="0" applyNumberFormat="1" applyFont="1" applyFill="1"/>
    <xf numFmtId="164" fontId="25" fillId="2" borderId="36" xfId="0" applyNumberFormat="1" applyFont="1" applyFill="1" applyBorder="1"/>
    <xf numFmtId="164" fontId="7" fillId="2" borderId="0" xfId="0" applyNumberFormat="1" applyFont="1" applyFill="1" applyAlignment="1">
      <alignment horizontal="center"/>
    </xf>
    <xf numFmtId="164" fontId="7" fillId="2" borderId="36" xfId="0" applyNumberFormat="1" applyFont="1" applyFill="1" applyBorder="1" applyAlignment="1">
      <alignment horizontal="center"/>
    </xf>
    <xf numFmtId="165" fontId="7" fillId="2" borderId="0" xfId="0" applyNumberFormat="1" applyFont="1" applyFill="1" applyAlignment="1">
      <alignment horizontal="center"/>
    </xf>
    <xf numFmtId="0" fontId="7" fillId="0" borderId="0" xfId="0" applyFont="1" applyAlignment="1">
      <alignment horizontal="right"/>
    </xf>
    <xf numFmtId="0" fontId="25" fillId="0" borderId="0" xfId="0" applyFont="1"/>
    <xf numFmtId="165" fontId="7" fillId="2" borderId="1" xfId="0" applyNumberFormat="1" applyFont="1" applyFill="1" applyBorder="1" applyAlignment="1">
      <alignment horizontal="center"/>
    </xf>
    <xf numFmtId="0" fontId="7" fillId="2" borderId="9" xfId="0" applyFont="1" applyFill="1" applyBorder="1" applyAlignment="1">
      <alignment horizontal="right"/>
    </xf>
    <xf numFmtId="0" fontId="7" fillId="0" borderId="0" xfId="0" applyFont="1"/>
    <xf numFmtId="0" fontId="9" fillId="2" borderId="34" xfId="0" applyFont="1" applyFill="1" applyBorder="1" applyAlignment="1">
      <alignment horizontal="left" wrapText="1"/>
    </xf>
    <xf numFmtId="0" fontId="9" fillId="14" borderId="34" xfId="0" applyFont="1" applyFill="1" applyBorder="1" applyAlignment="1">
      <alignment horizontal="left" wrapText="1"/>
    </xf>
    <xf numFmtId="0" fontId="3" fillId="2" borderId="0" xfId="0" applyFont="1" applyFill="1"/>
    <xf numFmtId="3" fontId="3" fillId="2" borderId="0" xfId="0" applyNumberFormat="1" applyFont="1" applyFill="1"/>
    <xf numFmtId="3" fontId="3" fillId="2" borderId="0" xfId="0" applyNumberFormat="1" applyFont="1" applyFill="1" applyAlignment="1">
      <alignment horizontal="center"/>
    </xf>
    <xf numFmtId="0" fontId="3" fillId="2" borderId="0" xfId="0" applyFont="1" applyFill="1" applyAlignment="1">
      <alignment horizontal="center"/>
    </xf>
    <xf numFmtId="0" fontId="26" fillId="2" borderId="0" xfId="0" applyFont="1" applyFill="1"/>
    <xf numFmtId="164" fontId="3" fillId="2" borderId="0" xfId="0" applyNumberFormat="1" applyFont="1" applyFill="1" applyAlignment="1">
      <alignment horizontal="center"/>
    </xf>
    <xf numFmtId="164" fontId="3" fillId="2" borderId="36" xfId="0" applyNumberFormat="1" applyFont="1" applyFill="1" applyBorder="1" applyAlignment="1">
      <alignment horizontal="center"/>
    </xf>
    <xf numFmtId="0" fontId="3" fillId="2" borderId="0" xfId="0" applyFont="1" applyFill="1" applyAlignment="1">
      <alignment horizontal="right"/>
    </xf>
    <xf numFmtId="2" fontId="3" fillId="2" borderId="0" xfId="0" applyNumberFormat="1" applyFont="1" applyFill="1" applyAlignment="1">
      <alignment horizontal="center"/>
    </xf>
    <xf numFmtId="169" fontId="3" fillId="2" borderId="0" xfId="0" applyNumberFormat="1" applyFont="1" applyFill="1" applyAlignment="1">
      <alignment horizontal="center"/>
    </xf>
    <xf numFmtId="0" fontId="3" fillId="2" borderId="36" xfId="0" applyFont="1" applyFill="1" applyBorder="1" applyAlignment="1">
      <alignment horizontal="center"/>
    </xf>
    <xf numFmtId="164" fontId="3" fillId="17" borderId="0" xfId="0" applyNumberFormat="1" applyFont="1" applyFill="1" applyAlignment="1">
      <alignment horizontal="center"/>
    </xf>
    <xf numFmtId="164" fontId="3" fillId="18" borderId="36" xfId="0" applyNumberFormat="1" applyFont="1" applyFill="1" applyBorder="1" applyAlignment="1">
      <alignment horizontal="center"/>
    </xf>
    <xf numFmtId="0" fontId="3" fillId="12" borderId="0" xfId="0" applyFont="1" applyFill="1" applyAlignment="1">
      <alignment horizontal="center"/>
    </xf>
    <xf numFmtId="0" fontId="3" fillId="19" borderId="0" xfId="0" applyFont="1" applyFill="1" applyAlignment="1">
      <alignment horizontal="center"/>
    </xf>
    <xf numFmtId="0" fontId="3" fillId="20" borderId="0" xfId="0" applyFont="1" applyFill="1" applyAlignment="1">
      <alignment horizontal="center"/>
    </xf>
    <xf numFmtId="0" fontId="3" fillId="8" borderId="0" xfId="0" applyFont="1" applyFill="1" applyAlignment="1">
      <alignment horizontal="center"/>
    </xf>
    <xf numFmtId="0" fontId="3" fillId="8" borderId="36" xfId="0" applyFont="1" applyFill="1" applyBorder="1" applyAlignment="1">
      <alignment horizontal="center"/>
    </xf>
    <xf numFmtId="0" fontId="26" fillId="2" borderId="27" xfId="0" applyFont="1" applyFill="1" applyBorder="1"/>
    <xf numFmtId="164" fontId="26" fillId="2" borderId="0" xfId="0" applyNumberFormat="1" applyFont="1" applyFill="1"/>
    <xf numFmtId="0" fontId="26" fillId="0" borderId="0" xfId="0" applyFont="1"/>
    <xf numFmtId="3" fontId="26" fillId="2" borderId="0" xfId="0" applyNumberFormat="1" applyFont="1" applyFill="1"/>
    <xf numFmtId="165" fontId="26" fillId="2" borderId="0" xfId="0" applyNumberFormat="1" applyFont="1" applyFill="1"/>
    <xf numFmtId="164" fontId="26" fillId="2" borderId="36" xfId="0" applyNumberFormat="1" applyFont="1" applyFill="1" applyBorder="1"/>
    <xf numFmtId="2" fontId="26" fillId="2" borderId="0" xfId="0" applyNumberFormat="1" applyFont="1" applyFill="1"/>
    <xf numFmtId="168" fontId="26" fillId="2" borderId="0" xfId="0" applyNumberFormat="1" applyFont="1" applyFill="1"/>
    <xf numFmtId="169" fontId="26" fillId="2" borderId="0" xfId="0" applyNumberFormat="1" applyFont="1" applyFill="1"/>
    <xf numFmtId="171" fontId="26" fillId="2" borderId="0" xfId="0" applyNumberFormat="1" applyFont="1" applyFill="1"/>
    <xf numFmtId="165" fontId="3" fillId="2" borderId="0" xfId="0" applyNumberFormat="1" applyFont="1" applyFill="1" applyAlignment="1">
      <alignment horizontal="center"/>
    </xf>
    <xf numFmtId="0" fontId="3" fillId="0" borderId="0" xfId="0" applyFont="1" applyAlignment="1">
      <alignment horizontal="right"/>
    </xf>
    <xf numFmtId="0" fontId="21" fillId="2" borderId="34" xfId="0" applyFont="1" applyFill="1" applyBorder="1" applyAlignment="1">
      <alignment horizontal="left" wrapText="1"/>
    </xf>
    <xf numFmtId="0" fontId="21" fillId="13" borderId="34" xfId="0" applyFont="1" applyFill="1" applyBorder="1" applyAlignment="1">
      <alignment horizontal="left" vertical="center" wrapText="1"/>
    </xf>
    <xf numFmtId="165" fontId="16" fillId="5" borderId="13" xfId="0" applyNumberFormat="1" applyFont="1" applyFill="1" applyBorder="1"/>
    <xf numFmtId="165" fontId="16" fillId="5" borderId="15" xfId="0" applyNumberFormat="1" applyFont="1" applyFill="1" applyBorder="1"/>
    <xf numFmtId="0" fontId="16" fillId="5" borderId="38" xfId="0" applyFont="1" applyFill="1" applyBorder="1"/>
    <xf numFmtId="0" fontId="16" fillId="5" borderId="39" xfId="0" applyFont="1" applyFill="1" applyBorder="1"/>
    <xf numFmtId="169" fontId="16" fillId="5" borderId="40" xfId="0" applyNumberFormat="1" applyFont="1" applyFill="1" applyBorder="1"/>
    <xf numFmtId="164" fontId="1" fillId="5" borderId="23" xfId="0" applyNumberFormat="1" applyFont="1" applyFill="1" applyBorder="1" applyAlignment="1">
      <alignment horizontal="center"/>
    </xf>
    <xf numFmtId="0" fontId="16" fillId="5" borderId="23" xfId="0" applyFont="1" applyFill="1" applyBorder="1"/>
    <xf numFmtId="0" fontId="16" fillId="5" borderId="17" xfId="0" applyFont="1" applyFill="1" applyBorder="1"/>
    <xf numFmtId="0" fontId="16" fillId="5" borderId="16" xfId="0" applyFont="1" applyFill="1" applyBorder="1"/>
    <xf numFmtId="0" fontId="16" fillId="5" borderId="13" xfId="0" applyFont="1" applyFill="1" applyBorder="1"/>
    <xf numFmtId="0" fontId="16" fillId="5" borderId="15" xfId="0" applyFont="1" applyFill="1" applyBorder="1"/>
    <xf numFmtId="164" fontId="16" fillId="5" borderId="13" xfId="0" applyNumberFormat="1" applyFont="1" applyFill="1" applyBorder="1"/>
    <xf numFmtId="164" fontId="2" fillId="5" borderId="16" xfId="0" applyNumberFormat="1" applyFont="1" applyFill="1" applyBorder="1"/>
    <xf numFmtId="164" fontId="2" fillId="5" borderId="13" xfId="0" applyNumberFormat="1" applyFont="1" applyFill="1" applyBorder="1"/>
    <xf numFmtId="0" fontId="5" fillId="2" borderId="0" xfId="0" applyFont="1" applyFill="1"/>
    <xf numFmtId="165" fontId="16" fillId="2" borderId="12" xfId="0" applyNumberFormat="1" applyFont="1" applyFill="1" applyBorder="1"/>
    <xf numFmtId="165" fontId="16" fillId="2" borderId="41" xfId="0" applyNumberFormat="1" applyFont="1" applyFill="1" applyBorder="1"/>
    <xf numFmtId="0" fontId="16" fillId="2" borderId="42" xfId="0" applyFont="1" applyFill="1" applyBorder="1"/>
    <xf numFmtId="0" fontId="16" fillId="2" borderId="21" xfId="0" applyFont="1" applyFill="1" applyBorder="1"/>
    <xf numFmtId="169" fontId="16" fillId="2" borderId="43" xfId="0" applyNumberFormat="1" applyFont="1" applyFill="1" applyBorder="1"/>
    <xf numFmtId="164" fontId="1" fillId="2" borderId="44" xfId="0" applyNumberFormat="1" applyFont="1" applyFill="1" applyBorder="1" applyAlignment="1">
      <alignment horizontal="center"/>
    </xf>
    <xf numFmtId="0" fontId="16" fillId="2" borderId="45" xfId="0" applyFont="1" applyFill="1" applyBorder="1"/>
    <xf numFmtId="0" fontId="16" fillId="2" borderId="12" xfId="0" applyFont="1" applyFill="1" applyBorder="1"/>
    <xf numFmtId="164" fontId="16" fillId="2" borderId="12" xfId="0" applyNumberFormat="1" applyFont="1" applyFill="1" applyBorder="1"/>
    <xf numFmtId="165" fontId="16" fillId="2" borderId="1" xfId="0" applyNumberFormat="1" applyFont="1" applyFill="1" applyBorder="1"/>
    <xf numFmtId="165" fontId="16" fillId="2" borderId="5" xfId="0" applyNumberFormat="1" applyFont="1" applyFill="1" applyBorder="1"/>
    <xf numFmtId="0" fontId="16" fillId="2" borderId="14" xfId="0" applyFont="1" applyFill="1" applyBorder="1"/>
    <xf numFmtId="0" fontId="16" fillId="2" borderId="13" xfId="0" applyFont="1" applyFill="1" applyBorder="1"/>
    <xf numFmtId="169" fontId="16" fillId="2" borderId="15" xfId="0" applyNumberFormat="1" applyFont="1" applyFill="1" applyBorder="1"/>
    <xf numFmtId="164" fontId="1" fillId="2" borderId="46" xfId="0" applyNumberFormat="1" applyFont="1" applyFill="1" applyBorder="1" applyAlignment="1">
      <alignment horizontal="center"/>
    </xf>
    <xf numFmtId="0" fontId="16" fillId="2" borderId="8" xfId="0" applyFont="1" applyFill="1" applyBorder="1"/>
    <xf numFmtId="0" fontId="27" fillId="2" borderId="0" xfId="0" applyFont="1" applyFill="1"/>
    <xf numFmtId="165" fontId="16" fillId="2" borderId="1" xfId="0" applyNumberFormat="1" applyFont="1" applyFill="1" applyBorder="1" applyAlignment="1">
      <alignment horizontal="left"/>
    </xf>
    <xf numFmtId="2" fontId="7" fillId="2" borderId="1" xfId="0" applyNumberFormat="1" applyFont="1" applyFill="1" applyBorder="1" applyAlignment="1">
      <alignment horizontal="center"/>
    </xf>
    <xf numFmtId="169" fontId="16" fillId="2" borderId="47" xfId="0" applyNumberFormat="1" applyFont="1" applyFill="1" applyBorder="1"/>
    <xf numFmtId="0" fontId="16" fillId="2" borderId="38" xfId="0" applyFont="1" applyFill="1" applyBorder="1"/>
    <xf numFmtId="0" fontId="16" fillId="2" borderId="39" xfId="0" applyFont="1" applyFill="1" applyBorder="1"/>
    <xf numFmtId="169" fontId="16" fillId="2" borderId="48" xfId="0" applyNumberFormat="1" applyFont="1" applyFill="1" applyBorder="1"/>
    <xf numFmtId="164" fontId="2" fillId="2" borderId="2" xfId="0" applyNumberFormat="1" applyFont="1" applyFill="1" applyBorder="1"/>
    <xf numFmtId="0" fontId="2" fillId="2" borderId="12" xfId="0" applyFont="1" applyFill="1" applyBorder="1"/>
    <xf numFmtId="4" fontId="16" fillId="2" borderId="1" xfId="0" applyNumberFormat="1" applyFont="1" applyFill="1" applyBorder="1"/>
    <xf numFmtId="0" fontId="4" fillId="4" borderId="34" xfId="0" applyFont="1" applyFill="1" applyBorder="1" applyAlignment="1">
      <alignment horizontal="center" vertical="center" wrapText="1"/>
    </xf>
    <xf numFmtId="172" fontId="4" fillId="4" borderId="34" xfId="0" applyNumberFormat="1" applyFont="1" applyFill="1" applyBorder="1" applyAlignment="1">
      <alignment horizontal="center" vertical="center" wrapText="1"/>
    </xf>
    <xf numFmtId="165" fontId="10" fillId="2" borderId="8" xfId="0" applyNumberFormat="1" applyFont="1" applyFill="1" applyBorder="1" applyAlignment="1">
      <alignment horizont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164" fontId="3" fillId="2" borderId="52" xfId="0" applyNumberFormat="1" applyFont="1" applyFill="1" applyBorder="1" applyAlignment="1">
      <alignment horizontal="center"/>
    </xf>
    <xf numFmtId="164" fontId="1" fillId="2" borderId="53" xfId="0" applyNumberFormat="1" applyFont="1" applyFill="1" applyBorder="1" applyAlignment="1">
      <alignment horizontal="center"/>
    </xf>
    <xf numFmtId="164" fontId="1" fillId="2" borderId="54" xfId="0" applyNumberFormat="1" applyFont="1" applyFill="1" applyBorder="1" applyAlignment="1">
      <alignment horizontal="center"/>
    </xf>
    <xf numFmtId="164" fontId="28" fillId="2" borderId="1" xfId="0" applyNumberFormat="1" applyFont="1" applyFill="1" applyBorder="1"/>
    <xf numFmtId="0" fontId="7" fillId="2" borderId="1" xfId="0" applyFont="1" applyFill="1" applyBorder="1"/>
    <xf numFmtId="0" fontId="6" fillId="0" borderId="0" xfId="0" applyFont="1" applyAlignment="1">
      <alignment horizontal="right"/>
    </xf>
    <xf numFmtId="4" fontId="16" fillId="2" borderId="25" xfId="0" applyNumberFormat="1" applyFont="1" applyFill="1" applyBorder="1"/>
    <xf numFmtId="164" fontId="3" fillId="2" borderId="34" xfId="0" applyNumberFormat="1" applyFont="1" applyFill="1" applyBorder="1" applyAlignment="1">
      <alignment horizontal="center"/>
    </xf>
    <xf numFmtId="173" fontId="10" fillId="4" borderId="34" xfId="0" applyNumberFormat="1" applyFont="1" applyFill="1" applyBorder="1" applyAlignment="1">
      <alignment horizontal="center" vertical="center" wrapText="1"/>
    </xf>
    <xf numFmtId="4" fontId="29" fillId="2" borderId="0" xfId="0" applyNumberFormat="1" applyFont="1" applyFill="1"/>
    <xf numFmtId="0" fontId="1" fillId="2" borderId="15" xfId="0" applyFont="1" applyFill="1" applyBorder="1"/>
    <xf numFmtId="164" fontId="1" fillId="0" borderId="55" xfId="0" applyNumberFormat="1" applyFont="1" applyBorder="1"/>
    <xf numFmtId="164" fontId="1" fillId="2" borderId="41" xfId="0" applyNumberFormat="1" applyFont="1" applyFill="1" applyBorder="1" applyAlignment="1">
      <alignment horizontal="center"/>
    </xf>
    <xf numFmtId="4" fontId="30" fillId="2" borderId="2" xfId="0" applyNumberFormat="1" applyFont="1" applyFill="1" applyBorder="1"/>
    <xf numFmtId="4" fontId="16" fillId="2" borderId="2" xfId="0" applyNumberFormat="1" applyFont="1" applyFill="1" applyBorder="1"/>
    <xf numFmtId="165" fontId="16" fillId="2" borderId="2" xfId="0" applyNumberFormat="1" applyFont="1" applyFill="1" applyBorder="1"/>
    <xf numFmtId="0" fontId="16" fillId="2" borderId="2" xfId="0" applyFont="1" applyFill="1" applyBorder="1"/>
    <xf numFmtId="0" fontId="4" fillId="21" borderId="24" xfId="0" applyFont="1" applyFill="1" applyBorder="1" applyAlignment="1">
      <alignment horizontal="center" vertical="center"/>
    </xf>
    <xf numFmtId="0" fontId="10" fillId="21" borderId="30" xfId="0" applyFont="1" applyFill="1" applyBorder="1" applyAlignment="1">
      <alignment horizontal="center" vertical="center" wrapText="1"/>
    </xf>
    <xf numFmtId="0" fontId="4" fillId="21" borderId="30" xfId="0" applyFont="1" applyFill="1" applyBorder="1" applyAlignment="1">
      <alignment horizontal="center" vertical="center" wrapText="1"/>
    </xf>
    <xf numFmtId="0" fontId="4" fillId="21" borderId="59" xfId="0" applyFont="1" applyFill="1" applyBorder="1" applyAlignment="1">
      <alignment horizontal="left" vertical="center" wrapText="1"/>
    </xf>
    <xf numFmtId="173" fontId="10" fillId="4" borderId="34" xfId="0" applyNumberFormat="1" applyFont="1" applyFill="1" applyBorder="1" applyAlignment="1">
      <alignment horizontal="center"/>
    </xf>
    <xf numFmtId="0" fontId="10" fillId="4" borderId="35" xfId="0" applyFont="1" applyFill="1" applyBorder="1" applyAlignment="1">
      <alignment horizontal="center"/>
    </xf>
    <xf numFmtId="173" fontId="10" fillId="4" borderId="35" xfId="0" applyNumberFormat="1" applyFont="1" applyFill="1" applyBorder="1" applyAlignment="1">
      <alignment horizontal="center"/>
    </xf>
    <xf numFmtId="0" fontId="18" fillId="2" borderId="0" xfId="0" applyFont="1" applyFill="1"/>
    <xf numFmtId="3" fontId="18" fillId="2" borderId="0" xfId="0" applyNumberFormat="1" applyFont="1" applyFill="1"/>
    <xf numFmtId="3" fontId="18" fillId="2" borderId="0" xfId="0" applyNumberFormat="1" applyFont="1" applyFill="1" applyAlignment="1">
      <alignment horizontal="center"/>
    </xf>
    <xf numFmtId="0" fontId="18" fillId="2" borderId="0" xfId="0" applyFont="1" applyFill="1" applyAlignment="1">
      <alignment horizontal="center"/>
    </xf>
    <xf numFmtId="2" fontId="18" fillId="2" borderId="0" xfId="0" applyNumberFormat="1" applyFont="1" applyFill="1" applyAlignment="1">
      <alignment horizontal="center"/>
    </xf>
    <xf numFmtId="169" fontId="18" fillId="2" borderId="0" xfId="0" applyNumberFormat="1" applyFont="1" applyFill="1" applyAlignment="1">
      <alignment horizontal="center"/>
    </xf>
    <xf numFmtId="0" fontId="16" fillId="0" borderId="0" xfId="0" applyFont="1"/>
    <xf numFmtId="169" fontId="16" fillId="2" borderId="34" xfId="0" applyNumberFormat="1" applyFont="1" applyFill="1" applyBorder="1"/>
    <xf numFmtId="10" fontId="3" fillId="2" borderId="9" xfId="0" applyNumberFormat="1" applyFont="1" applyFill="1" applyBorder="1" applyAlignment="1">
      <alignment horizontal="center"/>
    </xf>
    <xf numFmtId="164" fontId="1" fillId="2" borderId="19" xfId="0" applyNumberFormat="1" applyFont="1" applyFill="1" applyBorder="1"/>
    <xf numFmtId="0" fontId="1" fillId="0" borderId="0" xfId="0" applyFont="1" applyAlignment="1">
      <alignment horizontal="left"/>
    </xf>
    <xf numFmtId="0" fontId="2" fillId="0" borderId="0" xfId="0" applyFont="1" applyAlignment="1">
      <alignment horizontal="left"/>
    </xf>
    <xf numFmtId="0" fontId="5" fillId="7" borderId="61" xfId="0" applyFont="1" applyFill="1" applyBorder="1"/>
    <xf numFmtId="3" fontId="1" fillId="7" borderId="61" xfId="0" applyNumberFormat="1" applyFont="1" applyFill="1" applyBorder="1" applyAlignment="1">
      <alignment horizontal="left"/>
    </xf>
    <xf numFmtId="3" fontId="1" fillId="7" borderId="61" xfId="0" applyNumberFormat="1" applyFont="1" applyFill="1" applyBorder="1" applyAlignment="1">
      <alignment horizontal="center"/>
    </xf>
    <xf numFmtId="0" fontId="1" fillId="7" borderId="61" xfId="0" applyFont="1" applyFill="1" applyBorder="1" applyAlignment="1">
      <alignment horizontal="center"/>
    </xf>
    <xf numFmtId="165" fontId="1" fillId="7" borderId="61" xfId="0" applyNumberFormat="1" applyFont="1" applyFill="1" applyBorder="1" applyAlignment="1">
      <alignment horizontal="center"/>
    </xf>
    <xf numFmtId="0" fontId="31" fillId="2" borderId="1" xfId="0" applyFont="1" applyFill="1" applyBorder="1" applyAlignment="1">
      <alignment horizontal="right"/>
    </xf>
    <xf numFmtId="0" fontId="32" fillId="2" borderId="1" xfId="0" applyFont="1" applyFill="1" applyBorder="1"/>
    <xf numFmtId="3" fontId="32" fillId="2" borderId="1" xfId="0" applyNumberFormat="1" applyFont="1" applyFill="1" applyBorder="1" applyAlignment="1">
      <alignment horizontal="left"/>
    </xf>
    <xf numFmtId="3" fontId="32" fillId="2" borderId="1" xfId="0" applyNumberFormat="1" applyFont="1" applyFill="1" applyBorder="1" applyAlignment="1">
      <alignment horizontal="center"/>
    </xf>
    <xf numFmtId="3" fontId="32" fillId="2" borderId="0" xfId="0" applyNumberFormat="1" applyFont="1" applyFill="1" applyAlignment="1">
      <alignment horizontal="center"/>
    </xf>
    <xf numFmtId="165" fontId="32" fillId="2" borderId="0" xfId="0" applyNumberFormat="1" applyFont="1" applyFill="1" applyAlignment="1">
      <alignment horizontal="center"/>
    </xf>
    <xf numFmtId="0" fontId="1" fillId="2" borderId="9" xfId="0" applyFont="1" applyFill="1" applyBorder="1"/>
    <xf numFmtId="2" fontId="32" fillId="2" borderId="0" xfId="0" applyNumberFormat="1" applyFont="1" applyFill="1" applyAlignment="1">
      <alignment horizontal="center"/>
    </xf>
    <xf numFmtId="168" fontId="32" fillId="2" borderId="0" xfId="0" applyNumberFormat="1" applyFont="1" applyFill="1" applyAlignment="1">
      <alignment horizontal="center"/>
    </xf>
    <xf numFmtId="169" fontId="32" fillId="2" borderId="0" xfId="0" applyNumberFormat="1" applyFont="1" applyFill="1" applyAlignment="1">
      <alignment horizontal="center"/>
    </xf>
    <xf numFmtId="169" fontId="33" fillId="2" borderId="0" xfId="0" applyNumberFormat="1" applyFont="1" applyFill="1" applyAlignment="1">
      <alignment horizontal="center"/>
    </xf>
    <xf numFmtId="164" fontId="33" fillId="2" borderId="0" xfId="0" applyNumberFormat="1" applyFont="1" applyFill="1" applyAlignment="1">
      <alignment horizontal="center"/>
    </xf>
    <xf numFmtId="0" fontId="32" fillId="2" borderId="36" xfId="0" applyFont="1" applyFill="1" applyBorder="1" applyAlignment="1">
      <alignment horizontal="center"/>
    </xf>
    <xf numFmtId="0" fontId="32" fillId="2" borderId="9" xfId="0" applyFont="1" applyFill="1" applyBorder="1" applyAlignment="1">
      <alignment horizontal="center"/>
    </xf>
    <xf numFmtId="164" fontId="32" fillId="2" borderId="36" xfId="0" applyNumberFormat="1" applyFont="1" applyFill="1" applyBorder="1" applyAlignment="1">
      <alignment horizontal="center"/>
    </xf>
    <xf numFmtId="0" fontId="32" fillId="2" borderId="0" xfId="0" applyFont="1" applyFill="1" applyAlignment="1">
      <alignment horizontal="center"/>
    </xf>
    <xf numFmtId="164" fontId="32" fillId="2" borderId="0" xfId="0" applyNumberFormat="1" applyFont="1" applyFill="1" applyAlignment="1">
      <alignment horizontal="center"/>
    </xf>
    <xf numFmtId="164" fontId="31" fillId="2" borderId="9" xfId="0" applyNumberFormat="1" applyFont="1" applyFill="1" applyBorder="1" applyAlignment="1">
      <alignment horizontal="center"/>
    </xf>
    <xf numFmtId="164" fontId="32" fillId="22" borderId="36" xfId="0" applyNumberFormat="1" applyFont="1" applyFill="1" applyBorder="1" applyAlignment="1">
      <alignment horizontal="center"/>
    </xf>
    <xf numFmtId="164" fontId="34" fillId="2" borderId="36" xfId="0" applyNumberFormat="1" applyFont="1" applyFill="1" applyBorder="1" applyAlignment="1">
      <alignment horizontal="center"/>
    </xf>
    <xf numFmtId="164" fontId="33" fillId="2" borderId="36" xfId="0" applyNumberFormat="1" applyFont="1" applyFill="1" applyBorder="1" applyAlignment="1">
      <alignment horizontal="center"/>
    </xf>
    <xf numFmtId="0" fontId="31" fillId="2" borderId="36" xfId="0" applyFont="1" applyFill="1" applyBorder="1" applyAlignment="1">
      <alignment horizontal="center"/>
    </xf>
    <xf numFmtId="0" fontId="32" fillId="12" borderId="0" xfId="0" applyFont="1" applyFill="1" applyAlignment="1">
      <alignment horizontal="center"/>
    </xf>
    <xf numFmtId="0" fontId="35" fillId="2" borderId="0" xfId="0" applyFont="1" applyFill="1" applyAlignment="1">
      <alignment horizontal="left"/>
    </xf>
    <xf numFmtId="164" fontId="32" fillId="2" borderId="1" xfId="0" applyNumberFormat="1" applyFont="1" applyFill="1" applyBorder="1" applyAlignment="1">
      <alignment horizontal="center"/>
    </xf>
    <xf numFmtId="0" fontId="32" fillId="0" borderId="0" xfId="0" applyFont="1"/>
    <xf numFmtId="0" fontId="36" fillId="2" borderId="0" xfId="0" applyFont="1" applyFill="1"/>
    <xf numFmtId="0" fontId="36" fillId="0" borderId="0" xfId="0" applyFont="1"/>
    <xf numFmtId="0" fontId="10" fillId="2" borderId="61" xfId="0" applyFont="1" applyFill="1" applyBorder="1" applyAlignment="1">
      <alignment horizontal="center" vertical="center"/>
    </xf>
    <xf numFmtId="0" fontId="10" fillId="2" borderId="61" xfId="0" applyFont="1" applyFill="1" applyBorder="1" applyAlignment="1">
      <alignment horizontal="left" vertical="center"/>
    </xf>
    <xf numFmtId="0" fontId="10" fillId="2" borderId="0" xfId="0" applyFont="1" applyFill="1" applyAlignment="1">
      <alignment horizontal="center" vertical="center" wrapText="1"/>
    </xf>
    <xf numFmtId="164" fontId="3" fillId="2" borderId="2" xfId="0" applyNumberFormat="1" applyFont="1" applyFill="1" applyBorder="1" applyAlignment="1">
      <alignment horizontal="center"/>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xf>
    <xf numFmtId="0" fontId="10" fillId="2" borderId="60" xfId="0" applyFont="1" applyFill="1" applyBorder="1" applyAlignment="1">
      <alignment horizontal="center" vertical="center" wrapText="1"/>
    </xf>
    <xf numFmtId="0" fontId="10" fillId="2" borderId="0" xfId="0" applyFont="1" applyFill="1" applyAlignment="1">
      <alignment horizontal="left" vertical="center" wrapText="1"/>
    </xf>
    <xf numFmtId="0" fontId="6" fillId="2" borderId="0" xfId="0" applyFont="1" applyFill="1"/>
    <xf numFmtId="0" fontId="1" fillId="2" borderId="36" xfId="0" applyFont="1" applyFill="1" applyBorder="1" applyAlignment="1">
      <alignment horizontal="center"/>
    </xf>
    <xf numFmtId="164" fontId="1" fillId="22" borderId="36" xfId="0" applyNumberFormat="1" applyFont="1" applyFill="1" applyBorder="1" applyAlignment="1">
      <alignment horizontal="center"/>
    </xf>
    <xf numFmtId="0" fontId="1" fillId="12" borderId="0" xfId="0" applyFont="1" applyFill="1" applyAlignment="1">
      <alignment horizontal="center"/>
    </xf>
    <xf numFmtId="0" fontId="9" fillId="2" borderId="0" xfId="0" applyFont="1" applyFill="1" applyAlignment="1">
      <alignment horizontal="left"/>
    </xf>
    <xf numFmtId="0" fontId="37" fillId="2" borderId="1" xfId="0" applyFont="1" applyFill="1" applyBorder="1" applyAlignment="1">
      <alignment horizontal="right"/>
    </xf>
    <xf numFmtId="0" fontId="4" fillId="2" borderId="61" xfId="0" applyFont="1" applyFill="1" applyBorder="1" applyAlignment="1">
      <alignment horizontal="center" vertical="center"/>
    </xf>
    <xf numFmtId="0" fontId="4" fillId="2" borderId="61" xfId="0" applyFont="1" applyFill="1" applyBorder="1" applyAlignment="1">
      <alignment horizontal="left" vertical="center"/>
    </xf>
    <xf numFmtId="0" fontId="4" fillId="2" borderId="0" xfId="0" applyFont="1" applyFill="1" applyAlignment="1">
      <alignment horizontal="center" vertical="center" wrapText="1"/>
    </xf>
    <xf numFmtId="169" fontId="5" fillId="2" borderId="5" xfId="0" applyNumberFormat="1" applyFont="1" applyFill="1" applyBorder="1" applyAlignment="1">
      <alignment horizontal="center"/>
    </xf>
    <xf numFmtId="164" fontId="7" fillId="2" borderId="2" xfId="0" applyNumberFormat="1" applyFont="1" applyFill="1" applyBorder="1" applyAlignment="1">
      <alignment horizontal="center"/>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xf>
    <xf numFmtId="0" fontId="4" fillId="2" borderId="60" xfId="0" applyFont="1" applyFill="1" applyBorder="1" applyAlignment="1">
      <alignment horizontal="center" vertical="center" wrapText="1"/>
    </xf>
    <xf numFmtId="0" fontId="4" fillId="2" borderId="0" xfId="0" applyFont="1" applyFill="1" applyAlignment="1">
      <alignment horizontal="left" vertical="center" wrapText="1"/>
    </xf>
    <xf numFmtId="0" fontId="16" fillId="2" borderId="0" xfId="0" applyFont="1" applyFill="1"/>
    <xf numFmtId="0" fontId="17" fillId="2" borderId="0" xfId="0" applyFont="1" applyFill="1"/>
    <xf numFmtId="3" fontId="5" fillId="2" borderId="0" xfId="0" applyNumberFormat="1" applyFont="1" applyFill="1" applyAlignment="1">
      <alignment horizontal="center"/>
    </xf>
    <xf numFmtId="0" fontId="5" fillId="2" borderId="9" xfId="0" applyFont="1" applyFill="1" applyBorder="1"/>
    <xf numFmtId="2" fontId="5" fillId="2" borderId="0" xfId="0" applyNumberFormat="1" applyFont="1" applyFill="1" applyAlignment="1">
      <alignment horizontal="center"/>
    </xf>
    <xf numFmtId="168" fontId="5" fillId="2" borderId="0" xfId="0" applyNumberFormat="1" applyFont="1" applyFill="1" applyAlignment="1">
      <alignment horizontal="center"/>
    </xf>
    <xf numFmtId="169" fontId="5" fillId="2" borderId="0" xfId="0" applyNumberFormat="1" applyFont="1" applyFill="1" applyAlignment="1">
      <alignment horizontal="center"/>
    </xf>
    <xf numFmtId="169" fontId="38" fillId="2" borderId="0" xfId="0" applyNumberFormat="1" applyFont="1" applyFill="1" applyAlignment="1">
      <alignment horizontal="center"/>
    </xf>
    <xf numFmtId="164" fontId="38" fillId="2" borderId="0" xfId="0" applyNumberFormat="1" applyFont="1" applyFill="1" applyAlignment="1">
      <alignment horizontal="center"/>
    </xf>
    <xf numFmtId="0" fontId="5" fillId="2" borderId="36" xfId="0" applyFont="1" applyFill="1" applyBorder="1" applyAlignment="1">
      <alignment horizontal="center"/>
    </xf>
    <xf numFmtId="0" fontId="5" fillId="2" borderId="9" xfId="0" applyFont="1" applyFill="1" applyBorder="1" applyAlignment="1">
      <alignment horizontal="center"/>
    </xf>
    <xf numFmtId="0" fontId="5" fillId="2" borderId="0" xfId="0" applyFont="1" applyFill="1" applyAlignment="1">
      <alignment horizontal="center"/>
    </xf>
    <xf numFmtId="164" fontId="5" fillId="22" borderId="36" xfId="0" applyNumberFormat="1" applyFont="1" applyFill="1" applyBorder="1" applyAlignment="1">
      <alignment horizontal="center"/>
    </xf>
    <xf numFmtId="164" fontId="39" fillId="2" borderId="36" xfId="0" applyNumberFormat="1" applyFont="1" applyFill="1" applyBorder="1" applyAlignment="1">
      <alignment horizontal="center"/>
    </xf>
    <xf numFmtId="164" fontId="38" fillId="2" borderId="36" xfId="0" applyNumberFormat="1" applyFont="1" applyFill="1" applyBorder="1" applyAlignment="1">
      <alignment horizontal="center"/>
    </xf>
    <xf numFmtId="0" fontId="5" fillId="8" borderId="1" xfId="0" applyFont="1" applyFill="1" applyBorder="1" applyAlignment="1">
      <alignment horizontal="center" vertical="center"/>
    </xf>
    <xf numFmtId="0" fontId="5" fillId="12" borderId="0" xfId="0" applyFont="1" applyFill="1" applyAlignment="1">
      <alignment horizontal="center"/>
    </xf>
    <xf numFmtId="0" fontId="40" fillId="2" borderId="0" xfId="0" applyFont="1" applyFill="1" applyAlignment="1">
      <alignment horizontal="left"/>
    </xf>
    <xf numFmtId="164" fontId="41" fillId="2" borderId="1" xfId="0" applyNumberFormat="1" applyFont="1" applyFill="1" applyBorder="1" applyAlignment="1">
      <alignment horizontal="center"/>
    </xf>
    <xf numFmtId="0" fontId="41" fillId="0" borderId="0" xfId="0" applyFont="1"/>
    <xf numFmtId="0" fontId="4" fillId="5" borderId="61" xfId="0" applyFont="1" applyFill="1" applyBorder="1" applyAlignment="1">
      <alignment horizontal="center" vertical="center"/>
    </xf>
    <xf numFmtId="0" fontId="4" fillId="5" borderId="61" xfId="0" applyFont="1" applyFill="1" applyBorder="1" applyAlignment="1">
      <alignment horizontal="left" vertical="center"/>
    </xf>
    <xf numFmtId="0" fontId="4" fillId="5" borderId="62" xfId="0" applyFont="1" applyFill="1" applyBorder="1" applyAlignment="1">
      <alignment horizontal="center" vertical="center"/>
    </xf>
    <xf numFmtId="0" fontId="4" fillId="5" borderId="0" xfId="0" applyFont="1" applyFill="1" applyAlignment="1">
      <alignment horizontal="center" vertical="center"/>
    </xf>
    <xf numFmtId="0" fontId="4" fillId="5" borderId="63" xfId="0" applyFont="1" applyFill="1" applyBorder="1" applyAlignment="1">
      <alignment horizontal="center" vertical="center"/>
    </xf>
    <xf numFmtId="0" fontId="4" fillId="5" borderId="62"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5" borderId="0" xfId="0" applyFont="1" applyFill="1" applyAlignment="1">
      <alignment horizontal="left" vertical="center" wrapText="1"/>
    </xf>
    <xf numFmtId="0" fontId="5" fillId="23" borderId="61" xfId="0" applyFont="1" applyFill="1" applyBorder="1"/>
    <xf numFmtId="3" fontId="1" fillId="23" borderId="61" xfId="0" applyNumberFormat="1" applyFont="1" applyFill="1" applyBorder="1" applyAlignment="1">
      <alignment horizontal="left"/>
    </xf>
    <xf numFmtId="3" fontId="1" fillId="23" borderId="61" xfId="0" applyNumberFormat="1" applyFont="1" applyFill="1" applyBorder="1" applyAlignment="1">
      <alignment horizontal="center"/>
    </xf>
    <xf numFmtId="0" fontId="1" fillId="23" borderId="61" xfId="0" applyFont="1" applyFill="1" applyBorder="1" applyAlignment="1">
      <alignment horizontal="center"/>
    </xf>
    <xf numFmtId="165" fontId="1" fillId="23" borderId="61" xfId="0" applyNumberFormat="1" applyFont="1" applyFill="1" applyBorder="1" applyAlignment="1">
      <alignment horizontal="center"/>
    </xf>
    <xf numFmtId="165" fontId="1" fillId="2" borderId="5" xfId="0" applyNumberFormat="1" applyFont="1" applyFill="1" applyBorder="1" applyAlignment="1">
      <alignment horizontal="center"/>
    </xf>
    <xf numFmtId="165" fontId="1" fillId="2" borderId="36" xfId="0" applyNumberFormat="1" applyFont="1" applyFill="1" applyBorder="1" applyAlignment="1">
      <alignment horizontal="center"/>
    </xf>
    <xf numFmtId="169" fontId="13" fillId="2" borderId="0" xfId="0" applyNumberFormat="1" applyFont="1" applyFill="1"/>
    <xf numFmtId="0" fontId="13" fillId="8" borderId="0" xfId="0" applyFont="1" applyFill="1"/>
    <xf numFmtId="0" fontId="13" fillId="24" borderId="37" xfId="0" applyFont="1" applyFill="1" applyBorder="1"/>
    <xf numFmtId="0" fontId="13" fillId="2" borderId="0" xfId="0" applyFont="1" applyFill="1" applyAlignment="1">
      <alignment horizontal="right"/>
    </xf>
    <xf numFmtId="0" fontId="13" fillId="0" borderId="0" xfId="0" applyFont="1" applyAlignment="1">
      <alignment horizontal="right"/>
    </xf>
    <xf numFmtId="3" fontId="5" fillId="2" borderId="0" xfId="0" applyNumberFormat="1" applyFont="1" applyFill="1"/>
    <xf numFmtId="165" fontId="5" fillId="2" borderId="36" xfId="0" applyNumberFormat="1" applyFont="1" applyFill="1" applyBorder="1" applyAlignment="1">
      <alignment horizontal="center"/>
    </xf>
    <xf numFmtId="0" fontId="5" fillId="2" borderId="0" xfId="0" applyFont="1" applyFill="1" applyAlignment="1">
      <alignment horizontal="right"/>
    </xf>
    <xf numFmtId="169" fontId="20" fillId="2" borderId="0" xfId="0" applyNumberFormat="1" applyFont="1" applyFill="1"/>
    <xf numFmtId="0" fontId="20" fillId="8" borderId="0" xfId="0" applyFont="1" applyFill="1"/>
    <xf numFmtId="0" fontId="20" fillId="24" borderId="37" xfId="0" applyFont="1" applyFill="1" applyBorder="1"/>
    <xf numFmtId="0" fontId="20" fillId="2" borderId="0" xfId="0" applyFont="1" applyFill="1" applyAlignment="1">
      <alignment horizontal="right"/>
    </xf>
    <xf numFmtId="0" fontId="20" fillId="0" borderId="0" xfId="0" applyFont="1" applyAlignment="1">
      <alignment horizontal="right"/>
    </xf>
    <xf numFmtId="0" fontId="2" fillId="25" borderId="13" xfId="0" applyFont="1" applyFill="1" applyBorder="1"/>
    <xf numFmtId="4" fontId="2" fillId="25" borderId="13" xfId="0" applyNumberFormat="1" applyFont="1" applyFill="1" applyBorder="1" applyAlignment="1">
      <alignment horizontal="left"/>
    </xf>
    <xf numFmtId="4" fontId="2" fillId="25" borderId="13" xfId="0" applyNumberFormat="1" applyFont="1" applyFill="1" applyBorder="1"/>
    <xf numFmtId="165" fontId="2" fillId="25" borderId="13" xfId="0" applyNumberFormat="1" applyFont="1" applyFill="1" applyBorder="1" applyAlignment="1">
      <alignment horizontal="center"/>
    </xf>
    <xf numFmtId="165" fontId="1" fillId="25" borderId="13" xfId="0" applyNumberFormat="1" applyFont="1" applyFill="1" applyBorder="1" applyAlignment="1">
      <alignment horizontal="center"/>
    </xf>
    <xf numFmtId="0" fontId="2" fillId="25" borderId="14" xfId="0" applyFont="1" applyFill="1" applyBorder="1"/>
    <xf numFmtId="0" fontId="2" fillId="25" borderId="15" xfId="0" applyFont="1" applyFill="1" applyBorder="1"/>
    <xf numFmtId="164" fontId="2" fillId="25" borderId="15" xfId="0" applyNumberFormat="1" applyFont="1" applyFill="1" applyBorder="1"/>
    <xf numFmtId="164" fontId="2" fillId="25" borderId="14" xfId="0" applyNumberFormat="1" applyFont="1" applyFill="1" applyBorder="1"/>
    <xf numFmtId="164" fontId="2" fillId="25" borderId="13" xfId="0" applyNumberFormat="1" applyFont="1" applyFill="1" applyBorder="1"/>
    <xf numFmtId="0" fontId="1" fillId="25" borderId="14" xfId="0" applyFont="1" applyFill="1" applyBorder="1" applyAlignment="1">
      <alignment horizontal="center"/>
    </xf>
    <xf numFmtId="0" fontId="1" fillId="25" borderId="13" xfId="0" applyFont="1" applyFill="1" applyBorder="1" applyAlignment="1">
      <alignment horizontal="center"/>
    </xf>
    <xf numFmtId="0" fontId="16" fillId="2" borderId="6" xfId="0" applyFont="1" applyFill="1" applyBorder="1"/>
    <xf numFmtId="0" fontId="16" fillId="2" borderId="7" xfId="0" applyFont="1" applyFill="1" applyBorder="1"/>
    <xf numFmtId="169" fontId="16" fillId="2" borderId="64" xfId="0" applyNumberFormat="1" applyFont="1" applyFill="1" applyBorder="1"/>
    <xf numFmtId="169" fontId="1" fillId="2" borderId="64" xfId="0" applyNumberFormat="1" applyFont="1" applyFill="1" applyBorder="1" applyAlignment="1">
      <alignment horizontal="center"/>
    </xf>
    <xf numFmtId="164" fontId="3" fillId="2" borderId="13" xfId="0" applyNumberFormat="1" applyFont="1" applyFill="1" applyBorder="1" applyAlignment="1">
      <alignment horizontal="center"/>
    </xf>
    <xf numFmtId="168" fontId="1" fillId="2" borderId="27" xfId="0" applyNumberFormat="1" applyFont="1" applyFill="1" applyBorder="1" applyAlignment="1">
      <alignment horizontal="center"/>
    </xf>
    <xf numFmtId="0" fontId="42" fillId="2" borderId="1" xfId="0" applyFont="1" applyFill="1" applyBorder="1"/>
    <xf numFmtId="164" fontId="16" fillId="2" borderId="0" xfId="0" applyNumberFormat="1" applyFont="1" applyFill="1"/>
    <xf numFmtId="0" fontId="7" fillId="2" borderId="7" xfId="0" applyFont="1" applyFill="1" applyBorder="1"/>
    <xf numFmtId="164" fontId="16" fillId="2" borderId="2" xfId="0" applyNumberFormat="1" applyFont="1" applyFill="1" applyBorder="1"/>
    <xf numFmtId="164" fontId="16" fillId="2" borderId="8" xfId="0" applyNumberFormat="1" applyFont="1" applyFill="1" applyBorder="1"/>
    <xf numFmtId="0" fontId="43" fillId="4" borderId="3" xfId="0" applyFont="1" applyFill="1" applyBorder="1"/>
    <xf numFmtId="0" fontId="44" fillId="2" borderId="13" xfId="0" applyFont="1" applyFill="1" applyBorder="1" applyAlignment="1">
      <alignment horizontal="center"/>
    </xf>
    <xf numFmtId="0" fontId="45" fillId="2" borderId="1" xfId="0" applyFont="1" applyFill="1" applyBorder="1" applyAlignment="1">
      <alignment horizontal="center"/>
    </xf>
    <xf numFmtId="0" fontId="14" fillId="0" borderId="0" xfId="0" applyFont="1"/>
    <xf numFmtId="0" fontId="4" fillId="4" borderId="30" xfId="0" applyFont="1" applyFill="1" applyBorder="1" applyAlignment="1">
      <alignment horizontal="center"/>
    </xf>
    <xf numFmtId="0" fontId="4" fillId="4" borderId="31" xfId="0" applyFont="1" applyFill="1" applyBorder="1" applyAlignment="1">
      <alignment horizontal="center"/>
    </xf>
    <xf numFmtId="0" fontId="3" fillId="2" borderId="4" xfId="0" applyFont="1" applyFill="1" applyBorder="1"/>
    <xf numFmtId="0" fontId="3" fillId="2" borderId="42" xfId="0" applyFont="1" applyFill="1" applyBorder="1"/>
    <xf numFmtId="164" fontId="1" fillId="6" borderId="21" xfId="0" applyNumberFormat="1" applyFont="1" applyFill="1" applyBorder="1" applyAlignment="1">
      <alignment horizontal="center"/>
    </xf>
    <xf numFmtId="164" fontId="1" fillId="6" borderId="47" xfId="0" applyNumberFormat="1" applyFont="1" applyFill="1" applyBorder="1" applyAlignment="1">
      <alignment horizontal="center"/>
    </xf>
    <xf numFmtId="0" fontId="4" fillId="4" borderId="3" xfId="0" applyFont="1" applyFill="1" applyBorder="1" applyAlignment="1">
      <alignment horizontal="right"/>
    </xf>
    <xf numFmtId="10" fontId="3" fillId="2" borderId="1" xfId="0" applyNumberFormat="1" applyFont="1" applyFill="1" applyBorder="1" applyAlignment="1">
      <alignment horizontal="right"/>
    </xf>
    <xf numFmtId="0" fontId="3" fillId="2" borderId="14" xfId="0" applyFont="1" applyFill="1" applyBorder="1"/>
    <xf numFmtId="164" fontId="1" fillId="6" borderId="65" xfId="0" applyNumberFormat="1" applyFont="1" applyFill="1" applyBorder="1" applyAlignment="1">
      <alignment horizontal="center"/>
    </xf>
    <xf numFmtId="0" fontId="46" fillId="4" borderId="4" xfId="0" applyFont="1" applyFill="1" applyBorder="1"/>
    <xf numFmtId="0" fontId="3" fillId="2" borderId="8" xfId="0" applyFont="1" applyFill="1" applyBorder="1"/>
    <xf numFmtId="0" fontId="7" fillId="2" borderId="1" xfId="0" applyFont="1" applyFill="1" applyBorder="1" applyAlignment="1">
      <alignment horizontal="center"/>
    </xf>
    <xf numFmtId="0" fontId="3" fillId="2" borderId="3" xfId="0" applyFont="1" applyFill="1" applyBorder="1"/>
    <xf numFmtId="0" fontId="4" fillId="4" borderId="66" xfId="0" applyFont="1" applyFill="1" applyBorder="1" applyAlignment="1">
      <alignment horizontal="right"/>
    </xf>
    <xf numFmtId="0" fontId="47" fillId="4" borderId="3" xfId="0" applyFont="1" applyFill="1" applyBorder="1"/>
    <xf numFmtId="0" fontId="7" fillId="2" borderId="21" xfId="0" applyFont="1" applyFill="1" applyBorder="1" applyAlignment="1">
      <alignment horizontal="center"/>
    </xf>
    <xf numFmtId="0" fontId="7" fillId="2" borderId="47" xfId="0" applyFont="1" applyFill="1" applyBorder="1" applyAlignment="1">
      <alignment horizontal="center"/>
    </xf>
    <xf numFmtId="0" fontId="7" fillId="2" borderId="9" xfId="0" applyFont="1" applyFill="1" applyBorder="1" applyAlignment="1">
      <alignment horizontal="left"/>
    </xf>
    <xf numFmtId="0" fontId="3" fillId="2" borderId="67" xfId="0" applyFont="1" applyFill="1" applyBorder="1"/>
    <xf numFmtId="0" fontId="7" fillId="2" borderId="13" xfId="0" applyFont="1" applyFill="1" applyBorder="1" applyAlignment="1">
      <alignment horizontal="center"/>
    </xf>
    <xf numFmtId="0" fontId="7" fillId="2" borderId="65" xfId="0" applyFont="1" applyFill="1" applyBorder="1" applyAlignment="1">
      <alignment horizontal="center"/>
    </xf>
    <xf numFmtId="0" fontId="7" fillId="2" borderId="34" xfId="0" applyFont="1" applyFill="1" applyBorder="1" applyAlignment="1">
      <alignment horizontal="left"/>
    </xf>
    <xf numFmtId="0" fontId="3" fillId="6" borderId="4" xfId="0" applyFont="1" applyFill="1" applyBorder="1"/>
    <xf numFmtId="0" fontId="3" fillId="6" borderId="42" xfId="0" applyFont="1" applyFill="1" applyBorder="1"/>
    <xf numFmtId="9" fontId="7" fillId="6" borderId="21" xfId="0" applyNumberFormat="1" applyFont="1" applyFill="1" applyBorder="1" applyAlignment="1">
      <alignment horizontal="center"/>
    </xf>
    <xf numFmtId="9" fontId="7" fillId="6" borderId="47" xfId="0" applyNumberFormat="1" applyFont="1" applyFill="1" applyBorder="1" applyAlignment="1">
      <alignment horizontal="center"/>
    </xf>
    <xf numFmtId="9" fontId="7" fillId="6" borderId="9" xfId="0" applyNumberFormat="1" applyFont="1" applyFill="1" applyBorder="1" applyAlignment="1">
      <alignment horizontal="left"/>
    </xf>
    <xf numFmtId="9" fontId="7" fillId="6" borderId="13" xfId="0" applyNumberFormat="1" applyFont="1" applyFill="1" applyBorder="1" applyAlignment="1">
      <alignment horizontal="center"/>
    </xf>
    <xf numFmtId="9" fontId="7" fillId="6" borderId="65" xfId="0" applyNumberFormat="1" applyFont="1" applyFill="1" applyBorder="1" applyAlignment="1">
      <alignment horizontal="center"/>
    </xf>
    <xf numFmtId="0" fontId="3" fillId="6" borderId="1" xfId="0" applyFont="1" applyFill="1" applyBorder="1"/>
    <xf numFmtId="9" fontId="7" fillId="6" borderId="1" xfId="0" applyNumberFormat="1" applyFont="1" applyFill="1" applyBorder="1" applyAlignment="1">
      <alignment horizontal="center"/>
    </xf>
    <xf numFmtId="0" fontId="4" fillId="21" borderId="60" xfId="0" applyFont="1" applyFill="1" applyBorder="1" applyAlignment="1">
      <alignment horizontal="left" vertical="center" wrapText="1"/>
    </xf>
    <xf numFmtId="0" fontId="4" fillId="21" borderId="45" xfId="0" applyFont="1" applyFill="1" applyBorder="1" applyAlignment="1">
      <alignment horizontal="left" vertical="center" wrapText="1"/>
    </xf>
    <xf numFmtId="0" fontId="1" fillId="0" borderId="22" xfId="0" applyFont="1" applyBorder="1"/>
    <xf numFmtId="0" fontId="32" fillId="2" borderId="1" xfId="0" applyFont="1" applyFill="1" applyBorder="1" applyAlignment="1">
      <alignment horizontal="center"/>
    </xf>
    <xf numFmtId="165" fontId="32" fillId="2" borderId="1" xfId="0" applyNumberFormat="1" applyFont="1" applyFill="1" applyBorder="1" applyAlignment="1">
      <alignment horizontal="center"/>
    </xf>
    <xf numFmtId="0" fontId="32" fillId="2" borderId="9" xfId="0" applyFont="1" applyFill="1" applyBorder="1" applyAlignment="1">
      <alignment horizontal="right"/>
    </xf>
    <xf numFmtId="2" fontId="32" fillId="2" borderId="1" xfId="0" applyNumberFormat="1" applyFont="1" applyFill="1" applyBorder="1" applyAlignment="1">
      <alignment horizontal="center"/>
    </xf>
    <xf numFmtId="168" fontId="32" fillId="2" borderId="1" xfId="0" applyNumberFormat="1" applyFont="1" applyFill="1" applyBorder="1" applyAlignment="1">
      <alignment horizontal="center"/>
    </xf>
    <xf numFmtId="169" fontId="32" fillId="2" borderId="1" xfId="0" applyNumberFormat="1" applyFont="1" applyFill="1" applyBorder="1" applyAlignment="1">
      <alignment horizontal="center"/>
    </xf>
    <xf numFmtId="169" fontId="32" fillId="2" borderId="5" xfId="0" applyNumberFormat="1" applyFont="1" applyFill="1" applyBorder="1" applyAlignment="1">
      <alignment horizontal="center"/>
    </xf>
    <xf numFmtId="164" fontId="31" fillId="2" borderId="1" xfId="0" applyNumberFormat="1" applyFont="1" applyFill="1" applyBorder="1" applyAlignment="1">
      <alignment horizontal="center"/>
    </xf>
    <xf numFmtId="165" fontId="1" fillId="2" borderId="0" xfId="0" applyNumberFormat="1" applyFont="1" applyFill="1"/>
    <xf numFmtId="0" fontId="18" fillId="2" borderId="9" xfId="0" applyFont="1" applyFill="1" applyBorder="1"/>
    <xf numFmtId="0" fontId="16" fillId="2" borderId="68" xfId="0" applyFont="1" applyFill="1" applyBorder="1"/>
    <xf numFmtId="0" fontId="16" fillId="2" borderId="61" xfId="0" applyFont="1" applyFill="1" applyBorder="1"/>
    <xf numFmtId="169" fontId="16" fillId="2" borderId="62" xfId="0" applyNumberFormat="1" applyFont="1" applyFill="1" applyBorder="1"/>
    <xf numFmtId="169" fontId="1" fillId="2" borderId="62" xfId="0" applyNumberFormat="1" applyFont="1" applyFill="1" applyBorder="1" applyAlignment="1">
      <alignment horizontal="center"/>
    </xf>
    <xf numFmtId="164" fontId="3" fillId="2" borderId="39" xfId="0" applyNumberFormat="1" applyFont="1" applyFill="1" applyBorder="1" applyAlignment="1">
      <alignment horizontal="center"/>
    </xf>
    <xf numFmtId="165" fontId="1" fillId="26" borderId="1" xfId="0" applyNumberFormat="1" applyFont="1" applyFill="1" applyBorder="1" applyAlignment="1">
      <alignment horizontal="center"/>
    </xf>
    <xf numFmtId="165" fontId="1" fillId="8" borderId="1" xfId="0" applyNumberFormat="1" applyFont="1" applyFill="1" applyBorder="1" applyAlignment="1">
      <alignment horizontal="center"/>
    </xf>
    <xf numFmtId="165" fontId="1" fillId="27" borderId="1" xfId="0" applyNumberFormat="1" applyFont="1" applyFill="1" applyBorder="1" applyAlignment="1">
      <alignment horizontal="center"/>
    </xf>
    <xf numFmtId="10" fontId="1" fillId="2" borderId="1" xfId="0" applyNumberFormat="1" applyFont="1" applyFill="1" applyBorder="1" applyAlignment="1">
      <alignment horizontal="center"/>
    </xf>
    <xf numFmtId="0" fontId="5" fillId="2" borderId="61" xfId="0" applyFont="1" applyFill="1" applyBorder="1"/>
    <xf numFmtId="3" fontId="1" fillId="2" borderId="61" xfId="0" applyNumberFormat="1" applyFont="1" applyFill="1" applyBorder="1" applyAlignment="1">
      <alignment horizontal="left"/>
    </xf>
    <xf numFmtId="3" fontId="1" fillId="2" borderId="61" xfId="0" applyNumberFormat="1" applyFont="1" applyFill="1" applyBorder="1" applyAlignment="1">
      <alignment horizontal="center"/>
    </xf>
    <xf numFmtId="0" fontId="1" fillId="2" borderId="61" xfId="0" applyFont="1" applyFill="1" applyBorder="1" applyAlignment="1">
      <alignment horizontal="center"/>
    </xf>
    <xf numFmtId="165" fontId="1" fillId="2" borderId="62" xfId="0" applyNumberFormat="1" applyFont="1" applyFill="1" applyBorder="1" applyAlignment="1">
      <alignment horizontal="center"/>
    </xf>
    <xf numFmtId="165" fontId="1" fillId="2" borderId="63" xfId="0" applyNumberFormat="1" applyFont="1" applyFill="1" applyBorder="1" applyAlignment="1">
      <alignment horizontal="center"/>
    </xf>
    <xf numFmtId="165" fontId="1" fillId="2" borderId="61" xfId="0" applyNumberFormat="1" applyFont="1" applyFill="1" applyBorder="1" applyAlignment="1">
      <alignment horizontal="center"/>
    </xf>
    <xf numFmtId="164" fontId="7" fillId="2" borderId="5" xfId="0" applyNumberFormat="1" applyFont="1" applyFill="1" applyBorder="1" applyAlignment="1">
      <alignment horizontal="center"/>
    </xf>
    <xf numFmtId="0" fontId="4" fillId="5" borderId="0" xfId="0" applyFont="1" applyFill="1" applyAlignment="1">
      <alignment horizontal="center" vertical="center" wrapText="1"/>
    </xf>
    <xf numFmtId="164" fontId="1" fillId="28" borderId="0" xfId="0" applyNumberFormat="1" applyFont="1" applyFill="1" applyAlignment="1">
      <alignment horizontal="center"/>
    </xf>
    <xf numFmtId="164" fontId="1" fillId="29" borderId="36" xfId="0" applyNumberFormat="1" applyFont="1" applyFill="1" applyBorder="1" applyAlignment="1">
      <alignment horizontal="center"/>
    </xf>
    <xf numFmtId="0" fontId="7" fillId="7" borderId="25" xfId="0" applyFont="1" applyFill="1" applyBorder="1" applyAlignment="1">
      <alignment horizontal="center" wrapText="1"/>
    </xf>
    <xf numFmtId="0" fontId="8" fillId="0" borderId="26" xfId="0" applyFont="1" applyBorder="1"/>
    <xf numFmtId="0" fontId="8" fillId="0" borderId="27" xfId="0" applyFont="1" applyBorder="1"/>
    <xf numFmtId="0" fontId="7" fillId="7" borderId="26" xfId="0" applyFont="1" applyFill="1" applyBorder="1" applyAlignment="1">
      <alignment horizontal="center" wrapText="1"/>
    </xf>
    <xf numFmtId="0" fontId="7" fillId="7" borderId="28" xfId="0" applyFont="1" applyFill="1" applyBorder="1" applyAlignment="1">
      <alignment horizontal="center" wrapText="1"/>
    </xf>
    <xf numFmtId="0" fontId="8" fillId="0" borderId="28" xfId="0" applyFont="1" applyBorder="1"/>
    <xf numFmtId="0" fontId="8" fillId="0" borderId="29" xfId="0" applyFont="1" applyBorder="1"/>
    <xf numFmtId="0" fontId="5" fillId="7" borderId="56" xfId="0" applyFont="1" applyFill="1" applyBorder="1" applyAlignment="1">
      <alignment horizontal="center" wrapText="1"/>
    </xf>
    <xf numFmtId="0" fontId="8" fillId="0" borderId="57" xfId="0" applyFont="1" applyBorder="1"/>
    <xf numFmtId="0" fontId="8" fillId="0" borderId="58" xfId="0" applyFont="1" applyBorder="1"/>
    <xf numFmtId="0" fontId="4" fillId="21" borderId="59" xfId="0" applyFont="1" applyFill="1" applyBorder="1" applyAlignment="1">
      <alignment horizontal="left" vertical="center" wrapText="1"/>
    </xf>
    <xf numFmtId="0" fontId="8" fillId="0" borderId="60" xfId="0" applyFont="1" applyBorder="1"/>
    <xf numFmtId="0" fontId="8" fillId="0" borderId="45" xfId="0" applyFont="1" applyBorder="1"/>
  </cellXfs>
  <cellStyles count="1">
    <cellStyle name="Normal" xfId="0" builtinId="0"/>
  </cellStyles>
  <dxfs count="115">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ill>
        <patternFill patternType="solid">
          <fgColor rgb="FFFFF2CC"/>
          <bgColor rgb="FFFFF2CC"/>
        </patternFill>
      </fill>
    </dxf>
    <dxf>
      <fill>
        <patternFill patternType="solid">
          <fgColor rgb="FFF8DBD9"/>
          <bgColor rgb="FFF8DBD9"/>
        </patternFill>
      </fill>
    </dxf>
    <dxf>
      <fill>
        <patternFill patternType="solid">
          <fgColor rgb="FFB7E1CD"/>
          <bgColor rgb="FFB7E1CD"/>
        </patternFill>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b/>
        <color rgb="FF0B8043"/>
      </font>
      <fill>
        <patternFill patternType="none"/>
      </fill>
    </dxf>
    <dxf>
      <font>
        <b/>
        <color rgb="FFC53929"/>
      </font>
      <fill>
        <patternFill patternType="none"/>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CE8B2"/>
          <bgColor rgb="FFFCE8B2"/>
        </patternFill>
      </fill>
    </dxf>
    <dxf>
      <fill>
        <patternFill patternType="solid">
          <fgColor rgb="FFBF9000"/>
          <bgColor rgb="FFBF9000"/>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ont>
        <color rgb="FF000000"/>
      </font>
      <fill>
        <patternFill patternType="solid">
          <fgColor rgb="FFA64D79"/>
          <bgColor rgb="FFA64D79"/>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14"/>
      <tableStyleElement type="secondRowStripe" dxfId="113"/>
    </tableStyle>
    <tableStyle name="ETFs-style 2" pivot="0" count="2" xr9:uid="{00000000-0011-0000-FFFF-FFFF01000000}">
      <tableStyleElement type="firstRowStripe" dxfId="112"/>
      <tableStyleElement type="secondRowStripe" dxfId="111"/>
    </tableStyle>
    <tableStyle name="ETFs-style 3" pivot="0" count="2" xr9:uid="{00000000-0011-0000-FFFF-FFFF02000000}">
      <tableStyleElement type="firstRowStripe" dxfId="110"/>
      <tableStyleElement type="secondRowStripe" dxfId="109"/>
    </tableStyle>
    <tableStyle name="ETFs-style 4" pivot="0" count="3" xr9:uid="{00000000-0011-0000-FFFF-FFFF03000000}">
      <tableStyleElement type="headerRow" dxfId="108"/>
      <tableStyleElement type="firstRowStripe" dxfId="107"/>
      <tableStyleElement type="secondRowStripe" dxfId="106"/>
    </tableStyle>
    <tableStyle name="ETFs-style 5" pivot="0" count="2" xr9:uid="{00000000-0011-0000-FFFF-FFFF04000000}">
      <tableStyleElement type="firstRowStripe" dxfId="105"/>
      <tableStyleElement type="secondRowStripe" dxfId="104"/>
    </tableStyle>
    <tableStyle name="ETFs-style 6" pivot="0" count="2" xr9:uid="{00000000-0011-0000-FFFF-FFFF05000000}">
      <tableStyleElement type="firstRowStripe" dxfId="103"/>
      <tableStyleElement type="secondRowStripe" dxfId="102"/>
    </tableStyle>
    <tableStyle name="ETFs-style 7" pivot="0" count="2" xr9:uid="{00000000-0011-0000-FFFF-FFFF06000000}">
      <tableStyleElement type="firstRowStripe" dxfId="101"/>
      <tableStyleElement type="secondRowStripe" dxfId="100"/>
    </tableStyle>
    <tableStyle name="ETFs-style 8" pivot="0" count="2" xr9:uid="{00000000-0011-0000-FFFF-FFFF07000000}">
      <tableStyleElement type="firstRowStripe" dxfId="99"/>
      <tableStyleElement type="secondRowStripe" dxfId="98"/>
    </tableStyle>
    <tableStyle name="ETFs-style 9" pivot="0" count="2" xr9:uid="{00000000-0011-0000-FFFF-FFFF08000000}">
      <tableStyleElement type="firstRowStripe" dxfId="97"/>
      <tableStyleElement type="secondRowStripe" dxfId="96"/>
    </tableStyle>
    <tableStyle name="ETFs-style 10" pivot="0" count="2" xr9:uid="{00000000-0011-0000-FFFF-FFFF09000000}">
      <tableStyleElement type="firstRowStripe" dxfId="95"/>
      <tableStyleElement type="secondRowStripe" dxfId="94"/>
    </tableStyle>
    <tableStyle name="ETFs-style 11" pivot="0" count="2" xr9:uid="{00000000-0011-0000-FFFF-FFFF0A000000}">
      <tableStyleElement type="firstRowStripe" dxfId="93"/>
      <tableStyleElement type="secondRowStripe" dxfId="92"/>
    </tableStyle>
    <tableStyle name="ETFs-style 12" pivot="0" count="2" xr9:uid="{00000000-0011-0000-FFFF-FFFF0B000000}">
      <tableStyleElement type="firstRowStripe" dxfId="91"/>
      <tableStyleElement type="secondRowStripe" dxfId="90"/>
    </tableStyle>
    <tableStyle name="ETF resumido-style" pivot="0" count="2" xr9:uid="{00000000-0011-0000-FFFF-FFFF0C000000}">
      <tableStyleElement type="firstRowStripe" dxfId="89"/>
      <tableStyleElement type="secondRowStripe" dxfId="88"/>
    </tableStyle>
    <tableStyle name="ETF resumido-style 2" pivot="0" count="2" xr9:uid="{00000000-0011-0000-FFFF-FFFF0D000000}">
      <tableStyleElement type="firstRowStripe" dxfId="87"/>
      <tableStyleElement type="secondRowStripe" dxfId="86"/>
    </tableStyle>
    <tableStyle name="ETF resumido-style 3" pivot="0" count="2" xr9:uid="{00000000-0011-0000-FFFF-FFFF0E000000}">
      <tableStyleElement type="firstRowStripe" dxfId="85"/>
      <tableStyleElement type="secondRowStripe" dxfId="84"/>
    </tableStyle>
    <tableStyle name="ETF resumido-style 4" pivot="0" count="3" xr9:uid="{00000000-0011-0000-FFFF-FFFF0F000000}">
      <tableStyleElement type="headerRow" dxfId="83"/>
      <tableStyleElement type="firstRowStripe" dxfId="82"/>
      <tableStyleElement type="secondRowStripe" dxfId="81"/>
    </tableStyle>
    <tableStyle name="ETF resumido-style 5" pivot="0" count="2" xr9:uid="{00000000-0011-0000-FFFF-FFFF10000000}">
      <tableStyleElement type="firstRowStripe" dxfId="80"/>
      <tableStyleElement type="secondRowStripe" dxfId="79"/>
    </tableStyle>
    <tableStyle name="ETF resumido-style 6" pivot="0" count="2" xr9:uid="{00000000-0011-0000-FFFF-FFFF11000000}">
      <tableStyleElement type="firstRowStripe" dxfId="78"/>
      <tableStyleElement type="secondRowStripe" dxfId="77"/>
    </tableStyle>
    <tableStyle name="ETF resumido-style 7" pivot="0" count="2" xr9:uid="{00000000-0011-0000-FFFF-FFFF12000000}">
      <tableStyleElement type="firstRowStripe" dxfId="76"/>
      <tableStyleElement type="secondRowStripe" dxfId="75"/>
    </tableStyle>
    <tableStyle name="ETF resumido-style 8" pivot="0" count="2" xr9:uid="{00000000-0011-0000-FFFF-FFFF13000000}">
      <tableStyleElement type="firstRowStripe" dxfId="74"/>
      <tableStyleElement type="secondRowStripe" dxfId="73"/>
    </tableStyle>
    <tableStyle name="Portafolio Discrecional-style" pivot="0" count="2" xr9:uid="{00000000-0011-0000-FFFF-FFFF14000000}">
      <tableStyleElement type="firstRowStripe" dxfId="72"/>
      <tableStyleElement type="secondRowStripe" dxfId="7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pie3DChart>
        <c:varyColors val="1"/>
        <c:ser>
          <c:idx val="0"/>
          <c:order val="0"/>
          <c:dPt>
            <c:idx val="0"/>
            <c:bubble3D val="0"/>
            <c:spPr>
              <a:solidFill>
                <a:srgbClr val="3D85C6"/>
              </a:solidFill>
            </c:spPr>
            <c:extLst>
              <c:ext xmlns:c16="http://schemas.microsoft.com/office/drawing/2014/chart" uri="{C3380CC4-5D6E-409C-BE32-E72D297353CC}">
                <c16:uniqueId val="{00000001-1ED7-4755-838F-26984B7CB672}"/>
              </c:ext>
            </c:extLst>
          </c:dPt>
          <c:dPt>
            <c:idx val="1"/>
            <c:bubble3D val="0"/>
            <c:spPr>
              <a:solidFill>
                <a:srgbClr val="9FC5E8"/>
              </a:solidFill>
            </c:spPr>
            <c:extLst>
              <c:ext xmlns:c16="http://schemas.microsoft.com/office/drawing/2014/chart" uri="{C3380CC4-5D6E-409C-BE32-E72D297353CC}">
                <c16:uniqueId val="{00000003-1ED7-4755-838F-26984B7CB672}"/>
              </c:ext>
            </c:extLst>
          </c:dPt>
          <c:dPt>
            <c:idx val="2"/>
            <c:bubble3D val="0"/>
            <c:spPr>
              <a:solidFill>
                <a:srgbClr val="F1C232"/>
              </a:solidFill>
            </c:spPr>
            <c:extLst>
              <c:ext xmlns:c16="http://schemas.microsoft.com/office/drawing/2014/chart" uri="{C3380CC4-5D6E-409C-BE32-E72D297353CC}">
                <c16:uniqueId val="{00000005-1ED7-4755-838F-26984B7CB672}"/>
              </c:ext>
            </c:extLst>
          </c:dPt>
          <c:dPt>
            <c:idx val="3"/>
            <c:bubble3D val="0"/>
            <c:spPr>
              <a:solidFill>
                <a:srgbClr val="57BB8A"/>
              </a:solidFill>
            </c:spPr>
            <c:extLst>
              <c:ext xmlns:c16="http://schemas.microsoft.com/office/drawing/2014/chart" uri="{C3380CC4-5D6E-409C-BE32-E72D297353CC}">
                <c16:uniqueId val="{00000007-1ED7-4755-838F-26984B7CB672}"/>
              </c:ext>
            </c:extLst>
          </c:dPt>
          <c:dPt>
            <c:idx val="4"/>
            <c:bubble3D val="0"/>
            <c:spPr>
              <a:solidFill>
                <a:srgbClr val="BDBDBD"/>
              </a:solidFill>
            </c:spPr>
            <c:extLst>
              <c:ext xmlns:c16="http://schemas.microsoft.com/office/drawing/2014/chart" uri="{C3380CC4-5D6E-409C-BE32-E72D297353CC}">
                <c16:uniqueId val="{00000009-1ED7-4755-838F-26984B7CB672}"/>
              </c:ext>
            </c:extLst>
          </c:dPt>
          <c:dPt>
            <c:idx val="5"/>
            <c:bubble3D val="0"/>
            <c:spPr>
              <a:solidFill>
                <a:srgbClr val="46BDC6"/>
              </a:solidFill>
            </c:spPr>
            <c:extLst>
              <c:ext xmlns:c16="http://schemas.microsoft.com/office/drawing/2014/chart" uri="{C3380CC4-5D6E-409C-BE32-E72D297353CC}">
                <c16:uniqueId val="{0000000B-1ED7-4755-838F-26984B7CB672}"/>
              </c:ext>
            </c:extLst>
          </c:dPt>
          <c:dLbls>
            <c:dLbl>
              <c:idx val="0"/>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1-1ED7-4755-838F-26984B7CB672}"/>
                </c:ext>
              </c:extLst>
            </c:dLbl>
            <c:dLbl>
              <c:idx val="1"/>
              <c:spPr/>
              <c:txPr>
                <a:bodyPr/>
                <a:lstStyle/>
                <a:p>
                  <a:pPr lvl="0">
                    <a:defRPr sz="800">
                      <a:solidFill>
                        <a:srgbClr val="000000"/>
                      </a:solidFill>
                    </a:defRPr>
                  </a:pPr>
                  <a:endParaRPr lang="es-UY"/>
                </a:p>
              </c:txPr>
              <c:showLegendKey val="0"/>
              <c:showVal val="1"/>
              <c:showCatName val="0"/>
              <c:showSerName val="0"/>
              <c:showPercent val="0"/>
              <c:showBubbleSize val="0"/>
              <c:extLst>
                <c:ext xmlns:c16="http://schemas.microsoft.com/office/drawing/2014/chart" uri="{C3380CC4-5D6E-409C-BE32-E72D297353CC}">
                  <c16:uniqueId val="{00000003-1ED7-4755-838F-26984B7CB672}"/>
                </c:ext>
              </c:extLst>
            </c:dLbl>
            <c:dLbl>
              <c:idx val="2"/>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5-1ED7-4755-838F-26984B7CB672}"/>
                </c:ext>
              </c:extLst>
            </c:dLbl>
            <c:dLbl>
              <c:idx val="3"/>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7-1ED7-4755-838F-26984B7CB672}"/>
                </c:ext>
              </c:extLst>
            </c:dLbl>
            <c:dLbl>
              <c:idx val="4"/>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9-1ED7-4755-838F-26984B7CB672}"/>
                </c:ext>
              </c:extLst>
            </c:dLbl>
            <c:spPr>
              <a:noFill/>
              <a:ln>
                <a:noFill/>
              </a:ln>
              <a:effectLst/>
            </c:spPr>
            <c:txPr>
              <a:bodyPr wrap="square" lIns="38100" tIns="19050" rIns="38100" bIns="19050" anchor="ctr">
                <a:spAutoFit/>
              </a:bodyPr>
              <a:lstStyle/>
              <a:p>
                <a:pPr>
                  <a:defRPr sz="800"/>
                </a:pPr>
                <a:endParaRPr lang="es-UY"/>
              </a:p>
            </c:tx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Discrecional'!$X$67:$X$71</c:f>
              <c:strCache>
                <c:ptCount val="5"/>
                <c:pt idx="0">
                  <c:v>Alta calidad</c:v>
                </c:pt>
                <c:pt idx="1">
                  <c:v>Líder global</c:v>
                </c:pt>
                <c:pt idx="2">
                  <c:v>Atractivas Mediano plazo</c:v>
                </c:pt>
                <c:pt idx="3">
                  <c:v>Futuros líderes</c:v>
                </c:pt>
                <c:pt idx="4">
                  <c:v>Cash</c:v>
                </c:pt>
              </c:strCache>
            </c:strRef>
          </c:cat>
          <c:val>
            <c:numRef>
              <c:f>'Portafolio Discrecional'!$Y$67:$Y$71</c:f>
              <c:numCache>
                <c:formatCode>0.0%</c:formatCode>
                <c:ptCount val="5"/>
                <c:pt idx="0">
                  <c:v>5.0923307336927202E-2</c:v>
                </c:pt>
                <c:pt idx="1">
                  <c:v>0.12895649491585656</c:v>
                </c:pt>
                <c:pt idx="2">
                  <c:v>0.25909413103000228</c:v>
                </c:pt>
                <c:pt idx="3">
                  <c:v>2.2217424825841593E-2</c:v>
                </c:pt>
                <c:pt idx="4">
                  <c:v>0.53880864189137234</c:v>
                </c:pt>
              </c:numCache>
            </c:numRef>
          </c:val>
          <c:extLst>
            <c:ext xmlns:c16="http://schemas.microsoft.com/office/drawing/2014/chart" uri="{C3380CC4-5D6E-409C-BE32-E72D297353CC}">
              <c16:uniqueId val="{0000000C-1ED7-4755-838F-26984B7CB672}"/>
            </c:ext>
          </c:extLst>
        </c:ser>
        <c:dLbls>
          <c:showLegendKey val="0"/>
          <c:showVal val="0"/>
          <c:showCatName val="0"/>
          <c:showSerName val="0"/>
          <c:showPercent val="0"/>
          <c:showBubbleSize val="0"/>
          <c:showLeaderLines val="1"/>
        </c:dLbls>
      </c:pie3DChart>
    </c:plotArea>
    <c:legend>
      <c:legendPos val="r"/>
      <c:layout>
        <c:manualLayout>
          <c:xMode val="edge"/>
          <c:yMode val="edge"/>
          <c:x val="0.60922790901137358"/>
          <c:y val="0.22494546515018957"/>
          <c:w val="0.36299431321084863"/>
          <c:h val="0.70196092155147272"/>
        </c:manualLayout>
      </c:layout>
      <c:overlay val="0"/>
      <c:txPr>
        <a:bodyPr/>
        <a:lstStyle/>
        <a:p>
          <a:pPr>
            <a:defRPr sz="800"/>
          </a:pPr>
          <a:endParaRPr lang="es-UY"/>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 (21-junio-2024)</a:t>
            </a:r>
          </a:p>
        </c:rich>
      </c:tx>
      <c:overlay val="0"/>
    </c:title>
    <c:autoTitleDeleted val="0"/>
    <c:plotArea>
      <c:layout/>
      <c:barChart>
        <c:barDir val="col"/>
        <c:grouping val="clustered"/>
        <c:varyColors val="1"/>
        <c:ser>
          <c:idx val="0"/>
          <c:order val="0"/>
          <c:tx>
            <c:strRef>
              <c:f>'Portafolio Discrecional'!$C$60</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Discrecional'!$D$59:$P$59</c:f>
              <c:strCache>
                <c:ptCount val="13"/>
                <c:pt idx="0">
                  <c:v>Hoy</c:v>
                </c:pt>
                <c:pt idx="1">
                  <c:v>Semanal</c:v>
                </c:pt>
                <c:pt idx="2">
                  <c:v>Jun24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Discrecional'!$D$60:$P$60</c:f>
              <c:numCache>
                <c:formatCode>0.0%</c:formatCode>
                <c:ptCount val="13"/>
                <c:pt idx="0">
                  <c:v>-1.9672767462634464E-4</c:v>
                </c:pt>
                <c:pt idx="1">
                  <c:v>3.4792923478933358E-3</c:v>
                </c:pt>
                <c:pt idx="2">
                  <c:v>-6.5207076521066644E-3</c:v>
                </c:pt>
                <c:pt idx="3">
                  <c:v>1.3447232644793639E-2</c:v>
                </c:pt>
                <c:pt idx="4">
                  <c:v>0.11280010746273494</c:v>
                </c:pt>
                <c:pt idx="5">
                  <c:v>0.21416904160709871</c:v>
                </c:pt>
                <c:pt idx="6">
                  <c:v>0.11280010746273494</c:v>
                </c:pt>
                <c:pt idx="7">
                  <c:v>0.13100000000000001</c:v>
                </c:pt>
                <c:pt idx="8">
                  <c:v>-0.126</c:v>
                </c:pt>
                <c:pt idx="9">
                  <c:v>0.104</c:v>
                </c:pt>
                <c:pt idx="10">
                  <c:v>0.77100000000000002</c:v>
                </c:pt>
                <c:pt idx="11">
                  <c:v>1.15069502783457</c:v>
                </c:pt>
                <c:pt idx="12">
                  <c:v>0.18619125510728618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004-4BF7-8707-E2AB942A27DE}"/>
            </c:ext>
          </c:extLst>
        </c:ser>
        <c:ser>
          <c:idx val="1"/>
          <c:order val="1"/>
          <c:tx>
            <c:strRef>
              <c:f>'Portafolio Discrecional'!$C$61</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Discrecional'!$D$59:$P$59</c:f>
              <c:strCache>
                <c:ptCount val="13"/>
                <c:pt idx="0">
                  <c:v>Hoy</c:v>
                </c:pt>
                <c:pt idx="1">
                  <c:v>Semanal</c:v>
                </c:pt>
                <c:pt idx="2">
                  <c:v>Jun24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Discrecional'!$D$61:$P$61</c:f>
              <c:numCache>
                <c:formatCode>0.0%</c:formatCode>
                <c:ptCount val="13"/>
                <c:pt idx="0">
                  <c:v>0</c:v>
                </c:pt>
                <c:pt idx="1">
                  <c:v>3.1872950366631514E-3</c:v>
                </c:pt>
                <c:pt idx="2">
                  <c:v>3.2500900695906054E-2</c:v>
                </c:pt>
                <c:pt idx="3">
                  <c:v>4.7597976027858424E-2</c:v>
                </c:pt>
                <c:pt idx="4">
                  <c:v>0.14477031430673826</c:v>
                </c:pt>
                <c:pt idx="5">
                  <c:v>0.26207583905062126</c:v>
                </c:pt>
                <c:pt idx="6">
                  <c:v>0.14558919442048346</c:v>
                </c:pt>
                <c:pt idx="7">
                  <c:v>0.24299999999999999</c:v>
                </c:pt>
                <c:pt idx="8">
                  <c:v>-0.19500000000000001</c:v>
                </c:pt>
                <c:pt idx="9">
                  <c:v>0.27</c:v>
                </c:pt>
                <c:pt idx="10">
                  <c:v>0.16200000000000001</c:v>
                </c:pt>
                <c:pt idx="11">
                  <c:v>0.69587018811511148</c:v>
                </c:pt>
                <c:pt idx="12">
                  <c:v>0.12498674239059415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5004-4BF7-8707-E2AB942A27DE}"/>
            </c:ext>
          </c:extLst>
        </c:ser>
        <c:dLbls>
          <c:showLegendKey val="0"/>
          <c:showVal val="0"/>
          <c:showCatName val="0"/>
          <c:showSerName val="0"/>
          <c:showPercent val="0"/>
          <c:showBubbleSize val="0"/>
        </c:dLbls>
        <c:gapWidth val="150"/>
        <c:axId val="1063648736"/>
        <c:axId val="120767046"/>
      </c:barChart>
      <c:catAx>
        <c:axId val="1063648736"/>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120767046"/>
        <c:crosses val="autoZero"/>
        <c:auto val="1"/>
        <c:lblAlgn val="ctr"/>
        <c:lblOffset val="100"/>
        <c:noMultiLvlLbl val="1"/>
      </c:catAx>
      <c:valAx>
        <c:axId val="12076704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1063648736"/>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19</xdr:col>
      <xdr:colOff>45720</xdr:colOff>
      <xdr:row>57</xdr:row>
      <xdr:rowOff>15240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81915</xdr:colOff>
      <xdr:row>63</xdr:row>
      <xdr:rowOff>163830</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67"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912"/>
  <sheetViews>
    <sheetView tabSelected="1" workbookViewId="0">
      <pane xSplit="2" ySplit="2" topLeftCell="C65" activePane="bottomRight" state="frozen"/>
      <selection pane="topRight" activeCell="C1" sqref="C1"/>
      <selection pane="bottomLeft" activeCell="A3" sqref="A3"/>
      <selection pane="bottomRight" activeCell="A60" sqref="A60:XFD60"/>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9.77734375" customWidth="1"/>
    <col min="6" max="6" width="12.88671875" customWidth="1"/>
    <col min="7" max="7" width="10.6640625" customWidth="1"/>
    <col min="8" max="8" width="9.44140625" customWidth="1"/>
    <col min="9" max="9" width="7" customWidth="1"/>
    <col min="10" max="12" width="7.88671875" customWidth="1"/>
    <col min="13" max="13" width="8.5546875"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4.109375" customWidth="1"/>
    <col min="29" max="29" width="8.33203125" customWidth="1"/>
    <col min="30" max="30" width="9.44140625" customWidth="1"/>
    <col min="31" max="31" width="12.44140625" customWidth="1"/>
    <col min="32" max="33" width="12.66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30"/>
      <c r="B1" s="30"/>
      <c r="C1" s="548" t="s">
        <v>30</v>
      </c>
      <c r="D1" s="549"/>
      <c r="E1" s="549"/>
      <c r="F1" s="549"/>
      <c r="G1" s="549"/>
      <c r="H1" s="549"/>
      <c r="I1" s="550"/>
      <c r="J1" s="551" t="s">
        <v>31</v>
      </c>
      <c r="K1" s="549"/>
      <c r="L1" s="549"/>
      <c r="M1" s="549"/>
      <c r="N1" s="549"/>
      <c r="O1" s="549"/>
      <c r="P1" s="549"/>
      <c r="Q1" s="549"/>
      <c r="R1" s="549"/>
      <c r="S1" s="549"/>
      <c r="T1" s="549"/>
      <c r="U1" s="550"/>
      <c r="V1" s="548" t="s">
        <v>32</v>
      </c>
      <c r="W1" s="549"/>
      <c r="X1" s="549"/>
      <c r="Y1" s="549"/>
      <c r="Z1" s="549"/>
      <c r="AA1" s="550"/>
      <c r="AB1" s="552" t="s">
        <v>33</v>
      </c>
      <c r="AC1" s="553"/>
      <c r="AD1" s="554"/>
      <c r="AE1" s="36" t="s">
        <v>34</v>
      </c>
      <c r="AF1" s="35"/>
      <c r="AG1" s="35"/>
      <c r="AH1" s="37"/>
      <c r="AI1" s="37"/>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row>
    <row r="2" spans="1:79" ht="48">
      <c r="A2" s="38"/>
      <c r="B2" s="39" t="s">
        <v>0</v>
      </c>
      <c r="C2" s="40" t="s">
        <v>1</v>
      </c>
      <c r="D2" s="39" t="s">
        <v>35</v>
      </c>
      <c r="E2" s="39" t="s">
        <v>2</v>
      </c>
      <c r="F2" s="39" t="s">
        <v>36</v>
      </c>
      <c r="G2" s="39" t="s">
        <v>37</v>
      </c>
      <c r="H2" s="39" t="s">
        <v>38</v>
      </c>
      <c r="I2" s="39" t="s">
        <v>39</v>
      </c>
      <c r="J2" s="41" t="s">
        <v>3</v>
      </c>
      <c r="K2" s="41" t="s">
        <v>40</v>
      </c>
      <c r="L2" s="41" t="s">
        <v>41</v>
      </c>
      <c r="M2" s="41" t="s">
        <v>42</v>
      </c>
      <c r="N2" s="41" t="s">
        <v>43</v>
      </c>
      <c r="O2" s="41" t="s">
        <v>44</v>
      </c>
      <c r="P2" s="41" t="s">
        <v>45</v>
      </c>
      <c r="Q2" s="41" t="s">
        <v>46</v>
      </c>
      <c r="R2" s="41" t="s">
        <v>47</v>
      </c>
      <c r="S2" s="42" t="s">
        <v>48</v>
      </c>
      <c r="T2" s="42" t="s">
        <v>49</v>
      </c>
      <c r="U2" s="42" t="s">
        <v>50</v>
      </c>
      <c r="V2" s="43" t="s">
        <v>4</v>
      </c>
      <c r="W2" s="39" t="s">
        <v>51</v>
      </c>
      <c r="X2" s="39" t="s">
        <v>52</v>
      </c>
      <c r="Y2" s="39" t="s">
        <v>53</v>
      </c>
      <c r="Z2" s="39" t="s">
        <v>54</v>
      </c>
      <c r="AA2" s="39" t="s">
        <v>55</v>
      </c>
      <c r="AB2" s="44" t="s">
        <v>56</v>
      </c>
      <c r="AC2" s="44" t="s">
        <v>57</v>
      </c>
      <c r="AD2" s="44" t="s">
        <v>58</v>
      </c>
      <c r="AE2" s="44" t="s">
        <v>59</v>
      </c>
      <c r="AF2" s="44" t="s">
        <v>60</v>
      </c>
      <c r="AG2" s="44" t="s">
        <v>61</v>
      </c>
      <c r="AH2" s="45" t="s">
        <v>62</v>
      </c>
      <c r="AI2" s="45" t="s">
        <v>63</v>
      </c>
      <c r="AJ2" s="46"/>
      <c r="AK2" s="46"/>
      <c r="AL2" s="46"/>
      <c r="AM2" s="46"/>
      <c r="AN2" s="46"/>
      <c r="AO2" s="46"/>
      <c r="AP2" s="46"/>
      <c r="AQ2" s="46"/>
      <c r="AR2" s="46"/>
      <c r="AS2" s="46"/>
      <c r="AT2" s="46"/>
      <c r="AU2" s="46"/>
      <c r="AV2" s="46"/>
      <c r="AW2" s="46"/>
      <c r="AX2" s="46"/>
      <c r="AY2" s="46"/>
      <c r="AZ2" s="5" t="s">
        <v>64</v>
      </c>
      <c r="BA2" s="32" t="s">
        <v>65</v>
      </c>
      <c r="BC2" s="5" t="s">
        <v>66</v>
      </c>
      <c r="BD2" s="38"/>
      <c r="BE2" s="38"/>
      <c r="BF2" s="38"/>
      <c r="BG2" s="38"/>
      <c r="BH2" s="38"/>
      <c r="BI2" s="38"/>
      <c r="BJ2" s="38"/>
      <c r="BK2" s="38"/>
      <c r="BL2" s="38"/>
      <c r="BM2" s="38"/>
      <c r="BN2" s="38"/>
      <c r="BO2" s="38"/>
      <c r="BP2" s="38"/>
      <c r="BQ2" s="38"/>
      <c r="BR2" s="38"/>
    </row>
    <row r="3" spans="1:79" ht="28.8">
      <c r="A3" s="47">
        <v>1</v>
      </c>
      <c r="B3" s="1" t="s">
        <v>67</v>
      </c>
      <c r="C3" s="48" t="str">
        <f ca="1">IFERROR(__xludf.DUMMYFUNCTION("GoogleFinance(B3,""name"")"),"Procter &amp; Gamble Co")</f>
        <v>Procter &amp; Gamble Co</v>
      </c>
      <c r="D3" s="49">
        <f ca="1">IFERROR(__xludf.DUMMYFUNCTION("GoogleFinance(B3,""marketcap"")/1000000"),397116.302135)</f>
        <v>397116.30213500001</v>
      </c>
      <c r="E3" s="50" t="s">
        <v>16</v>
      </c>
      <c r="F3" s="50" t="s">
        <v>68</v>
      </c>
      <c r="G3" s="51">
        <v>45184</v>
      </c>
      <c r="H3" s="2">
        <v>0.04</v>
      </c>
      <c r="I3" s="10">
        <f ca="1">N3/$M$56</f>
        <v>1.6198704004588105E-2</v>
      </c>
      <c r="J3" s="52">
        <f ca="1">IFERROR(__xludf.DUMMYFUNCTION("GOOGLEFINANCE(B3)"),168.26)</f>
        <v>168.26</v>
      </c>
      <c r="K3" s="53">
        <v>154.91</v>
      </c>
      <c r="L3" s="54">
        <f>4800/K3-20</f>
        <v>10.985733651797819</v>
      </c>
      <c r="M3" s="55">
        <f>L3*K3</f>
        <v>1701.8000000000002</v>
      </c>
      <c r="N3" s="56">
        <f ca="1">J3*L3</f>
        <v>1848.459544251501</v>
      </c>
      <c r="O3" s="56">
        <f ca="1">N3-M3</f>
        <v>146.65954425150085</v>
      </c>
      <c r="P3" s="57">
        <f ca="1">J3/K3-1</f>
        <v>8.6179071719062694E-2</v>
      </c>
      <c r="Q3" s="58">
        <f ca="1">TODAY()-G3</f>
        <v>283</v>
      </c>
      <c r="R3" s="59">
        <v>140</v>
      </c>
      <c r="S3" s="57">
        <f t="shared" ref="S3:S6" ca="1" si="0">R3/J3-1</f>
        <v>-0.16795435635326272</v>
      </c>
      <c r="T3" s="50">
        <v>175</v>
      </c>
      <c r="U3" s="57">
        <f ca="1">T3/J3-1</f>
        <v>4.0057054558421568E-2</v>
      </c>
      <c r="V3" s="9">
        <f ca="1">IFERROR(__xludf.DUMMYFUNCTION("GoogleFinance(B3,""changepct"")/100"),0)</f>
        <v>0</v>
      </c>
      <c r="W3" s="57" t="e">
        <f ca="1">J3/AN4-1</f>
        <v>#DIV/0!</v>
      </c>
      <c r="X3" s="57">
        <f ca="1">J3/AP4-1</f>
        <v>2.2608484259146744E-2</v>
      </c>
      <c r="Y3" s="57">
        <f ca="1">J3/AR4-1</f>
        <v>5.0377676509145264E-2</v>
      </c>
      <c r="Z3" s="57">
        <f ca="1">J3/AT4-1</f>
        <v>0.15293956420446753</v>
      </c>
      <c r="AA3" s="57">
        <f ca="1">J3/AV4-1</f>
        <v>0.14821891633683637</v>
      </c>
      <c r="AB3" s="60" t="s">
        <v>69</v>
      </c>
      <c r="AC3" s="61" t="s">
        <v>69</v>
      </c>
      <c r="AD3" s="61" t="s">
        <v>70</v>
      </c>
      <c r="AE3" s="62" t="s">
        <v>71</v>
      </c>
      <c r="AF3" s="62" t="s">
        <v>72</v>
      </c>
      <c r="AG3" s="62" t="s">
        <v>73</v>
      </c>
      <c r="AH3" s="63" t="s">
        <v>74</v>
      </c>
      <c r="AI3" s="63" t="s">
        <v>75</v>
      </c>
      <c r="AJ3" s="2"/>
      <c r="AK3" s="2"/>
      <c r="AL3" s="2"/>
      <c r="AM3" s="2" t="s">
        <v>379</v>
      </c>
      <c r="AN3" s="30"/>
      <c r="AO3" s="2" t="s">
        <v>375</v>
      </c>
      <c r="AP3" s="30" t="s">
        <v>376</v>
      </c>
      <c r="AQ3" s="2" t="s">
        <v>375</v>
      </c>
      <c r="AR3" s="30" t="s">
        <v>376</v>
      </c>
      <c r="AS3" s="2" t="s">
        <v>375</v>
      </c>
      <c r="AT3" s="30" t="s">
        <v>376</v>
      </c>
      <c r="AU3" s="2" t="s">
        <v>375</v>
      </c>
      <c r="AV3" s="30" t="s">
        <v>376</v>
      </c>
      <c r="AW3" s="5"/>
      <c r="AX3" s="5"/>
      <c r="AY3" s="5"/>
      <c r="AZ3" s="5"/>
      <c r="BC3" s="5"/>
      <c r="BI3" s="5"/>
      <c r="BJ3" s="5"/>
      <c r="BK3" s="5"/>
      <c r="BL3" s="5"/>
      <c r="BM3" s="5"/>
      <c r="BN3" s="5"/>
      <c r="BO3" s="5"/>
      <c r="BP3" s="5"/>
      <c r="BQ3" s="5"/>
      <c r="BR3" s="5"/>
    </row>
    <row r="4" spans="1:79" ht="13.2" hidden="1">
      <c r="A4" s="47" t="e">
        <f>#REF!+1</f>
        <v>#REF!</v>
      </c>
      <c r="B4" s="1"/>
      <c r="C4" s="48"/>
      <c r="D4" s="49"/>
      <c r="E4" s="50"/>
      <c r="F4" s="50"/>
      <c r="G4" s="64"/>
      <c r="H4" s="2"/>
      <c r="I4" s="65"/>
      <c r="J4" s="52"/>
      <c r="K4" s="53"/>
      <c r="L4" s="50"/>
      <c r="M4" s="50"/>
      <c r="N4" s="66"/>
      <c r="O4" s="67"/>
      <c r="P4" s="67"/>
      <c r="Q4" s="68"/>
      <c r="R4" s="9"/>
      <c r="S4" s="57" t="e">
        <f t="shared" si="0"/>
        <v>#DIV/0!</v>
      </c>
      <c r="T4" s="57"/>
      <c r="U4" s="57"/>
      <c r="V4" s="11" t="e">
        <v>#N/A</v>
      </c>
      <c r="W4" s="57" t="e">
        <v>#REF!</v>
      </c>
      <c r="X4" s="57" t="e">
        <v>#REF!</v>
      </c>
      <c r="Y4" s="57" t="e">
        <v>#REF!</v>
      </c>
      <c r="Z4" s="57" t="e">
        <v>#REF!</v>
      </c>
      <c r="AA4" s="57" t="e">
        <v>#REF!</v>
      </c>
      <c r="AB4" s="16"/>
      <c r="AC4" s="3"/>
      <c r="AD4" s="3"/>
      <c r="AE4" s="3"/>
      <c r="AF4" s="3"/>
      <c r="AG4" s="3"/>
      <c r="AH4" s="3"/>
      <c r="AI4" s="63"/>
      <c r="AJ4" s="2"/>
      <c r="AK4" s="2"/>
      <c r="AL4" s="2"/>
      <c r="AM4" s="51"/>
      <c r="AN4" s="30"/>
      <c r="AO4" s="51">
        <v>45443.666666666599</v>
      </c>
      <c r="AP4" s="30">
        <v>164.54</v>
      </c>
      <c r="AQ4" s="51">
        <v>45376.666666666599</v>
      </c>
      <c r="AR4" s="30">
        <v>160.19</v>
      </c>
      <c r="AS4" s="51">
        <v>45286.666666666599</v>
      </c>
      <c r="AT4" s="30">
        <v>145.94</v>
      </c>
      <c r="AU4" s="51">
        <v>45289.666666666599</v>
      </c>
      <c r="AV4" s="30">
        <v>146.54</v>
      </c>
      <c r="AW4" s="5"/>
      <c r="AX4" s="5"/>
      <c r="AY4" s="69" t="s">
        <v>76</v>
      </c>
      <c r="AZ4" s="9">
        <v>4.65E-2</v>
      </c>
      <c r="BA4" s="9">
        <v>-1.0200000000000001E-2</v>
      </c>
      <c r="BI4" s="5"/>
      <c r="BJ4" s="5"/>
      <c r="BK4" s="5"/>
      <c r="BL4" s="5"/>
      <c r="BM4" s="5"/>
      <c r="BN4" s="5"/>
      <c r="BO4" s="5"/>
      <c r="BP4" s="5"/>
      <c r="BQ4" s="5"/>
      <c r="BR4" s="5"/>
    </row>
    <row r="5" spans="1:79" ht="19.2">
      <c r="A5" s="47">
        <f t="shared" ref="A5:A11" si="1">A3+1</f>
        <v>2</v>
      </c>
      <c r="B5" s="1" t="s">
        <v>77</v>
      </c>
      <c r="C5" s="48" t="str">
        <f ca="1">IFERROR(__xludf.DUMMYFUNCTION("GoogleFinance(B5,""name"")"),"Target Corp")</f>
        <v>Target Corp</v>
      </c>
      <c r="D5" s="49">
        <f ca="1">IFERROR(__xludf.DUMMYFUNCTION("GoogleFinance(B5,""marketcap"")/1000000"),67605.074003)</f>
        <v>67605.074003000002</v>
      </c>
      <c r="E5" s="50" t="s">
        <v>16</v>
      </c>
      <c r="F5" s="50" t="s">
        <v>78</v>
      </c>
      <c r="G5" s="51">
        <v>45434</v>
      </c>
      <c r="H5" s="2">
        <v>0.03</v>
      </c>
      <c r="I5" s="10">
        <f ca="1">N5/$M$56</f>
        <v>1.3471186764783878E-2</v>
      </c>
      <c r="J5" s="52">
        <f ca="1">IFERROR(__xludf.DUMMYFUNCTION("GOOGLEFINANCE(B5)"),146.13)</f>
        <v>146.13</v>
      </c>
      <c r="K5" s="53">
        <v>144.16999999999999</v>
      </c>
      <c r="L5" s="54">
        <f>4400/K5-20</f>
        <v>10.519525560102661</v>
      </c>
      <c r="M5" s="55">
        <f>L5*K5</f>
        <v>1516.6000000000006</v>
      </c>
      <c r="N5" s="56">
        <f ca="1">J5*L5</f>
        <v>1537.2182700978019</v>
      </c>
      <c r="O5" s="56">
        <f ca="1">N5-M5</f>
        <v>20.618270097801314</v>
      </c>
      <c r="P5" s="57">
        <f ca="1">J5/K5-1</f>
        <v>1.3595061385863971E-2</v>
      </c>
      <c r="Q5" s="58">
        <f ca="1">TODAY()-G5</f>
        <v>33</v>
      </c>
      <c r="R5" s="59"/>
      <c r="S5" s="57">
        <f t="shared" ca="1" si="0"/>
        <v>-1</v>
      </c>
      <c r="T5" s="50">
        <v>195</v>
      </c>
      <c r="U5" s="57">
        <f ca="1">T5/J5-1</f>
        <v>0.33442824881954425</v>
      </c>
      <c r="V5" s="9">
        <f ca="1">IFERROR(__xludf.DUMMYFUNCTION("GoogleFinance(B5,""changepct"")/100"),-0.0005)</f>
        <v>-5.0000000000000001E-4</v>
      </c>
      <c r="W5" s="57" t="e">
        <f ca="1">J5/AN6-1</f>
        <v>#DIV/0!</v>
      </c>
      <c r="X5" s="57">
        <f ca="1">J5/AP6-1</f>
        <v>-6.422899590163933E-2</v>
      </c>
      <c r="Y5" s="57">
        <f ca="1">J5/AR6-1</f>
        <v>-0.15365458125796361</v>
      </c>
      <c r="Z5" s="57">
        <f ca="1">J5/AT6-1</f>
        <v>3.6162518613060968E-2</v>
      </c>
      <c r="AA5" s="57">
        <f ca="1">J5/AV6-1</f>
        <v>2.6049712119084356E-2</v>
      </c>
      <c r="AB5" s="60" t="s">
        <v>69</v>
      </c>
      <c r="AC5" s="61" t="s">
        <v>69</v>
      </c>
      <c r="AD5" s="61" t="s">
        <v>79</v>
      </c>
      <c r="AE5" s="62" t="s">
        <v>71</v>
      </c>
      <c r="AF5" s="62" t="s">
        <v>72</v>
      </c>
      <c r="AG5" s="62" t="s">
        <v>73</v>
      </c>
      <c r="AH5" s="63" t="s">
        <v>80</v>
      </c>
      <c r="AI5" s="63" t="s">
        <v>81</v>
      </c>
      <c r="AJ5" s="2"/>
      <c r="AK5" s="2"/>
      <c r="AL5" s="2"/>
      <c r="AM5" s="2" t="s">
        <v>379</v>
      </c>
      <c r="AN5" s="30"/>
      <c r="AO5" s="2" t="s">
        <v>375</v>
      </c>
      <c r="AP5" s="30" t="s">
        <v>376</v>
      </c>
      <c r="AQ5" s="2" t="s">
        <v>375</v>
      </c>
      <c r="AR5" s="30" t="s">
        <v>376</v>
      </c>
      <c r="AS5" s="2" t="s">
        <v>375</v>
      </c>
      <c r="AT5" s="30" t="s">
        <v>376</v>
      </c>
      <c r="AU5" s="2" t="s">
        <v>375</v>
      </c>
      <c r="AV5" s="30" t="s">
        <v>376</v>
      </c>
      <c r="AW5" s="5"/>
      <c r="AX5" s="5"/>
      <c r="AY5" s="5"/>
      <c r="AZ5" s="5"/>
      <c r="BC5" s="5"/>
      <c r="BI5" s="5"/>
      <c r="BJ5" s="5"/>
      <c r="BK5" s="5"/>
      <c r="BL5" s="5"/>
      <c r="BM5" s="5"/>
      <c r="BN5" s="5"/>
      <c r="BO5" s="5"/>
      <c r="BP5" s="5"/>
      <c r="BQ5" s="5"/>
      <c r="BR5" s="5"/>
    </row>
    <row r="6" spans="1:79" ht="13.2" hidden="1">
      <c r="A6" s="47" t="e">
        <f t="shared" si="1"/>
        <v>#REF!</v>
      </c>
      <c r="B6" s="1"/>
      <c r="C6" s="48"/>
      <c r="D6" s="49"/>
      <c r="E6" s="50"/>
      <c r="F6" s="50"/>
      <c r="G6" s="64"/>
      <c r="H6" s="2"/>
      <c r="I6" s="65"/>
      <c r="J6" s="52"/>
      <c r="K6" s="53"/>
      <c r="L6" s="50"/>
      <c r="M6" s="50"/>
      <c r="N6" s="66"/>
      <c r="O6" s="67"/>
      <c r="P6" s="67"/>
      <c r="Q6" s="68"/>
      <c r="R6" s="9"/>
      <c r="S6" s="57" t="e">
        <f t="shared" si="0"/>
        <v>#DIV/0!</v>
      </c>
      <c r="T6" s="57"/>
      <c r="U6" s="57"/>
      <c r="V6" s="11" t="e">
        <v>#N/A</v>
      </c>
      <c r="W6" s="57" t="e">
        <v>#REF!</v>
      </c>
      <c r="X6" s="57" t="e">
        <v>#REF!</v>
      </c>
      <c r="Y6" s="57" t="e">
        <v>#REF!</v>
      </c>
      <c r="Z6" s="57" t="e">
        <v>#REF!</v>
      </c>
      <c r="AA6" s="57" t="e">
        <v>#REF!</v>
      </c>
      <c r="AB6" s="16"/>
      <c r="AC6" s="3"/>
      <c r="AD6" s="3"/>
      <c r="AE6" s="3"/>
      <c r="AF6" s="3"/>
      <c r="AG6" s="3"/>
      <c r="AH6" s="63"/>
      <c r="AI6" s="63"/>
      <c r="AJ6" s="2"/>
      <c r="AK6" s="2"/>
      <c r="AL6" s="2"/>
      <c r="AM6" s="51"/>
      <c r="AN6" s="30"/>
      <c r="AO6" s="51">
        <v>45443.666666666599</v>
      </c>
      <c r="AP6" s="30">
        <v>156.16</v>
      </c>
      <c r="AQ6" s="51">
        <v>45376.666666666599</v>
      </c>
      <c r="AR6" s="30">
        <v>172.66</v>
      </c>
      <c r="AS6" s="51">
        <v>45286.666666666599</v>
      </c>
      <c r="AT6" s="30">
        <v>141.03</v>
      </c>
      <c r="AU6" s="51">
        <v>45289.666666666599</v>
      </c>
      <c r="AV6" s="30">
        <v>142.41999999999999</v>
      </c>
      <c r="AW6" s="5"/>
      <c r="AX6" s="5"/>
      <c r="AY6" s="69" t="s">
        <v>76</v>
      </c>
      <c r="AZ6" s="9">
        <v>4.65E-2</v>
      </c>
      <c r="BA6" s="9">
        <v>-1.0200000000000001E-2</v>
      </c>
      <c r="BI6" s="5"/>
      <c r="BJ6" s="5"/>
      <c r="BK6" s="5"/>
      <c r="BL6" s="5"/>
      <c r="BM6" s="5"/>
      <c r="BN6" s="5"/>
      <c r="BO6" s="5"/>
      <c r="BP6" s="5"/>
      <c r="BQ6" s="5"/>
      <c r="BR6" s="5"/>
    </row>
    <row r="7" spans="1:79" ht="19.2">
      <c r="A7" s="47">
        <f t="shared" si="1"/>
        <v>3</v>
      </c>
      <c r="B7" s="70" t="s">
        <v>82</v>
      </c>
      <c r="C7" s="71" t="str">
        <f ca="1">IFERROR(__xludf.DUMMYFUNCTION("GoogleFinance(B7,""name"")"),"PepsiCo Inc")</f>
        <v>PepsiCo Inc</v>
      </c>
      <c r="D7" s="72">
        <f ca="1">IFERROR(__xludf.DUMMYFUNCTION("GoogleFinance(B7,""marketcap"")/1000000"),229974.2)</f>
        <v>229974.2</v>
      </c>
      <c r="E7" s="73" t="s">
        <v>16</v>
      </c>
      <c r="F7" s="73" t="s">
        <v>83</v>
      </c>
      <c r="G7" s="74">
        <v>45399</v>
      </c>
      <c r="H7" s="25">
        <v>0.04</v>
      </c>
      <c r="I7" s="75">
        <f ca="1">N7/$M$56</f>
        <v>1.2453257206753903E-2</v>
      </c>
      <c r="J7" s="76">
        <f ca="1">IFERROR(__xludf.DUMMYFUNCTION("GOOGLEFINANCE(B7)"),167.28)</f>
        <v>167.28</v>
      </c>
      <c r="K7" s="77">
        <v>168.45</v>
      </c>
      <c r="L7" s="78">
        <f>4800/K7-20</f>
        <v>8.4951024042742667</v>
      </c>
      <c r="M7" s="79">
        <f>L7*K7</f>
        <v>1431.0000000000002</v>
      </c>
      <c r="N7" s="79">
        <f ca="1">J7*L7</f>
        <v>1421.0607301869993</v>
      </c>
      <c r="O7" s="80">
        <f ca="1">N7-M7</f>
        <v>-9.9392698130009194</v>
      </c>
      <c r="P7" s="57">
        <f ca="1">J7/K7-1</f>
        <v>-6.9456812110417765E-3</v>
      </c>
      <c r="Q7" s="58">
        <f ca="1">TODAY()-G7</f>
        <v>68</v>
      </c>
      <c r="R7" s="59">
        <v>161.6</v>
      </c>
      <c r="S7" s="57">
        <f t="shared" ref="S7:S8" ca="1" si="2">R7/J7-1</f>
        <v>-3.3955045432807363E-2</v>
      </c>
      <c r="T7" s="50">
        <v>195</v>
      </c>
      <c r="U7" s="81">
        <f ca="1">T7/J7-1</f>
        <v>0.1657101865136299</v>
      </c>
      <c r="V7" s="82">
        <f ca="1">IFERROR(__xludf.DUMMYFUNCTION("GoogleFinance(B7,""changepct"")/100"),0)</f>
        <v>0</v>
      </c>
      <c r="W7" s="82" t="e">
        <f ca="1">J7/AN8-1</f>
        <v>#DIV/0!</v>
      </c>
      <c r="X7" s="83">
        <f ca="1">J7/AP8-1</f>
        <v>-3.2504337767495728E-2</v>
      </c>
      <c r="Y7" s="82">
        <f ca="1">J7/AR8-1</f>
        <v>-3.0822711471610642E-2</v>
      </c>
      <c r="Z7" s="82">
        <f ca="1">J7/AT8-1</f>
        <v>-9.3568636740495315E-3</v>
      </c>
      <c r="AA7" s="84">
        <f ca="1">J7/AV8-1</f>
        <v>-1.5073009891662714E-2</v>
      </c>
      <c r="AB7" s="60" t="s">
        <v>69</v>
      </c>
      <c r="AC7" s="85" t="s">
        <v>70</v>
      </c>
      <c r="AD7" s="85" t="s">
        <v>70</v>
      </c>
      <c r="AE7" s="86" t="s">
        <v>71</v>
      </c>
      <c r="AF7" s="87" t="s">
        <v>72</v>
      </c>
      <c r="AG7" s="88" t="s">
        <v>73</v>
      </c>
      <c r="AH7" s="63" t="s">
        <v>84</v>
      </c>
      <c r="AI7" s="63" t="s">
        <v>85</v>
      </c>
      <c r="AJ7" s="89"/>
      <c r="AK7" s="89"/>
      <c r="AL7" s="89"/>
      <c r="AM7" s="2" t="s">
        <v>379</v>
      </c>
      <c r="AN7" s="30"/>
      <c r="AO7" s="2" t="s">
        <v>375</v>
      </c>
      <c r="AP7" s="30" t="s">
        <v>376</v>
      </c>
      <c r="AQ7" s="24" t="s">
        <v>375</v>
      </c>
      <c r="AR7" s="30" t="s">
        <v>376</v>
      </c>
      <c r="AS7" s="24" t="s">
        <v>375</v>
      </c>
      <c r="AT7" s="30" t="s">
        <v>376</v>
      </c>
      <c r="AU7" s="24" t="s">
        <v>375</v>
      </c>
      <c r="AV7" s="30" t="s">
        <v>376</v>
      </c>
      <c r="AW7" s="90"/>
      <c r="AX7" s="90"/>
      <c r="AY7" s="90"/>
      <c r="AZ7" s="89"/>
      <c r="BA7" s="91"/>
      <c r="BB7" s="92"/>
      <c r="BC7" s="90"/>
      <c r="BD7" s="92"/>
      <c r="BE7" s="92"/>
      <c r="BF7" s="92"/>
      <c r="BG7" s="92"/>
      <c r="BH7" s="92"/>
      <c r="BI7" s="90"/>
      <c r="BJ7" s="90"/>
      <c r="BK7" s="90"/>
      <c r="BL7" s="90"/>
      <c r="BM7" s="90"/>
      <c r="BN7" s="90"/>
      <c r="BO7" s="90"/>
      <c r="BP7" s="90"/>
      <c r="BQ7" s="90"/>
      <c r="BR7" s="90"/>
      <c r="BS7" s="92"/>
      <c r="BT7" s="92"/>
      <c r="BU7" s="92"/>
      <c r="BV7" s="92"/>
      <c r="BW7" s="92"/>
      <c r="BX7" s="92"/>
      <c r="BY7" s="92"/>
      <c r="BZ7" s="92"/>
      <c r="CA7" s="92"/>
    </row>
    <row r="8" spans="1:79" ht="13.2" hidden="1">
      <c r="A8" s="47" t="e">
        <f t="shared" si="1"/>
        <v>#REF!</v>
      </c>
      <c r="B8" s="90"/>
      <c r="C8" s="93"/>
      <c r="D8" s="93"/>
      <c r="E8" s="90"/>
      <c r="F8" s="90"/>
      <c r="G8" s="94"/>
      <c r="H8" s="89"/>
      <c r="I8" s="95"/>
      <c r="J8" s="90"/>
      <c r="K8" s="96"/>
      <c r="L8" s="90"/>
      <c r="M8" s="90"/>
      <c r="N8" s="90"/>
      <c r="O8" s="89"/>
      <c r="P8" s="89"/>
      <c r="Q8" s="97"/>
      <c r="R8" s="89"/>
      <c r="S8" s="24" t="e">
        <f t="shared" si="2"/>
        <v>#DIV/0!</v>
      </c>
      <c r="T8" s="89"/>
      <c r="U8" s="97"/>
      <c r="V8" s="24" t="e">
        <v>#N/A</v>
      </c>
      <c r="W8" s="24" t="e">
        <v>#REF!</v>
      </c>
      <c r="X8" s="24" t="e">
        <v>#REF!</v>
      </c>
      <c r="Y8" s="24" t="e">
        <v>#REF!</v>
      </c>
      <c r="Z8" s="24" t="e">
        <v>#REF!</v>
      </c>
      <c r="AA8" s="98" t="e">
        <v>#REF!</v>
      </c>
      <c r="AB8" s="89"/>
      <c r="AC8" s="89"/>
      <c r="AD8" s="89"/>
      <c r="AE8" s="89"/>
      <c r="AF8" s="89"/>
      <c r="AG8" s="89"/>
      <c r="AH8" s="89"/>
      <c r="AI8" s="89"/>
      <c r="AJ8" s="89"/>
      <c r="AK8" s="89"/>
      <c r="AL8" s="89"/>
      <c r="AM8" s="99"/>
      <c r="AN8" s="100"/>
      <c r="AO8" s="99">
        <v>45443.666666666599</v>
      </c>
      <c r="AP8" s="100">
        <v>172.9</v>
      </c>
      <c r="AQ8" s="99">
        <v>45376.666666666599</v>
      </c>
      <c r="AR8" s="100">
        <v>172.6</v>
      </c>
      <c r="AS8" s="99">
        <v>45286.666666666599</v>
      </c>
      <c r="AT8" s="100">
        <v>168.86</v>
      </c>
      <c r="AU8" s="99">
        <v>45289.666666666599</v>
      </c>
      <c r="AV8" s="100">
        <v>169.84</v>
      </c>
      <c r="AW8" s="90"/>
      <c r="AX8" s="95"/>
      <c r="AY8" s="101" t="s">
        <v>76</v>
      </c>
      <c r="AZ8" s="102">
        <v>4.65E-2</v>
      </c>
      <c r="BA8" s="103">
        <v>-1.0200000000000001E-2</v>
      </c>
      <c r="BB8" s="92"/>
      <c r="BC8" s="92"/>
      <c r="BD8" s="92"/>
      <c r="BE8" s="92"/>
      <c r="BF8" s="92"/>
      <c r="BG8" s="92"/>
      <c r="BH8" s="92"/>
      <c r="BI8" s="90"/>
      <c r="BJ8" s="90"/>
      <c r="BK8" s="90"/>
      <c r="BL8" s="90"/>
      <c r="BM8" s="90"/>
      <c r="BN8" s="90"/>
      <c r="BO8" s="90"/>
      <c r="BP8" s="90"/>
      <c r="BQ8" s="90"/>
      <c r="BR8" s="90"/>
      <c r="BS8" s="92"/>
      <c r="BT8" s="92"/>
      <c r="BU8" s="92"/>
      <c r="BV8" s="92"/>
      <c r="BW8" s="92"/>
      <c r="BX8" s="92"/>
      <c r="BY8" s="92"/>
      <c r="BZ8" s="92"/>
      <c r="CA8" s="92"/>
    </row>
    <row r="9" spans="1:79" ht="57.6">
      <c r="A9" s="47">
        <f t="shared" si="1"/>
        <v>4</v>
      </c>
      <c r="B9" s="104" t="s">
        <v>86</v>
      </c>
      <c r="C9" s="105" t="str">
        <f ca="1">IFERROR(__xludf.DUMMYFUNCTION("GoogleFinance(B9,""name"")"),"Kroger Co")</f>
        <v>Kroger Co</v>
      </c>
      <c r="D9" s="106">
        <f ca="1">IFERROR(__xludf.DUMMYFUNCTION("GoogleFinance(B9,""marketcap"")/1000000"),36532.534241)</f>
        <v>36532.534241000001</v>
      </c>
      <c r="E9" s="107" t="s">
        <v>16</v>
      </c>
      <c r="F9" s="107" t="s">
        <v>87</v>
      </c>
      <c r="G9" s="108">
        <v>44916</v>
      </c>
      <c r="H9" s="57">
        <v>0.04</v>
      </c>
      <c r="I9" s="109">
        <f ca="1">N9/$M$56</f>
        <v>8.8001593608013125E-3</v>
      </c>
      <c r="J9" s="110">
        <f ca="1">IFERROR(__xludf.DUMMYFUNCTION("GOOGLEFINANCE(B9)"),50.21)</f>
        <v>50.21</v>
      </c>
      <c r="K9" s="111">
        <v>44.39</v>
      </c>
      <c r="L9" s="112">
        <v>20</v>
      </c>
      <c r="M9" s="113">
        <f>L9*K9</f>
        <v>887.8</v>
      </c>
      <c r="N9" s="114">
        <f ca="1">J9*L9</f>
        <v>1004.2</v>
      </c>
      <c r="O9" s="114">
        <f ca="1">N9-M9</f>
        <v>116.40000000000009</v>
      </c>
      <c r="P9" s="57">
        <f ca="1">J9/K9-1</f>
        <v>0.13111061049785988</v>
      </c>
      <c r="Q9" s="115">
        <f ca="1">TODAY()-G9</f>
        <v>551</v>
      </c>
      <c r="R9" s="116">
        <v>41</v>
      </c>
      <c r="S9" s="57">
        <f ca="1">R9/J9-1</f>
        <v>-0.18342959569806816</v>
      </c>
      <c r="T9" s="107">
        <v>54</v>
      </c>
      <c r="U9" s="57">
        <f ca="1">T9/J9-1</f>
        <v>7.5482971519617692E-2</v>
      </c>
      <c r="V9" s="9">
        <f ca="1">IFERROR(__xludf.DUMMYFUNCTION("GoogleFinance(B9,""changepct"")/100"),0)</f>
        <v>0</v>
      </c>
      <c r="W9" s="57" t="e">
        <f ca="1">J9/AN10-1</f>
        <v>#DIV/0!</v>
      </c>
      <c r="X9" s="57">
        <f ca="1">J9/AP10-1</f>
        <v>-4.1244987588313853E-2</v>
      </c>
      <c r="Y9" s="57">
        <f ca="1">J9/AR10-1</f>
        <v>-0.1027519656897784</v>
      </c>
      <c r="Z9" s="57">
        <f ca="1">J9/AT10-1</f>
        <v>0.11034940291906237</v>
      </c>
      <c r="AA9" s="57">
        <f ca="1">J9/AV10-1</f>
        <v>9.8446729380879505E-2</v>
      </c>
      <c r="AB9" s="117" t="s">
        <v>88</v>
      </c>
      <c r="AC9" s="85" t="s">
        <v>69</v>
      </c>
      <c r="AD9" s="85" t="s">
        <v>69</v>
      </c>
      <c r="AE9" s="118" t="s">
        <v>71</v>
      </c>
      <c r="AF9" s="118" t="s">
        <v>89</v>
      </c>
      <c r="AG9" s="118" t="s">
        <v>73</v>
      </c>
      <c r="AH9" s="119" t="s">
        <v>90</v>
      </c>
      <c r="AI9" s="119" t="s">
        <v>91</v>
      </c>
      <c r="AJ9" s="57"/>
      <c r="AK9" s="57"/>
      <c r="AL9" s="57"/>
      <c r="AM9" s="2" t="s">
        <v>379</v>
      </c>
      <c r="AN9" s="30"/>
      <c r="AO9" s="2" t="s">
        <v>375</v>
      </c>
      <c r="AP9" s="104" t="s">
        <v>376</v>
      </c>
      <c r="AQ9" s="57" t="s">
        <v>375</v>
      </c>
      <c r="AR9" s="104" t="s">
        <v>376</v>
      </c>
      <c r="AS9" s="57" t="s">
        <v>375</v>
      </c>
      <c r="AT9" s="104" t="s">
        <v>376</v>
      </c>
      <c r="AU9" s="57" t="s">
        <v>375</v>
      </c>
      <c r="AV9" s="104" t="s">
        <v>376</v>
      </c>
      <c r="AW9" s="120"/>
      <c r="AX9" s="120"/>
      <c r="AY9" s="121"/>
      <c r="AZ9" s="121"/>
      <c r="BA9" s="121"/>
      <c r="BB9" s="121"/>
      <c r="BC9" s="121"/>
      <c r="BD9" s="121"/>
      <c r="BE9" s="121"/>
      <c r="BF9" s="121"/>
      <c r="BG9" s="121"/>
      <c r="BH9" s="121"/>
      <c r="BI9" s="120"/>
      <c r="BJ9" s="120"/>
      <c r="BK9" s="120"/>
      <c r="BL9" s="120"/>
      <c r="BM9" s="120"/>
      <c r="BN9" s="120"/>
      <c r="BO9" s="120"/>
      <c r="BP9" s="120"/>
      <c r="BQ9" s="120"/>
      <c r="BR9" s="120"/>
      <c r="BS9" s="121"/>
      <c r="BT9" s="121"/>
      <c r="BU9" s="121"/>
      <c r="BV9" s="121"/>
      <c r="BW9" s="121"/>
      <c r="BX9" s="121"/>
      <c r="BY9" s="121"/>
      <c r="BZ9" s="121"/>
      <c r="CA9" s="121"/>
    </row>
    <row r="10" spans="1:79" ht="13.2" hidden="1">
      <c r="A10" s="47" t="e">
        <f t="shared" si="1"/>
        <v>#REF!</v>
      </c>
      <c r="B10" s="1"/>
      <c r="C10" s="48"/>
      <c r="D10" s="49"/>
      <c r="E10" s="50"/>
      <c r="F10" s="50"/>
      <c r="G10" s="51"/>
      <c r="H10" s="2"/>
      <c r="I10" s="65"/>
      <c r="J10" s="52"/>
      <c r="K10" s="53"/>
      <c r="L10" s="50"/>
      <c r="M10" s="50"/>
      <c r="N10" s="66"/>
      <c r="O10" s="122"/>
      <c r="P10" s="123"/>
      <c r="Q10" s="68"/>
      <c r="R10" s="9"/>
      <c r="S10" s="57"/>
      <c r="T10" s="57"/>
      <c r="U10" s="57"/>
      <c r="V10" s="11" t="e">
        <v>#N/A</v>
      </c>
      <c r="W10" s="57" t="e">
        <v>#REF!</v>
      </c>
      <c r="X10" s="57" t="e">
        <v>#REF!</v>
      </c>
      <c r="Y10" s="57" t="e">
        <v>#REF!</v>
      </c>
      <c r="Z10" s="57" t="e">
        <v>#REF!</v>
      </c>
      <c r="AA10" s="57" t="e">
        <v>#REF!</v>
      </c>
      <c r="AB10" s="16"/>
      <c r="AC10" s="3"/>
      <c r="AD10" s="3"/>
      <c r="AE10" s="3"/>
      <c r="AF10" s="3"/>
      <c r="AG10" s="3"/>
      <c r="AH10" s="3"/>
      <c r="AI10" s="124"/>
      <c r="AJ10" s="2"/>
      <c r="AK10" s="2"/>
      <c r="AL10" s="2"/>
      <c r="AM10" s="51"/>
      <c r="AN10" s="30"/>
      <c r="AO10" s="51">
        <v>45443.666666666599</v>
      </c>
      <c r="AP10" s="30">
        <v>52.37</v>
      </c>
      <c r="AQ10" s="51">
        <v>45376.666666666599</v>
      </c>
      <c r="AR10" s="30">
        <v>55.96</v>
      </c>
      <c r="AS10" s="51">
        <v>45286.666666666599</v>
      </c>
      <c r="AT10" s="30">
        <v>45.22</v>
      </c>
      <c r="AU10" s="51">
        <v>45289.666666666599</v>
      </c>
      <c r="AV10" s="30">
        <v>45.71</v>
      </c>
      <c r="AW10" s="5"/>
      <c r="AX10" s="5"/>
      <c r="BI10" s="5"/>
      <c r="BJ10" s="5"/>
      <c r="BK10" s="5"/>
      <c r="BL10" s="5"/>
      <c r="BM10" s="5"/>
      <c r="BN10" s="5"/>
      <c r="BO10" s="5"/>
      <c r="BP10" s="5"/>
      <c r="BQ10" s="5"/>
      <c r="BR10" s="5"/>
    </row>
    <row r="11" spans="1:79" ht="38.4">
      <c r="A11" s="47">
        <f t="shared" si="1"/>
        <v>5</v>
      </c>
      <c r="B11" s="8" t="s">
        <v>92</v>
      </c>
      <c r="C11" s="105" t="str">
        <f ca="1">IFERROR(__xludf.DUMMYFUNCTION("GoogleFinance(B11,""name"")"),"T-Mobile Us Inc")</f>
        <v>T-Mobile Us Inc</v>
      </c>
      <c r="D11" s="106">
        <f ca="1">IFERROR(__xludf.DUMMYFUNCTION("GoogleFinance(B11,""marketcap"")/1000000"),207101.752413)</f>
        <v>207101.75241300001</v>
      </c>
      <c r="E11" s="107" t="s">
        <v>12</v>
      </c>
      <c r="F11" s="107" t="s">
        <v>93</v>
      </c>
      <c r="G11" s="108">
        <v>45191</v>
      </c>
      <c r="H11" s="57">
        <v>0.04</v>
      </c>
      <c r="I11" s="109">
        <f ca="1">N11/$M$56</f>
        <v>1.4543793020019038E-2</v>
      </c>
      <c r="J11" s="110">
        <f ca="1">IFERROR(__xludf.DUMMYFUNCTION("GOOGLEFINANCE(B11)"),176.73)</f>
        <v>176.73</v>
      </c>
      <c r="K11" s="111">
        <v>139.5</v>
      </c>
      <c r="L11" s="112">
        <f>4100/K11-20</f>
        <v>9.3906810035842305</v>
      </c>
      <c r="M11" s="113">
        <f>L11*K11</f>
        <v>1310.0000000000002</v>
      </c>
      <c r="N11" s="114">
        <f ca="1">J11*L11</f>
        <v>1659.615053763441</v>
      </c>
      <c r="O11" s="114">
        <f ca="1">N11-M11</f>
        <v>349.61505376344076</v>
      </c>
      <c r="P11" s="57">
        <f ca="1">J11/K11-1</f>
        <v>0.26688172043010749</v>
      </c>
      <c r="Q11" s="115">
        <f ca="1">TODAY()-G11</f>
        <v>276</v>
      </c>
      <c r="R11" s="116">
        <v>138</v>
      </c>
      <c r="S11" s="57">
        <f ca="1">R11/J11-1</f>
        <v>-0.21914785265659475</v>
      </c>
      <c r="T11" s="107">
        <v>190</v>
      </c>
      <c r="U11" s="57">
        <f ca="1">T11/J11-1</f>
        <v>7.508628982063037E-2</v>
      </c>
      <c r="V11" s="9">
        <f ca="1">IFERROR(__xludf.DUMMYFUNCTION("GoogleFinance(B11,""changepct"")/100"),0)</f>
        <v>0</v>
      </c>
      <c r="W11" s="57" t="e">
        <f ca="1">J11/AN12-1</f>
        <v>#DIV/0!</v>
      </c>
      <c r="X11" s="57">
        <f ca="1">J11/AP12-1</f>
        <v>1.0116598079561001E-2</v>
      </c>
      <c r="Y11" s="57">
        <f ca="1">J11/AR12-1</f>
        <v>9.688430983118157E-2</v>
      </c>
      <c r="Z11" s="57">
        <f ca="1">J11/AT12-1</f>
        <v>0.1268889880762607</v>
      </c>
      <c r="AA11" s="57">
        <f ca="1">J11/AV12-1</f>
        <v>0.102289028877939</v>
      </c>
      <c r="AB11" s="117" t="s">
        <v>88</v>
      </c>
      <c r="AC11" s="85" t="s">
        <v>70</v>
      </c>
      <c r="AD11" s="85" t="s">
        <v>79</v>
      </c>
      <c r="AE11" s="118" t="s">
        <v>94</v>
      </c>
      <c r="AF11" s="118" t="s">
        <v>89</v>
      </c>
      <c r="AG11" s="118" t="s">
        <v>95</v>
      </c>
      <c r="AH11" s="119" t="s">
        <v>96</v>
      </c>
      <c r="AI11" s="119" t="s">
        <v>97</v>
      </c>
      <c r="AJ11" s="57"/>
      <c r="AK11" s="57"/>
      <c r="AL11" s="57"/>
      <c r="AM11" s="2" t="s">
        <v>379</v>
      </c>
      <c r="AN11" s="30"/>
      <c r="AO11" s="2" t="s">
        <v>375</v>
      </c>
      <c r="AP11" s="104" t="s">
        <v>376</v>
      </c>
      <c r="AQ11" s="57" t="s">
        <v>375</v>
      </c>
      <c r="AR11" s="104" t="s">
        <v>376</v>
      </c>
      <c r="AS11" s="57" t="s">
        <v>375</v>
      </c>
      <c r="AT11" s="104" t="s">
        <v>376</v>
      </c>
      <c r="AU11" s="57" t="s">
        <v>375</v>
      </c>
      <c r="AV11" s="104" t="s">
        <v>376</v>
      </c>
      <c r="AW11" s="120"/>
      <c r="AX11" s="120"/>
      <c r="AY11" s="121"/>
      <c r="AZ11" s="121"/>
      <c r="BA11" s="121"/>
      <c r="BB11" s="121"/>
      <c r="BC11" s="121"/>
      <c r="BD11" s="121"/>
      <c r="BE11" s="121"/>
      <c r="BF11" s="121"/>
      <c r="BG11" s="121"/>
      <c r="BH11" s="121"/>
      <c r="BI11" s="120"/>
      <c r="BJ11" s="120"/>
      <c r="BK11" s="120"/>
      <c r="BL11" s="120"/>
      <c r="BM11" s="120"/>
      <c r="BN11" s="120"/>
      <c r="BO11" s="120"/>
      <c r="BP11" s="120"/>
      <c r="BQ11" s="120"/>
      <c r="BR11" s="120"/>
      <c r="BS11" s="121"/>
      <c r="BT11" s="121"/>
      <c r="BU11" s="121"/>
      <c r="BV11" s="121"/>
      <c r="BW11" s="121"/>
      <c r="BX11" s="121"/>
      <c r="BY11" s="121"/>
      <c r="BZ11" s="121"/>
      <c r="CA11" s="121"/>
    </row>
    <row r="12" spans="1:79" ht="13.2" hidden="1">
      <c r="A12" s="47" t="e">
        <f>#REF!+1</f>
        <v>#REF!</v>
      </c>
      <c r="B12" s="29"/>
      <c r="C12" s="125"/>
      <c r="D12" s="126"/>
      <c r="E12" s="127"/>
      <c r="F12" s="127"/>
      <c r="G12" s="128"/>
      <c r="H12" s="129"/>
      <c r="I12" s="130"/>
      <c r="J12" s="131"/>
      <c r="K12" s="132"/>
      <c r="L12" s="127"/>
      <c r="M12" s="127"/>
      <c r="N12" s="133"/>
      <c r="O12" s="134"/>
      <c r="P12" s="135"/>
      <c r="Q12" s="136"/>
      <c r="R12" s="137"/>
      <c r="S12" s="138"/>
      <c r="T12" s="138"/>
      <c r="U12" s="138"/>
      <c r="V12" s="139" t="e">
        <v>#N/A</v>
      </c>
      <c r="W12" s="138" t="e">
        <v>#REF!</v>
      </c>
      <c r="X12" s="138" t="e">
        <v>#REF!</v>
      </c>
      <c r="Y12" s="138" t="e">
        <v>#REF!</v>
      </c>
      <c r="Z12" s="138" t="e">
        <v>#REF!</v>
      </c>
      <c r="AA12" s="138" t="e">
        <v>#REF!</v>
      </c>
      <c r="AB12" s="140"/>
      <c r="AC12" s="141"/>
      <c r="AD12" s="141"/>
      <c r="AE12" s="141"/>
      <c r="AF12" s="141"/>
      <c r="AG12" s="141"/>
      <c r="AH12" s="141"/>
      <c r="AI12" s="142"/>
      <c r="AJ12" s="129"/>
      <c r="AK12" s="129"/>
      <c r="AL12" s="129"/>
      <c r="AM12" s="128"/>
      <c r="AN12" s="143"/>
      <c r="AO12" s="128">
        <v>45443.666666666599</v>
      </c>
      <c r="AP12" s="143">
        <v>174.96</v>
      </c>
      <c r="AQ12" s="128">
        <v>45376.666666666599</v>
      </c>
      <c r="AR12" s="143">
        <v>161.12</v>
      </c>
      <c r="AS12" s="128">
        <v>45286.666666666599</v>
      </c>
      <c r="AT12" s="143">
        <v>156.83000000000001</v>
      </c>
      <c r="AU12" s="128">
        <v>45289.666666666599</v>
      </c>
      <c r="AV12" s="143">
        <v>160.33000000000001</v>
      </c>
      <c r="AW12" s="144"/>
      <c r="AX12" s="144"/>
      <c r="AY12" s="145"/>
      <c r="AZ12" s="145"/>
      <c r="BA12" s="145"/>
      <c r="BB12" s="145"/>
      <c r="BC12" s="145"/>
      <c r="BD12" s="145"/>
      <c r="BE12" s="145"/>
      <c r="BF12" s="144"/>
      <c r="BG12" s="144"/>
      <c r="BH12" s="144"/>
      <c r="BI12" s="144"/>
      <c r="BJ12" s="144"/>
      <c r="BK12" s="144"/>
      <c r="BL12" s="144"/>
      <c r="BM12" s="144"/>
      <c r="BN12" s="144"/>
      <c r="BO12" s="144"/>
      <c r="BP12" s="144"/>
      <c r="BQ12" s="144"/>
      <c r="BR12" s="144"/>
      <c r="BS12" s="145"/>
      <c r="BT12" s="145"/>
      <c r="BU12" s="145"/>
      <c r="BV12" s="145"/>
      <c r="BW12" s="145"/>
      <c r="BX12" s="145"/>
      <c r="BY12" s="145"/>
      <c r="BZ12" s="145"/>
      <c r="CA12" s="145"/>
    </row>
    <row r="13" spans="1:79" ht="38.4">
      <c r="A13" s="47">
        <f t="shared" ref="A13:A19" si="3">A11+1</f>
        <v>6</v>
      </c>
      <c r="B13" s="8" t="s">
        <v>98</v>
      </c>
      <c r="C13" s="105" t="str">
        <f ca="1">IFERROR(__xludf.DUMMYFUNCTION("GoogleFinance(B13,""name"")"),"Walt Disney Co")</f>
        <v>Walt Disney Co</v>
      </c>
      <c r="D13" s="106">
        <f ca="1">IFERROR(__xludf.DUMMYFUNCTION("GoogleFinance(B13,""marketcap"")/1000000"),186442.60149)</f>
        <v>186442.60149</v>
      </c>
      <c r="E13" s="107" t="s">
        <v>12</v>
      </c>
      <c r="F13" s="107" t="s">
        <v>99</v>
      </c>
      <c r="G13" s="108">
        <v>45204</v>
      </c>
      <c r="H13" s="57">
        <v>0.02</v>
      </c>
      <c r="I13" s="109">
        <f ca="1">N13/$M$56</f>
        <v>2.3301931630708927E-2</v>
      </c>
      <c r="J13" s="110">
        <f ca="1">IFERROR(__xludf.DUMMYFUNCTION("GOOGLEFINANCE(B13)"),102.27)</f>
        <v>102.27</v>
      </c>
      <c r="K13" s="111">
        <v>86.66</v>
      </c>
      <c r="L13" s="112">
        <f>56-30</f>
        <v>26</v>
      </c>
      <c r="M13" s="113">
        <f>L13*K13</f>
        <v>2253.16</v>
      </c>
      <c r="N13" s="114">
        <f ca="1">J13*L13</f>
        <v>2659.02</v>
      </c>
      <c r="O13" s="114">
        <f ca="1">N13-M13</f>
        <v>405.86000000000013</v>
      </c>
      <c r="P13" s="57">
        <f ca="1">J13/K13-1</f>
        <v>0.18012924071082392</v>
      </c>
      <c r="Q13" s="115">
        <f ca="1">TODAY()-G13</f>
        <v>263</v>
      </c>
      <c r="R13" s="116">
        <v>85</v>
      </c>
      <c r="S13" s="57">
        <f ca="1">R13/J13-1</f>
        <v>-0.16886672533489777</v>
      </c>
      <c r="T13" s="107">
        <v>125</v>
      </c>
      <c r="U13" s="57">
        <f ca="1">T13/J13-1</f>
        <v>0.22225481568397387</v>
      </c>
      <c r="V13" s="9">
        <f ca="1">IFERROR(__xludf.DUMMYFUNCTION("GoogleFinance(B13,""changepct"")/100"),0)</f>
        <v>0</v>
      </c>
      <c r="W13" s="57" t="e">
        <f ca="1">J13/AN14-1</f>
        <v>#DIV/0!</v>
      </c>
      <c r="X13" s="57">
        <f ca="1">J13/AP14-1</f>
        <v>-1.5782889038591041E-2</v>
      </c>
      <c r="Y13" s="57">
        <f ca="1">J13/AR14-1</f>
        <v>-0.14318029490616624</v>
      </c>
      <c r="Z13" s="57">
        <f ca="1">J13/AT14-1</f>
        <v>0.12446399120395824</v>
      </c>
      <c r="AA13" s="57">
        <f ca="1">J13/AV14-1</f>
        <v>0.13268357514674922</v>
      </c>
      <c r="AB13" s="117" t="s">
        <v>69</v>
      </c>
      <c r="AC13" s="85" t="s">
        <v>69</v>
      </c>
      <c r="AD13" s="85" t="s">
        <v>79</v>
      </c>
      <c r="AE13" s="118" t="s">
        <v>94</v>
      </c>
      <c r="AF13" s="62" t="s">
        <v>72</v>
      </c>
      <c r="AG13" s="118" t="s">
        <v>95</v>
      </c>
      <c r="AH13" s="63" t="s">
        <v>100</v>
      </c>
      <c r="AI13" s="63" t="s">
        <v>101</v>
      </c>
      <c r="AJ13" s="57"/>
      <c r="AK13" s="57"/>
      <c r="AL13" s="57"/>
      <c r="AM13" s="2" t="s">
        <v>379</v>
      </c>
      <c r="AN13" s="30"/>
      <c r="AO13" s="2" t="s">
        <v>375</v>
      </c>
      <c r="AP13" s="104" t="s">
        <v>376</v>
      </c>
      <c r="AQ13" s="57" t="s">
        <v>375</v>
      </c>
      <c r="AR13" s="104" t="s">
        <v>376</v>
      </c>
      <c r="AS13" s="57" t="s">
        <v>375</v>
      </c>
      <c r="AT13" s="104" t="s">
        <v>376</v>
      </c>
      <c r="AU13" s="57" t="s">
        <v>375</v>
      </c>
      <c r="AV13" s="104" t="s">
        <v>376</v>
      </c>
      <c r="AW13" s="120"/>
      <c r="AX13" s="120"/>
      <c r="AY13" s="121"/>
      <c r="AZ13" s="121"/>
      <c r="BA13" s="121"/>
      <c r="BB13" s="121"/>
      <c r="BC13" s="121"/>
      <c r="BD13" s="121"/>
      <c r="BE13" s="121"/>
      <c r="BF13" s="121"/>
      <c r="BG13" s="121"/>
      <c r="BH13" s="121"/>
      <c r="BI13" s="120"/>
      <c r="BJ13" s="120"/>
      <c r="BK13" s="120"/>
      <c r="BL13" s="120"/>
      <c r="BM13" s="120"/>
      <c r="BN13" s="120"/>
      <c r="BO13" s="120"/>
      <c r="BP13" s="120"/>
      <c r="BQ13" s="120"/>
      <c r="BR13" s="120"/>
      <c r="BS13" s="121"/>
      <c r="BT13" s="121"/>
      <c r="BU13" s="121"/>
      <c r="BV13" s="121"/>
      <c r="BW13" s="121"/>
      <c r="BX13" s="121"/>
      <c r="BY13" s="121"/>
      <c r="BZ13" s="121"/>
      <c r="CA13" s="121"/>
    </row>
    <row r="14" spans="1:79" ht="13.2" hidden="1">
      <c r="A14" s="47" t="e">
        <f t="shared" si="3"/>
        <v>#REF!</v>
      </c>
      <c r="B14" s="1"/>
      <c r="C14" s="48"/>
      <c r="D14" s="49"/>
      <c r="E14" s="50"/>
      <c r="F14" s="50"/>
      <c r="G14" s="51"/>
      <c r="H14" s="2"/>
      <c r="I14" s="65"/>
      <c r="J14" s="52"/>
      <c r="K14" s="53"/>
      <c r="L14" s="50"/>
      <c r="M14" s="50"/>
      <c r="N14" s="66"/>
      <c r="O14" s="122"/>
      <c r="P14" s="123"/>
      <c r="Q14" s="68"/>
      <c r="R14" s="9"/>
      <c r="S14" s="57"/>
      <c r="T14" s="57"/>
      <c r="U14" s="57"/>
      <c r="V14" s="11" t="e">
        <v>#N/A</v>
      </c>
      <c r="W14" s="57" t="e">
        <v>#REF!</v>
      </c>
      <c r="X14" s="57" t="e">
        <v>#REF!</v>
      </c>
      <c r="Y14" s="57" t="e">
        <v>#REF!</v>
      </c>
      <c r="Z14" s="57" t="e">
        <v>#REF!</v>
      </c>
      <c r="AA14" s="57" t="e">
        <v>#REF!</v>
      </c>
      <c r="AB14" s="16"/>
      <c r="AC14" s="3"/>
      <c r="AD14" s="3"/>
      <c r="AE14" s="3"/>
      <c r="AF14" s="3"/>
      <c r="AG14" s="3"/>
      <c r="AH14" s="3"/>
      <c r="AI14" s="124"/>
      <c r="AJ14" s="2"/>
      <c r="AK14" s="2"/>
      <c r="AL14" s="2"/>
      <c r="AM14" s="51"/>
      <c r="AN14" s="30"/>
      <c r="AO14" s="51">
        <v>45443.666666666599</v>
      </c>
      <c r="AP14" s="30">
        <v>103.91</v>
      </c>
      <c r="AQ14" s="51">
        <v>45376.666666666599</v>
      </c>
      <c r="AR14" s="30">
        <v>119.36</v>
      </c>
      <c r="AS14" s="51">
        <v>45286.666666666599</v>
      </c>
      <c r="AT14" s="30">
        <v>90.95</v>
      </c>
      <c r="AU14" s="51">
        <v>45289.666666666599</v>
      </c>
      <c r="AV14" s="30">
        <v>90.29</v>
      </c>
      <c r="AW14" s="5"/>
      <c r="AX14" s="5"/>
      <c r="BF14" s="5"/>
      <c r="BG14" s="5"/>
      <c r="BH14" s="5"/>
      <c r="BI14" s="5"/>
      <c r="BJ14" s="5"/>
      <c r="BK14" s="5"/>
      <c r="BL14" s="5"/>
      <c r="BM14" s="5"/>
      <c r="BN14" s="5"/>
      <c r="BO14" s="5"/>
      <c r="BP14" s="5"/>
      <c r="BQ14" s="5"/>
      <c r="BR14" s="5"/>
    </row>
    <row r="15" spans="1:79" ht="28.8">
      <c r="A15" s="47">
        <f t="shared" si="3"/>
        <v>7</v>
      </c>
      <c r="B15" s="8" t="s">
        <v>102</v>
      </c>
      <c r="C15" s="105" t="str">
        <f ca="1">IFERROR(__xludf.DUMMYFUNCTION("GoogleFinance(B15,""name"")"),"America Movil SAB de CV")</f>
        <v>America Movil SAB de CV</v>
      </c>
      <c r="D15" s="106">
        <f ca="1">IFERROR(__xludf.DUMMYFUNCTION("GoogleFinance(B15,""marketcap"")/1000000"),52413.236316)</f>
        <v>52413.236316000002</v>
      </c>
      <c r="E15" s="107" t="s">
        <v>12</v>
      </c>
      <c r="F15" s="107" t="s">
        <v>93</v>
      </c>
      <c r="G15" s="108">
        <v>45378</v>
      </c>
      <c r="H15" s="57">
        <v>0.02</v>
      </c>
      <c r="I15" s="109">
        <f ca="1">N15/$M$56</f>
        <v>1.8906468559396341E-2</v>
      </c>
      <c r="J15" s="110">
        <f ca="1">IFERROR(__xludf.DUMMYFUNCTION("GOOGLEFINANCE(B15)"),16.9)</f>
        <v>16.899999999999999</v>
      </c>
      <c r="K15" s="111">
        <v>18.8</v>
      </c>
      <c r="L15" s="112">
        <f>2400/K15</f>
        <v>127.6595744680851</v>
      </c>
      <c r="M15" s="113">
        <f>L15*K15</f>
        <v>2400</v>
      </c>
      <c r="N15" s="114">
        <f ca="1">J15*L15</f>
        <v>2157.4468085106378</v>
      </c>
      <c r="O15" s="114">
        <f ca="1">N15-M15</f>
        <v>-242.55319148936223</v>
      </c>
      <c r="P15" s="57">
        <f ca="1">J15/K15-1</f>
        <v>-0.10106382978723416</v>
      </c>
      <c r="Q15" s="115">
        <f ca="1">TODAY()-G15</f>
        <v>89</v>
      </c>
      <c r="R15" s="116"/>
      <c r="S15" s="57">
        <f ca="1">R15/J15-1</f>
        <v>-1</v>
      </c>
      <c r="T15" s="107">
        <v>25</v>
      </c>
      <c r="U15" s="57">
        <f ca="1">T15/J15-1</f>
        <v>0.47928994082840259</v>
      </c>
      <c r="V15" s="9">
        <f ca="1">IFERROR(__xludf.DUMMYFUNCTION("GoogleFinance(B15,""changepct"")/100"),0)</f>
        <v>0</v>
      </c>
      <c r="W15" s="57" t="e">
        <f ca="1">J15/AN16-1</f>
        <v>#DIV/0!</v>
      </c>
      <c r="X15" s="57">
        <f ca="1">J15/AP16-1</f>
        <v>-8.84573894282632E-2</v>
      </c>
      <c r="Y15" s="57">
        <f ca="1">J15/AR16-1</f>
        <v>-8.1521739130434812E-2</v>
      </c>
      <c r="Z15" s="57">
        <f ca="1">J15/AT16-1</f>
        <v>-9.0419806243272283E-2</v>
      </c>
      <c r="AA15" s="57">
        <f ca="1">J15/AV16-1</f>
        <v>-8.7473002159827229E-2</v>
      </c>
      <c r="AB15" s="60" t="s">
        <v>69</v>
      </c>
      <c r="AC15" s="85" t="s">
        <v>70</v>
      </c>
      <c r="AD15" s="85" t="s">
        <v>69</v>
      </c>
      <c r="AE15" s="118" t="s">
        <v>94</v>
      </c>
      <c r="AF15" s="62" t="s">
        <v>89</v>
      </c>
      <c r="AG15" s="118" t="s">
        <v>95</v>
      </c>
      <c r="AH15" s="63" t="s">
        <v>103</v>
      </c>
      <c r="AI15" s="63" t="s">
        <v>85</v>
      </c>
      <c r="AJ15" s="57"/>
      <c r="AK15" s="57"/>
      <c r="AL15" s="57"/>
      <c r="AM15" s="2" t="s">
        <v>379</v>
      </c>
      <c r="AN15" s="30"/>
      <c r="AO15" s="2" t="s">
        <v>375</v>
      </c>
      <c r="AP15" s="104" t="s">
        <v>376</v>
      </c>
      <c r="AQ15" s="57" t="s">
        <v>375</v>
      </c>
      <c r="AR15" s="104" t="s">
        <v>376</v>
      </c>
      <c r="AS15" s="57" t="s">
        <v>375</v>
      </c>
      <c r="AT15" s="104" t="s">
        <v>376</v>
      </c>
      <c r="AU15" s="57" t="s">
        <v>375</v>
      </c>
      <c r="AV15" s="104" t="s">
        <v>376</v>
      </c>
      <c r="AW15" s="120"/>
      <c r="AX15" s="120"/>
      <c r="AY15" s="121"/>
      <c r="AZ15" s="121"/>
      <c r="BA15" s="121"/>
      <c r="BB15" s="121"/>
      <c r="BC15" s="121"/>
      <c r="BD15" s="121"/>
      <c r="BE15" s="121"/>
      <c r="BF15" s="121"/>
      <c r="BG15" s="121"/>
      <c r="BH15" s="121"/>
      <c r="BI15" s="120"/>
      <c r="BJ15" s="120"/>
      <c r="BK15" s="120"/>
      <c r="BL15" s="120"/>
      <c r="BM15" s="120"/>
      <c r="BN15" s="120"/>
      <c r="BO15" s="120"/>
      <c r="BP15" s="120"/>
      <c r="BQ15" s="120"/>
      <c r="BR15" s="120"/>
      <c r="BS15" s="121"/>
      <c r="BT15" s="121"/>
      <c r="BU15" s="121"/>
      <c r="BV15" s="121"/>
      <c r="BW15" s="121"/>
      <c r="BX15" s="121"/>
      <c r="BY15" s="121"/>
      <c r="BZ15" s="121"/>
      <c r="CA15" s="121"/>
    </row>
    <row r="16" spans="1:79" ht="28.8" hidden="1">
      <c r="A16" s="47" t="e">
        <f t="shared" si="3"/>
        <v>#REF!</v>
      </c>
      <c r="B16" s="1"/>
      <c r="C16" s="48"/>
      <c r="D16" s="49"/>
      <c r="E16" s="50"/>
      <c r="F16" s="50"/>
      <c r="G16" s="51"/>
      <c r="H16" s="2"/>
      <c r="I16" s="65"/>
      <c r="J16" s="52"/>
      <c r="K16" s="53"/>
      <c r="L16" s="50"/>
      <c r="M16" s="50"/>
      <c r="N16" s="66"/>
      <c r="O16" s="122"/>
      <c r="P16" s="123"/>
      <c r="Q16" s="68"/>
      <c r="R16" s="9"/>
      <c r="S16" s="57"/>
      <c r="T16" s="57"/>
      <c r="U16" s="57"/>
      <c r="V16" s="11" t="e">
        <v>#N/A</v>
      </c>
      <c r="W16" s="57" t="e">
        <v>#REF!</v>
      </c>
      <c r="X16" s="57" t="e">
        <v>#REF!</v>
      </c>
      <c r="Y16" s="57" t="e">
        <v>#REF!</v>
      </c>
      <c r="Z16" s="57" t="e">
        <v>#REF!</v>
      </c>
      <c r="AA16" s="57" t="e">
        <v>#REF!</v>
      </c>
      <c r="AB16" s="16"/>
      <c r="AC16" s="3"/>
      <c r="AD16" s="3"/>
      <c r="AE16" s="3"/>
      <c r="AF16" s="3"/>
      <c r="AG16" s="3"/>
      <c r="AH16" s="63" t="s">
        <v>104</v>
      </c>
      <c r="AI16" s="63"/>
      <c r="AJ16" s="2"/>
      <c r="AK16" s="2"/>
      <c r="AL16" s="2"/>
      <c r="AM16" s="51"/>
      <c r="AN16" s="30"/>
      <c r="AO16" s="51">
        <v>45443.666666666599</v>
      </c>
      <c r="AP16" s="30">
        <v>18.54</v>
      </c>
      <c r="AQ16" s="51">
        <v>45376.666666666599</v>
      </c>
      <c r="AR16" s="30">
        <v>18.399999999999999</v>
      </c>
      <c r="AS16" s="51">
        <v>45286.666666666599</v>
      </c>
      <c r="AT16" s="30">
        <v>18.579999999999998</v>
      </c>
      <c r="AU16" s="51">
        <v>45289.666666666599</v>
      </c>
      <c r="AV16" s="30">
        <v>18.52</v>
      </c>
      <c r="AW16" s="5"/>
      <c r="AX16" s="5"/>
      <c r="BF16" s="5"/>
      <c r="BG16" s="5"/>
      <c r="BH16" s="5"/>
      <c r="BI16" s="5"/>
      <c r="BJ16" s="5"/>
      <c r="BK16" s="5"/>
      <c r="BL16" s="5"/>
      <c r="BM16" s="5"/>
      <c r="BN16" s="5"/>
      <c r="BO16" s="5"/>
      <c r="BP16" s="5"/>
      <c r="BQ16" s="5"/>
      <c r="BR16" s="5"/>
    </row>
    <row r="17" spans="1:79" ht="28.8">
      <c r="A17" s="47">
        <f t="shared" si="3"/>
        <v>8</v>
      </c>
      <c r="B17" s="8" t="s">
        <v>105</v>
      </c>
      <c r="C17" s="105" t="str">
        <f ca="1">IFERROR(__xludf.DUMMYFUNCTION("GoogleFinance(B17,""name"")"),"Baidu Inc")</f>
        <v>Baidu Inc</v>
      </c>
      <c r="D17" s="106">
        <f ca="1">IFERROR(__xludf.DUMMYFUNCTION("GoogleFinance(B17,""marketcap"")/1000000"),240254.795704)</f>
        <v>240254.79570399999</v>
      </c>
      <c r="E17" s="107" t="s">
        <v>12</v>
      </c>
      <c r="F17" s="107" t="s">
        <v>20</v>
      </c>
      <c r="G17" s="108">
        <v>45383</v>
      </c>
      <c r="H17" s="57">
        <v>0.02</v>
      </c>
      <c r="I17" s="109">
        <f ca="1">N17/$M$56</f>
        <v>1.7420724324107163E-2</v>
      </c>
      <c r="J17" s="110">
        <f ca="1">IFERROR(__xludf.DUMMYFUNCTION("GOOGLEFINANCE(B17)"),88.59)</f>
        <v>88.59</v>
      </c>
      <c r="K17" s="111">
        <v>105.4</v>
      </c>
      <c r="L17" s="112">
        <f>2500/107.8+2500/103.1-25</f>
        <v>22.439397238482734</v>
      </c>
      <c r="M17" s="113">
        <f>L17*K17</f>
        <v>2365.1124689360804</v>
      </c>
      <c r="N17" s="114">
        <f ca="1">J17*L17</f>
        <v>1987.9062013571854</v>
      </c>
      <c r="O17" s="114">
        <f ca="1">N17-M17</f>
        <v>-377.20626757889499</v>
      </c>
      <c r="P17" s="57">
        <f ca="1">J17/K17-1</f>
        <v>-0.15948766603415565</v>
      </c>
      <c r="Q17" s="115">
        <f ca="1">TODAY()-G17</f>
        <v>84</v>
      </c>
      <c r="R17" s="116"/>
      <c r="S17" s="57">
        <f ca="1">R17/J17-1</f>
        <v>-1</v>
      </c>
      <c r="T17" s="107">
        <v>170</v>
      </c>
      <c r="U17" s="57">
        <f ca="1">T17/J17-1</f>
        <v>0.91895247770628741</v>
      </c>
      <c r="V17" s="9">
        <f ca="1">IFERROR(__xludf.DUMMYFUNCTION("GoogleFinance(B17,""changepct"")/100"),0)</f>
        <v>0</v>
      </c>
      <c r="W17" s="57" t="e">
        <f ca="1">J17/AN18-1</f>
        <v>#DIV/0!</v>
      </c>
      <c r="X17" s="57">
        <f ca="1">J17/AP18-1</f>
        <v>-8.8580246913580241E-2</v>
      </c>
      <c r="Y17" s="57">
        <f ca="1">J17/AR18-1</f>
        <v>-0.16155593412833613</v>
      </c>
      <c r="Z17" s="57">
        <f ca="1">J17/AT18-1</f>
        <v>-0.22743524897532041</v>
      </c>
      <c r="AA17" s="57">
        <f ca="1">J17/AV18-1</f>
        <v>-0.25610882525820811</v>
      </c>
      <c r="AB17" s="60" t="s">
        <v>69</v>
      </c>
      <c r="AC17" s="85" t="s">
        <v>69</v>
      </c>
      <c r="AD17" s="85" t="s">
        <v>79</v>
      </c>
      <c r="AE17" s="118" t="s">
        <v>94</v>
      </c>
      <c r="AF17" s="62" t="s">
        <v>89</v>
      </c>
      <c r="AG17" s="118" t="s">
        <v>95</v>
      </c>
      <c r="AH17" s="63" t="s">
        <v>103</v>
      </c>
      <c r="AI17" s="63" t="s">
        <v>106</v>
      </c>
      <c r="AJ17" s="57"/>
      <c r="AK17" s="57"/>
      <c r="AL17" s="57"/>
      <c r="AM17" s="2" t="s">
        <v>379</v>
      </c>
      <c r="AN17" s="30"/>
      <c r="AO17" s="2" t="s">
        <v>375</v>
      </c>
      <c r="AP17" s="104" t="s">
        <v>376</v>
      </c>
      <c r="AQ17" s="57" t="s">
        <v>375</v>
      </c>
      <c r="AR17" s="104" t="s">
        <v>376</v>
      </c>
      <c r="AS17" s="57" t="s">
        <v>375</v>
      </c>
      <c r="AT17" s="104" t="s">
        <v>376</v>
      </c>
      <c r="AU17" s="57" t="s">
        <v>375</v>
      </c>
      <c r="AV17" s="104" t="s">
        <v>376</v>
      </c>
      <c r="AW17" s="120"/>
      <c r="AX17" s="120"/>
      <c r="AY17" s="121"/>
      <c r="AZ17" s="121"/>
      <c r="BA17" s="121"/>
      <c r="BB17" s="121"/>
      <c r="BC17" s="121"/>
      <c r="BD17" s="121"/>
      <c r="BE17" s="121"/>
      <c r="BF17" s="121"/>
      <c r="BG17" s="121"/>
      <c r="BH17" s="121"/>
      <c r="BI17" s="120"/>
      <c r="BJ17" s="120"/>
      <c r="BK17" s="120"/>
      <c r="BL17" s="120"/>
      <c r="BM17" s="120"/>
      <c r="BN17" s="120"/>
      <c r="BO17" s="120"/>
      <c r="BP17" s="120"/>
      <c r="BQ17" s="120"/>
      <c r="BR17" s="120"/>
      <c r="BS17" s="121"/>
      <c r="BT17" s="121"/>
      <c r="BU17" s="121"/>
      <c r="BV17" s="121"/>
      <c r="BW17" s="121"/>
      <c r="BX17" s="121"/>
      <c r="BY17" s="121"/>
      <c r="BZ17" s="121"/>
      <c r="CA17" s="121"/>
    </row>
    <row r="18" spans="1:79" ht="28.8" hidden="1">
      <c r="A18" s="146" t="e">
        <f t="shared" si="3"/>
        <v>#REF!</v>
      </c>
      <c r="B18" s="1"/>
      <c r="C18" s="48"/>
      <c r="D18" s="49"/>
      <c r="E18" s="50"/>
      <c r="F18" s="50"/>
      <c r="G18" s="51"/>
      <c r="H18" s="2"/>
      <c r="I18" s="65"/>
      <c r="J18" s="52"/>
      <c r="K18" s="53"/>
      <c r="L18" s="50"/>
      <c r="M18" s="50"/>
      <c r="N18" s="66"/>
      <c r="O18" s="122"/>
      <c r="P18" s="123"/>
      <c r="Q18" s="68"/>
      <c r="R18" s="9"/>
      <c r="S18" s="57"/>
      <c r="T18" s="57"/>
      <c r="U18" s="57"/>
      <c r="V18" s="11" t="e">
        <v>#N/A</v>
      </c>
      <c r="W18" s="57" t="e">
        <v>#REF!</v>
      </c>
      <c r="X18" s="57" t="e">
        <v>#REF!</v>
      </c>
      <c r="Y18" s="57" t="e">
        <v>#REF!</v>
      </c>
      <c r="Z18" s="57" t="e">
        <v>#REF!</v>
      </c>
      <c r="AA18" s="57" t="e">
        <v>#REF!</v>
      </c>
      <c r="AB18" s="16"/>
      <c r="AC18" s="3"/>
      <c r="AD18" s="3"/>
      <c r="AE18" s="3"/>
      <c r="AF18" s="3"/>
      <c r="AG18" s="3"/>
      <c r="AH18" s="63" t="s">
        <v>104</v>
      </c>
      <c r="AI18" s="63"/>
      <c r="AJ18" s="2"/>
      <c r="AK18" s="2"/>
      <c r="AL18" s="2"/>
      <c r="AM18" s="51"/>
      <c r="AN18" s="30"/>
      <c r="AO18" s="51">
        <v>45443.666666666599</v>
      </c>
      <c r="AP18" s="30">
        <v>97.2</v>
      </c>
      <c r="AQ18" s="51">
        <v>45376.666666666599</v>
      </c>
      <c r="AR18" s="30">
        <v>105.66</v>
      </c>
      <c r="AS18" s="51">
        <v>45286.666666666599</v>
      </c>
      <c r="AT18" s="30">
        <v>114.67</v>
      </c>
      <c r="AU18" s="51">
        <v>45289.666666666599</v>
      </c>
      <c r="AV18" s="30">
        <v>119.09</v>
      </c>
      <c r="AW18" s="5"/>
      <c r="AX18" s="5"/>
      <c r="BF18" s="5"/>
      <c r="BG18" s="5"/>
      <c r="BH18" s="5"/>
      <c r="BI18" s="5"/>
      <c r="BJ18" s="5"/>
      <c r="BK18" s="5"/>
      <c r="BL18" s="5"/>
      <c r="BM18" s="5"/>
      <c r="BN18" s="5"/>
      <c r="BO18" s="5"/>
      <c r="BP18" s="5"/>
      <c r="BQ18" s="5"/>
      <c r="BR18" s="5"/>
    </row>
    <row r="19" spans="1:79" ht="48">
      <c r="A19" s="47">
        <f t="shared" si="3"/>
        <v>9</v>
      </c>
      <c r="B19" s="8" t="s">
        <v>107</v>
      </c>
      <c r="C19" s="105" t="str">
        <f ca="1">IFERROR(__xludf.DUMMYFUNCTION("GoogleFinance(B19,""name"")"),"Tesla Inc")</f>
        <v>Tesla Inc</v>
      </c>
      <c r="D19" s="106">
        <f ca="1">IFERROR(__xludf.DUMMYFUNCTION("GoogleFinance(B19,""marketcap"")/1000000"),573456.327487)</f>
        <v>573456.32748700003</v>
      </c>
      <c r="E19" s="107" t="s">
        <v>9</v>
      </c>
      <c r="F19" s="107" t="s">
        <v>108</v>
      </c>
      <c r="G19" s="108">
        <v>45366</v>
      </c>
      <c r="H19" s="57">
        <v>0.01</v>
      </c>
      <c r="I19" s="109">
        <f ca="1">N19/$M$56</f>
        <v>3.3461334351771038E-2</v>
      </c>
      <c r="J19" s="110">
        <f ca="1">IFERROR(__xludf.DUMMYFUNCTION("GOOGLEFINANCE(B19)"),183.01)</f>
        <v>183.01</v>
      </c>
      <c r="K19" s="111">
        <f>M19/L19</f>
        <v>167.75285863668137</v>
      </c>
      <c r="L19" s="112">
        <f>1500/161.9+1000/174.4+1000/170.5</f>
        <v>20.864025975141736</v>
      </c>
      <c r="M19" s="113">
        <v>3500</v>
      </c>
      <c r="N19" s="114">
        <f ca="1">J19*L19</f>
        <v>3818.3253937106888</v>
      </c>
      <c r="O19" s="114">
        <f ca="1">N19-M19</f>
        <v>318.32539371068879</v>
      </c>
      <c r="P19" s="57">
        <f ca="1">J19/K19-1</f>
        <v>9.0950112488768386E-2</v>
      </c>
      <c r="Q19" s="115">
        <f ca="1">TODAY()-G19</f>
        <v>101</v>
      </c>
      <c r="R19" s="116"/>
      <c r="S19" s="57">
        <f ca="1">R19/J19-1</f>
        <v>-1</v>
      </c>
      <c r="T19" s="107">
        <v>220</v>
      </c>
      <c r="U19" s="57">
        <f ca="1">T19/J19-1</f>
        <v>0.20212010272662706</v>
      </c>
      <c r="V19" s="9">
        <f ca="1">IFERROR(__xludf.DUMMYFUNCTION("GoogleFinance(B19,""changepct"")/100"),0)</f>
        <v>0</v>
      </c>
      <c r="W19" s="57">
        <f ca="1">J19/AN20-1</f>
        <v>2.8088309645525555E-2</v>
      </c>
      <c r="X19" s="57">
        <f ca="1">J19/AP20-1</f>
        <v>2.7684186882299899E-2</v>
      </c>
      <c r="Y19" s="57">
        <f ca="1">J19/AR20-1</f>
        <v>6.012859873718357E-2</v>
      </c>
      <c r="Z19" s="57">
        <f ca="1">J19/AT20-1</f>
        <v>-0.28681656989205417</v>
      </c>
      <c r="AA19" s="57">
        <f ca="1">J19/AV20-1</f>
        <v>-0.26348197037990984</v>
      </c>
      <c r="AB19" s="60" t="s">
        <v>69</v>
      </c>
      <c r="AC19" s="85" t="s">
        <v>69</v>
      </c>
      <c r="AD19" s="85" t="s">
        <v>79</v>
      </c>
      <c r="AE19" s="118" t="s">
        <v>94</v>
      </c>
      <c r="AF19" s="62" t="s">
        <v>89</v>
      </c>
      <c r="AG19" s="118" t="s">
        <v>109</v>
      </c>
      <c r="AH19" s="63" t="s">
        <v>110</v>
      </c>
      <c r="AI19" s="63" t="s">
        <v>111</v>
      </c>
      <c r="AJ19" s="57"/>
      <c r="AK19" s="57"/>
      <c r="AL19" s="57"/>
      <c r="AM19" s="2" t="s">
        <v>375</v>
      </c>
      <c r="AN19" s="30" t="s">
        <v>376</v>
      </c>
      <c r="AO19" s="2" t="s">
        <v>375</v>
      </c>
      <c r="AP19" s="104" t="s">
        <v>376</v>
      </c>
      <c r="AQ19" s="57" t="s">
        <v>375</v>
      </c>
      <c r="AR19" s="104" t="s">
        <v>376</v>
      </c>
      <c r="AS19" s="57" t="s">
        <v>375</v>
      </c>
      <c r="AT19" s="104" t="s">
        <v>376</v>
      </c>
      <c r="AU19" s="57" t="s">
        <v>375</v>
      </c>
      <c r="AV19" s="104" t="s">
        <v>376</v>
      </c>
      <c r="AW19" s="120"/>
      <c r="AX19" s="120"/>
      <c r="AY19" s="121"/>
      <c r="AZ19" s="121"/>
      <c r="BA19" s="121"/>
      <c r="BB19" s="121"/>
      <c r="BC19" s="121"/>
      <c r="BD19" s="121"/>
      <c r="BE19" s="121"/>
      <c r="BF19" s="121"/>
      <c r="BG19" s="121"/>
      <c r="BH19" s="121"/>
      <c r="BI19" s="120"/>
      <c r="BJ19" s="120"/>
      <c r="BK19" s="120"/>
      <c r="BL19" s="120"/>
      <c r="BM19" s="120"/>
      <c r="BN19" s="120"/>
      <c r="BO19" s="120"/>
      <c r="BP19" s="120"/>
      <c r="BQ19" s="120"/>
      <c r="BR19" s="120"/>
      <c r="BS19" s="121"/>
      <c r="BT19" s="121"/>
      <c r="BU19" s="121"/>
      <c r="BV19" s="121"/>
      <c r="BW19" s="121"/>
      <c r="BX19" s="121"/>
      <c r="BY19" s="121"/>
      <c r="BZ19" s="121"/>
      <c r="CA19" s="121"/>
    </row>
    <row r="20" spans="1:79" ht="13.2" hidden="1">
      <c r="A20" s="47" t="e">
        <f>A16+1</f>
        <v>#REF!</v>
      </c>
      <c r="B20" s="1"/>
      <c r="C20" s="48"/>
      <c r="D20" s="49"/>
      <c r="E20" s="50"/>
      <c r="F20" s="50"/>
      <c r="G20" s="51"/>
      <c r="H20" s="2"/>
      <c r="I20" s="65"/>
      <c r="J20" s="52"/>
      <c r="K20" s="53"/>
      <c r="L20" s="50"/>
      <c r="M20" s="50"/>
      <c r="N20" s="66"/>
      <c r="O20" s="122"/>
      <c r="P20" s="123"/>
      <c r="Q20" s="68"/>
      <c r="R20" s="9"/>
      <c r="S20" s="57"/>
      <c r="T20" s="57"/>
      <c r="U20" s="57"/>
      <c r="V20" s="11" t="e">
        <v>#N/A</v>
      </c>
      <c r="W20" s="57" t="e">
        <v>#REF!</v>
      </c>
      <c r="X20" s="57" t="e">
        <v>#REF!</v>
      </c>
      <c r="Y20" s="57" t="e">
        <v>#REF!</v>
      </c>
      <c r="Z20" s="57" t="e">
        <v>#REF!</v>
      </c>
      <c r="AA20" s="57" t="e">
        <v>#REF!</v>
      </c>
      <c r="AB20" s="16"/>
      <c r="AC20" s="3"/>
      <c r="AD20" s="3"/>
      <c r="AE20" s="3"/>
      <c r="AF20" s="3"/>
      <c r="AG20" s="3"/>
      <c r="AH20" s="63"/>
      <c r="AI20" s="63"/>
      <c r="AJ20" s="2"/>
      <c r="AK20" s="2"/>
      <c r="AL20" s="2"/>
      <c r="AM20" s="51">
        <v>45457.666666666599</v>
      </c>
      <c r="AN20" s="30">
        <v>178.01</v>
      </c>
      <c r="AO20" s="51">
        <v>45443.666666666599</v>
      </c>
      <c r="AP20" s="30">
        <v>178.08</v>
      </c>
      <c r="AQ20" s="51">
        <v>45376.666666666599</v>
      </c>
      <c r="AR20" s="30">
        <v>172.63</v>
      </c>
      <c r="AS20" s="51">
        <v>45286.666666666599</v>
      </c>
      <c r="AT20" s="30">
        <v>256.61</v>
      </c>
      <c r="AU20" s="51">
        <v>45289.666666666599</v>
      </c>
      <c r="AV20" s="30">
        <v>248.48</v>
      </c>
      <c r="AW20" s="5"/>
      <c r="AX20" s="5"/>
      <c r="BF20" s="5"/>
      <c r="BG20" s="5"/>
      <c r="BH20" s="5"/>
      <c r="BI20" s="5"/>
      <c r="BJ20" s="5"/>
      <c r="BK20" s="5"/>
      <c r="BL20" s="5"/>
      <c r="BM20" s="5"/>
      <c r="BN20" s="5"/>
      <c r="BO20" s="5"/>
      <c r="BP20" s="5"/>
      <c r="BQ20" s="5"/>
      <c r="BR20" s="5"/>
    </row>
    <row r="21" spans="1:79" ht="48">
      <c r="A21" s="47">
        <f t="shared" ref="A21:A25" si="4">A19+1</f>
        <v>10</v>
      </c>
      <c r="B21" s="1" t="s">
        <v>112</v>
      </c>
      <c r="C21" s="48" t="str">
        <f ca="1">IFERROR(__xludf.DUMMYFUNCTION("GoogleFinance(B21,""name"")"),"Alibaba Group Holding Ltd - ADR")</f>
        <v>Alibaba Group Holding Ltd - ADR</v>
      </c>
      <c r="D21" s="49">
        <f ca="1">IFERROR(__xludf.DUMMYFUNCTION("GoogleFinance(B21,""marketcap"")/1000000"),1404126.310473)</f>
        <v>1404126.3104729999</v>
      </c>
      <c r="E21" s="50" t="s">
        <v>113</v>
      </c>
      <c r="F21" s="50" t="s">
        <v>20</v>
      </c>
      <c r="G21" s="51">
        <v>45267</v>
      </c>
      <c r="H21" s="2">
        <v>0.04</v>
      </c>
      <c r="I21" s="10">
        <f ca="1">N21/$M$56</f>
        <v>2.1322243029854065E-2</v>
      </c>
      <c r="J21" s="52">
        <f ca="1">IFERROR(__xludf.DUMMYFUNCTION("GOOGLEFINANCE(B21)"),73.67)</f>
        <v>73.67</v>
      </c>
      <c r="K21" s="53">
        <v>73.5</v>
      </c>
      <c r="L21" s="54">
        <f>5000/K21-35</f>
        <v>33.027210884353735</v>
      </c>
      <c r="M21" s="55">
        <v>4000</v>
      </c>
      <c r="N21" s="56">
        <f ca="1">J21*L21</f>
        <v>2433.11462585034</v>
      </c>
      <c r="O21" s="56">
        <f ca="1">N21-M21</f>
        <v>-1566.88537414966</v>
      </c>
      <c r="P21" s="57">
        <f ca="1">J21/K21-1</f>
        <v>2.3129251700679809E-3</v>
      </c>
      <c r="Q21" s="58">
        <f ca="1">TODAY()-G21</f>
        <v>200</v>
      </c>
      <c r="R21" s="59">
        <v>65</v>
      </c>
      <c r="S21" s="57">
        <f ca="1">R21/J21-1</f>
        <v>-0.11768698248948017</v>
      </c>
      <c r="T21" s="50">
        <v>96</v>
      </c>
      <c r="U21" s="57">
        <f ca="1">T21/J21-1</f>
        <v>0.30310845663092167</v>
      </c>
      <c r="V21" s="9">
        <f ca="1">IFERROR(__xludf.DUMMYFUNCTION("GoogleFinance(B21,""changepct"")/100"),-0.0001)</f>
        <v>-1E-4</v>
      </c>
      <c r="W21" s="57">
        <f ca="1">J21/AN22-1</f>
        <v>4.3626448534423989E-3</v>
      </c>
      <c r="X21" s="57">
        <f ca="1">J21/AP22-1</f>
        <v>-5.9611947919326003E-2</v>
      </c>
      <c r="Y21" s="57">
        <f ca="1">J21/AR22-1</f>
        <v>3.0926392387349733E-2</v>
      </c>
      <c r="Z21" s="57">
        <f ca="1">J21/AT22-1</f>
        <v>-2.8740936058009092E-2</v>
      </c>
      <c r="AA21" s="57">
        <f ca="1">J21/AV22-1</f>
        <v>-4.954199458134434E-2</v>
      </c>
      <c r="AB21" s="60" t="s">
        <v>69</v>
      </c>
      <c r="AC21" s="85" t="s">
        <v>69</v>
      </c>
      <c r="AD21" s="85" t="s">
        <v>79</v>
      </c>
      <c r="AE21" s="62" t="s">
        <v>94</v>
      </c>
      <c r="AF21" s="62" t="s">
        <v>72</v>
      </c>
      <c r="AG21" s="62" t="s">
        <v>95</v>
      </c>
      <c r="AH21" s="63" t="s">
        <v>114</v>
      </c>
      <c r="AI21" s="63" t="s">
        <v>115</v>
      </c>
      <c r="AJ21" s="2"/>
      <c r="AK21" s="2"/>
      <c r="AL21" s="2"/>
      <c r="AM21" s="2" t="s">
        <v>375</v>
      </c>
      <c r="AN21" s="30" t="s">
        <v>376</v>
      </c>
      <c r="AO21" s="2" t="s">
        <v>375</v>
      </c>
      <c r="AP21" s="30" t="s">
        <v>376</v>
      </c>
      <c r="AQ21" s="2" t="s">
        <v>375</v>
      </c>
      <c r="AR21" s="30" t="s">
        <v>376</v>
      </c>
      <c r="AS21" s="2" t="s">
        <v>375</v>
      </c>
      <c r="AT21" s="30" t="s">
        <v>376</v>
      </c>
      <c r="AU21" s="2" t="s">
        <v>375</v>
      </c>
      <c r="AV21" s="30" t="s">
        <v>376</v>
      </c>
      <c r="AW21" s="5"/>
      <c r="AX21" s="5"/>
      <c r="BI21" s="5"/>
      <c r="BJ21" s="5"/>
      <c r="BK21" s="5"/>
      <c r="BL21" s="5"/>
      <c r="BM21" s="5"/>
      <c r="BN21" s="5"/>
      <c r="BO21" s="5"/>
      <c r="BP21" s="5"/>
      <c r="BQ21" s="5"/>
      <c r="BR21" s="5"/>
    </row>
    <row r="22" spans="1:79" ht="13.2" hidden="1">
      <c r="A22" s="47" t="e">
        <f t="shared" si="4"/>
        <v>#REF!</v>
      </c>
      <c r="B22" s="90"/>
      <c r="C22" s="93"/>
      <c r="D22" s="93"/>
      <c r="E22" s="90"/>
      <c r="F22" s="90"/>
      <c r="G22" s="147"/>
      <c r="H22" s="89"/>
      <c r="I22" s="95"/>
      <c r="J22" s="90"/>
      <c r="K22" s="96"/>
      <c r="L22" s="90"/>
      <c r="M22" s="90"/>
      <c r="N22" s="90"/>
      <c r="O22" s="148"/>
      <c r="P22" s="89"/>
      <c r="Q22" s="97"/>
      <c r="R22" s="89"/>
      <c r="S22" s="89"/>
      <c r="T22" s="89"/>
      <c r="U22" s="97"/>
      <c r="V22" s="149" t="e">
        <v>#N/A</v>
      </c>
      <c r="W22" s="149" t="e">
        <v>#REF!</v>
      </c>
      <c r="X22" s="149" t="e">
        <v>#REF!</v>
      </c>
      <c r="Y22" s="149" t="e">
        <v>#REF!</v>
      </c>
      <c r="Z22" s="149" t="e">
        <v>#REF!</v>
      </c>
      <c r="AA22" s="150" t="e">
        <v>#REF!</v>
      </c>
      <c r="AB22" s="89"/>
      <c r="AC22" s="89"/>
      <c r="AD22" s="89"/>
      <c r="AE22" s="89"/>
      <c r="AF22" s="89"/>
      <c r="AG22" s="89"/>
      <c r="AH22" s="63"/>
      <c r="AI22" s="63"/>
      <c r="AJ22" s="89"/>
      <c r="AK22" s="89"/>
      <c r="AL22" s="89"/>
      <c r="AM22" s="151">
        <v>45457.666666666599</v>
      </c>
      <c r="AN22" s="152">
        <v>73.349999999999994</v>
      </c>
      <c r="AO22" s="151">
        <v>45443.666666666599</v>
      </c>
      <c r="AP22" s="152">
        <v>78.34</v>
      </c>
      <c r="AQ22" s="151">
        <v>45376.666666666599</v>
      </c>
      <c r="AR22" s="152">
        <v>71.459999999999994</v>
      </c>
      <c r="AS22" s="151">
        <v>45286.666666666599</v>
      </c>
      <c r="AT22" s="152">
        <v>75.849999999999994</v>
      </c>
      <c r="AU22" s="151">
        <v>45289.666666666599</v>
      </c>
      <c r="AV22" s="152">
        <v>77.510000000000005</v>
      </c>
      <c r="AW22" s="90"/>
      <c r="AX22" s="90"/>
      <c r="AY22" s="92"/>
      <c r="AZ22" s="92"/>
      <c r="BA22" s="92"/>
      <c r="BB22" s="92"/>
      <c r="BC22" s="92"/>
      <c r="BD22" s="92"/>
      <c r="BE22" s="92"/>
      <c r="BF22" s="90"/>
      <c r="BG22" s="90"/>
      <c r="BH22" s="90"/>
      <c r="BI22" s="90"/>
      <c r="BJ22" s="90"/>
      <c r="BK22" s="90"/>
      <c r="BL22" s="90"/>
      <c r="BM22" s="90"/>
      <c r="BN22" s="90"/>
      <c r="BO22" s="90"/>
      <c r="BP22" s="90"/>
      <c r="BQ22" s="90"/>
      <c r="BR22" s="90"/>
      <c r="BS22" s="92"/>
      <c r="BT22" s="92"/>
      <c r="BU22" s="92"/>
      <c r="BV22" s="92"/>
      <c r="BW22" s="92"/>
      <c r="BX22" s="92"/>
      <c r="BY22" s="92"/>
      <c r="BZ22" s="92"/>
      <c r="CA22" s="92"/>
    </row>
    <row r="23" spans="1:79" ht="19.2">
      <c r="A23" s="47">
        <f t="shared" si="4"/>
        <v>11</v>
      </c>
      <c r="B23" s="8" t="s">
        <v>116</v>
      </c>
      <c r="C23" s="105" t="str">
        <f ca="1">IFERROR(__xludf.DUMMYFUNCTION("GoogleFinance(B23,""name"")"),"Globant SA")</f>
        <v>Globant SA</v>
      </c>
      <c r="D23" s="106">
        <f ca="1">IFERROR(__xludf.DUMMYFUNCTION("GoogleFinance(B23,""marketcap"")/1000000"),7413.425231)</f>
        <v>7413.4252310000002</v>
      </c>
      <c r="E23" s="107" t="s">
        <v>7</v>
      </c>
      <c r="F23" s="107" t="s">
        <v>117</v>
      </c>
      <c r="G23" s="108">
        <v>45372</v>
      </c>
      <c r="H23" s="57">
        <v>0.02</v>
      </c>
      <c r="I23" s="109">
        <f ca="1">N23/$M$56</f>
        <v>2.2217424825841593E-2</v>
      </c>
      <c r="J23" s="110">
        <f ca="1">IFERROR(__xludf.DUMMYFUNCTION("GOOGLEFINANCE(B23)"),172.06)</f>
        <v>172.06</v>
      </c>
      <c r="K23" s="111">
        <f>(201.9+205.7+203.2)/3</f>
        <v>203.6</v>
      </c>
      <c r="L23" s="112">
        <f>3000/K23</f>
        <v>14.734774066797643</v>
      </c>
      <c r="M23" s="113">
        <f>L23*K23</f>
        <v>3000</v>
      </c>
      <c r="N23" s="114">
        <f ca="1">J23*L23</f>
        <v>2535.2652259332026</v>
      </c>
      <c r="O23" s="114">
        <f ca="1">N23-M23</f>
        <v>-464.7347740667974</v>
      </c>
      <c r="P23" s="57">
        <f ca="1">J23/K23-1</f>
        <v>-0.15491159135559918</v>
      </c>
      <c r="Q23" s="115">
        <f ca="1">TODAY()-G23</f>
        <v>95</v>
      </c>
      <c r="R23" s="116"/>
      <c r="S23" s="57">
        <f ca="1">R23/J23-1</f>
        <v>-1</v>
      </c>
      <c r="T23" s="107">
        <v>270</v>
      </c>
      <c r="U23" s="57">
        <f ca="1">T23/J23-1</f>
        <v>0.56922003952109734</v>
      </c>
      <c r="V23" s="9">
        <f ca="1">IFERROR(__xludf.DUMMYFUNCTION("GoogleFinance(B23,""changepct"")/100"),0)</f>
        <v>0</v>
      </c>
      <c r="W23" s="57">
        <f ca="1">J23/AN24-1</f>
        <v>8.003264076329164E-2</v>
      </c>
      <c r="X23" s="57">
        <f ca="1">J23/AP24-1</f>
        <v>6.7899702085402192E-2</v>
      </c>
      <c r="Y23" s="57">
        <f ca="1">J23/AR24-1</f>
        <v>-0.13057099545224859</v>
      </c>
      <c r="Z23" s="57">
        <f ca="1">J23/AT24-1</f>
        <v>-0.26975638740344621</v>
      </c>
      <c r="AA23" s="57">
        <f ca="1">J23/AV24-1</f>
        <v>-0.27699806706445917</v>
      </c>
      <c r="AB23" s="60" t="s">
        <v>69</v>
      </c>
      <c r="AC23" s="85" t="s">
        <v>69</v>
      </c>
      <c r="AD23" s="85" t="s">
        <v>69</v>
      </c>
      <c r="AE23" s="118" t="s">
        <v>118</v>
      </c>
      <c r="AF23" s="118" t="s">
        <v>89</v>
      </c>
      <c r="AG23" s="118" t="s">
        <v>95</v>
      </c>
      <c r="AH23" s="63" t="s">
        <v>119</v>
      </c>
      <c r="AI23" s="63" t="s">
        <v>378</v>
      </c>
      <c r="AJ23" s="57"/>
      <c r="AK23" s="57"/>
      <c r="AL23" s="57"/>
      <c r="AM23" s="2" t="s">
        <v>375</v>
      </c>
      <c r="AN23" s="30" t="s">
        <v>376</v>
      </c>
      <c r="AO23" s="2" t="s">
        <v>375</v>
      </c>
      <c r="AP23" s="104" t="s">
        <v>376</v>
      </c>
      <c r="AQ23" s="57" t="s">
        <v>375</v>
      </c>
      <c r="AR23" s="104" t="s">
        <v>376</v>
      </c>
      <c r="AS23" s="57" t="s">
        <v>375</v>
      </c>
      <c r="AT23" s="104" t="s">
        <v>376</v>
      </c>
      <c r="AU23" s="57" t="s">
        <v>375</v>
      </c>
      <c r="AV23" s="104" t="s">
        <v>376</v>
      </c>
      <c r="AW23" s="120"/>
      <c r="AX23" s="120"/>
      <c r="AY23" s="121"/>
      <c r="AZ23" s="121"/>
      <c r="BA23" s="121"/>
      <c r="BB23" s="121"/>
      <c r="BC23" s="121"/>
      <c r="BD23" s="121"/>
      <c r="BE23" s="121"/>
      <c r="BF23" s="121"/>
      <c r="BG23" s="121"/>
      <c r="BH23" s="121"/>
      <c r="BI23" s="120"/>
      <c r="BJ23" s="120"/>
      <c r="BK23" s="120"/>
      <c r="BL23" s="120"/>
      <c r="BM23" s="120"/>
      <c r="BN23" s="120"/>
      <c r="BO23" s="120"/>
      <c r="BP23" s="120"/>
      <c r="BQ23" s="120"/>
      <c r="BR23" s="120"/>
      <c r="BS23" s="121"/>
      <c r="BT23" s="121"/>
      <c r="BU23" s="121"/>
      <c r="BV23" s="121"/>
      <c r="BW23" s="121"/>
      <c r="BX23" s="121"/>
      <c r="BY23" s="121"/>
      <c r="BZ23" s="121"/>
      <c r="CA23" s="121"/>
    </row>
    <row r="24" spans="1:79" ht="13.2" hidden="1">
      <c r="A24" s="47" t="e">
        <f t="shared" si="4"/>
        <v>#REF!</v>
      </c>
      <c r="B24" s="1"/>
      <c r="C24" s="48"/>
      <c r="D24" s="49"/>
      <c r="E24" s="50"/>
      <c r="F24" s="50"/>
      <c r="G24" s="51"/>
      <c r="H24" s="2"/>
      <c r="I24" s="65"/>
      <c r="J24" s="52"/>
      <c r="K24" s="53"/>
      <c r="L24" s="50"/>
      <c r="M24" s="50"/>
      <c r="N24" s="66"/>
      <c r="O24" s="122"/>
      <c r="P24" s="123"/>
      <c r="Q24" s="68"/>
      <c r="R24" s="9"/>
      <c r="S24" s="57"/>
      <c r="T24" s="57"/>
      <c r="U24" s="57"/>
      <c r="V24" s="11"/>
      <c r="W24" s="57"/>
      <c r="X24" s="57"/>
      <c r="Y24" s="57"/>
      <c r="Z24" s="57"/>
      <c r="AA24" s="57"/>
      <c r="AB24" s="16"/>
      <c r="AC24" s="3"/>
      <c r="AD24" s="3"/>
      <c r="AE24" s="3"/>
      <c r="AF24" s="3"/>
      <c r="AG24" s="3"/>
      <c r="AH24" s="28"/>
      <c r="AI24" s="153"/>
      <c r="AJ24" s="2"/>
      <c r="AK24" s="2"/>
      <c r="AL24" s="2"/>
      <c r="AM24" s="51">
        <v>45457.666666666599</v>
      </c>
      <c r="AN24" s="30">
        <v>159.31</v>
      </c>
      <c r="AO24" s="51">
        <v>45443.666666666599</v>
      </c>
      <c r="AP24" s="30">
        <v>161.12</v>
      </c>
      <c r="AQ24" s="51">
        <v>45376.666666666599</v>
      </c>
      <c r="AR24" s="30">
        <v>197.9</v>
      </c>
      <c r="AS24" s="51">
        <v>45286.666666666599</v>
      </c>
      <c r="AT24" s="30">
        <v>235.62</v>
      </c>
      <c r="AU24" s="51">
        <v>45289.666666666599</v>
      </c>
      <c r="AV24" s="30">
        <v>237.98</v>
      </c>
      <c r="AW24" s="5"/>
      <c r="AX24" s="5"/>
      <c r="BF24" s="5"/>
      <c r="BG24" s="5"/>
      <c r="BH24" s="5"/>
      <c r="BI24" s="5"/>
      <c r="BJ24" s="5"/>
      <c r="BK24" s="5"/>
      <c r="BL24" s="5"/>
      <c r="BM24" s="5"/>
      <c r="BN24" s="5"/>
      <c r="BO24" s="5"/>
      <c r="BP24" s="5"/>
      <c r="BQ24" s="5"/>
      <c r="BR24" s="5"/>
    </row>
    <row r="25" spans="1:79" ht="28.8">
      <c r="A25" s="47">
        <f t="shared" si="4"/>
        <v>12</v>
      </c>
      <c r="B25" s="8" t="s">
        <v>120</v>
      </c>
      <c r="C25" s="105" t="str">
        <f ca="1">IFERROR(__xludf.DUMMYFUNCTION("GoogleFinance(B25,""name"")"),"Occidental Petroleum Corp")</f>
        <v>Occidental Petroleum Corp</v>
      </c>
      <c r="D25" s="106">
        <f ca="1">IFERROR(__xludf.DUMMYFUNCTION("GoogleFinance(B25,""marketcap"")/1000000"),54013.90614)</f>
        <v>54013.906139999999</v>
      </c>
      <c r="E25" s="107" t="s">
        <v>14</v>
      </c>
      <c r="F25" s="107" t="s">
        <v>121</v>
      </c>
      <c r="G25" s="51">
        <v>45203</v>
      </c>
      <c r="H25" s="57">
        <v>0.02</v>
      </c>
      <c r="I25" s="109">
        <f ca="1">N25/$M$56</f>
        <v>3.4877872573855558E-2</v>
      </c>
      <c r="J25" s="110">
        <f ca="1">IFERROR(__xludf.DUMMYFUNCTION("GOOGLEFINANCE(B25)"),60.92)</f>
        <v>60.92</v>
      </c>
      <c r="K25" s="111">
        <f>(59.9+61.2+64.48)/3</f>
        <v>61.859999999999992</v>
      </c>
      <c r="L25" s="112">
        <f>2000/K25-16+16+33</f>
        <v>65.33107015842225</v>
      </c>
      <c r="M25" s="113">
        <f>L25*K25</f>
        <v>4041.3799999999997</v>
      </c>
      <c r="N25" s="114">
        <f ca="1">J25*L25</f>
        <v>3979.9687940510835</v>
      </c>
      <c r="O25" s="114">
        <f ca="1">N25-M25</f>
        <v>-61.411205948916177</v>
      </c>
      <c r="P25" s="57">
        <f ca="1">J25/K25-1</f>
        <v>-1.5195602974458322E-2</v>
      </c>
      <c r="Q25" s="115">
        <f ca="1">TODAY()-G25</f>
        <v>264</v>
      </c>
      <c r="R25" s="116">
        <v>52</v>
      </c>
      <c r="S25" s="57">
        <f ca="1">R25/J25-1</f>
        <v>-0.14642153644123446</v>
      </c>
      <c r="T25" s="107">
        <v>86</v>
      </c>
      <c r="U25" s="57">
        <f ca="1">T25/J25-1</f>
        <v>0.41168745896257386</v>
      </c>
      <c r="V25" s="9">
        <f ca="1">IFERROR(__xludf.DUMMYFUNCTION("GoogleFinance(B25,""changepct"")/100"),0)</f>
        <v>0</v>
      </c>
      <c r="W25" s="57">
        <f ca="1">J25/AN26-1</f>
        <v>1.8048128342246006E-2</v>
      </c>
      <c r="X25" s="57">
        <f ca="1">J25/AP26-1</f>
        <v>-2.5279999999999969E-2</v>
      </c>
      <c r="Y25" s="57">
        <f ca="1">J25/AR26-1</f>
        <v>-5.6235476374903115E-2</v>
      </c>
      <c r="Z25" s="57">
        <f ca="1">J25/AT26-1</f>
        <v>-8.4635416666666297E-3</v>
      </c>
      <c r="AA25" s="57">
        <f ca="1">J25/AV26-1</f>
        <v>2.0264612292748341E-2</v>
      </c>
      <c r="AB25" s="60" t="s">
        <v>122</v>
      </c>
      <c r="AC25" s="61" t="s">
        <v>79</v>
      </c>
      <c r="AD25" s="85" t="s">
        <v>79</v>
      </c>
      <c r="AE25" s="118" t="s">
        <v>123</v>
      </c>
      <c r="AF25" s="62" t="s">
        <v>72</v>
      </c>
      <c r="AG25" s="118" t="s">
        <v>73</v>
      </c>
      <c r="AH25" s="154" t="s">
        <v>124</v>
      </c>
      <c r="AI25" s="154" t="s">
        <v>377</v>
      </c>
      <c r="AJ25" s="57"/>
      <c r="AK25" s="57"/>
      <c r="AL25" s="57"/>
      <c r="AM25" s="2" t="s">
        <v>375</v>
      </c>
      <c r="AN25" s="30" t="s">
        <v>376</v>
      </c>
      <c r="AO25" s="2" t="s">
        <v>375</v>
      </c>
      <c r="AP25" s="30" t="s">
        <v>376</v>
      </c>
      <c r="AQ25" s="2" t="s">
        <v>375</v>
      </c>
      <c r="AR25" s="30" t="s">
        <v>376</v>
      </c>
      <c r="AS25" s="2" t="s">
        <v>375</v>
      </c>
      <c r="AT25" s="30" t="s">
        <v>376</v>
      </c>
      <c r="AU25" s="2" t="s">
        <v>375</v>
      </c>
      <c r="AV25" s="30" t="s">
        <v>376</v>
      </c>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1"/>
      <c r="BT25" s="121"/>
      <c r="BU25" s="121"/>
      <c r="BV25" s="121"/>
      <c r="BW25" s="121"/>
      <c r="BX25" s="121"/>
      <c r="BY25" s="121"/>
      <c r="BZ25" s="121"/>
      <c r="CA25" s="121"/>
    </row>
    <row r="26" spans="1:79" ht="13.2" hidden="1">
      <c r="A26" s="47" t="e">
        <f>#REF!+1</f>
        <v>#REF!</v>
      </c>
      <c r="B26" s="8"/>
      <c r="C26" s="105"/>
      <c r="D26" s="106"/>
      <c r="E26" s="107"/>
      <c r="F26" s="107"/>
      <c r="G26" s="51"/>
      <c r="H26" s="57"/>
      <c r="I26" s="155"/>
      <c r="J26" s="110"/>
      <c r="K26" s="111"/>
      <c r="L26" s="107"/>
      <c r="M26" s="107"/>
      <c r="N26" s="156"/>
      <c r="O26" s="157"/>
      <c r="P26" s="67"/>
      <c r="Q26" s="68"/>
      <c r="R26" s="9"/>
      <c r="S26" s="57"/>
      <c r="T26" s="57"/>
      <c r="U26" s="57"/>
      <c r="V26" s="9" t="e">
        <v>#N/A</v>
      </c>
      <c r="W26" s="57" t="e">
        <v>#REF!</v>
      </c>
      <c r="X26" s="57" t="e">
        <v>#REF!</v>
      </c>
      <c r="Y26" s="57" t="e">
        <v>#REF!</v>
      </c>
      <c r="Z26" s="57" t="e">
        <v>#REF!</v>
      </c>
      <c r="AA26" s="57" t="e">
        <v>#REF!</v>
      </c>
      <c r="AB26" s="158"/>
      <c r="AC26" s="159"/>
      <c r="AD26" s="159"/>
      <c r="AE26" s="159"/>
      <c r="AF26" s="159"/>
      <c r="AG26" s="159"/>
      <c r="AH26" s="154"/>
      <c r="AI26" s="154"/>
      <c r="AJ26" s="57"/>
      <c r="AK26" s="57"/>
      <c r="AL26" s="57"/>
      <c r="AM26" s="108">
        <v>45457.666666666599</v>
      </c>
      <c r="AN26" s="104">
        <v>59.84</v>
      </c>
      <c r="AO26" s="108">
        <v>45443.666666666599</v>
      </c>
      <c r="AP26" s="104">
        <v>62.5</v>
      </c>
      <c r="AQ26" s="108">
        <v>45376.666666666599</v>
      </c>
      <c r="AR26" s="104">
        <v>64.55</v>
      </c>
      <c r="AS26" s="108">
        <v>45286.666666666599</v>
      </c>
      <c r="AT26" s="104">
        <v>61.44</v>
      </c>
      <c r="AU26" s="108">
        <v>45289.666666666599</v>
      </c>
      <c r="AV26" s="104">
        <v>59.71</v>
      </c>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1"/>
      <c r="BT26" s="121"/>
      <c r="BU26" s="121"/>
      <c r="BV26" s="121"/>
      <c r="BW26" s="121"/>
      <c r="BX26" s="121"/>
      <c r="BY26" s="121"/>
      <c r="BZ26" s="121"/>
      <c r="CA26" s="121"/>
    </row>
    <row r="27" spans="1:79" ht="38.4">
      <c r="A27" s="47">
        <f t="shared" ref="A27:A29" si="5">A25+1</f>
        <v>13</v>
      </c>
      <c r="B27" s="8" t="s">
        <v>125</v>
      </c>
      <c r="C27" s="105" t="str">
        <f ca="1">IFERROR(__xludf.DUMMYFUNCTION("GoogleFinance(B27,""name"")"),"BP plc")</f>
        <v>BP plc</v>
      </c>
      <c r="D27" s="106">
        <f ca="1">IFERROR(__xludf.DUMMYFUNCTION("GoogleFinance(B27,""marketcap"")/1000000"),78452.621786)</f>
        <v>78452.621786000003</v>
      </c>
      <c r="E27" s="107" t="s">
        <v>14</v>
      </c>
      <c r="F27" s="107" t="s">
        <v>126</v>
      </c>
      <c r="G27" s="51">
        <v>45203</v>
      </c>
      <c r="H27" s="57">
        <v>0.02</v>
      </c>
      <c r="I27" s="109">
        <f ca="1">N27/$M$56</f>
        <v>3.4803903177905784E-2</v>
      </c>
      <c r="J27" s="110">
        <f ca="1">IFERROR(__xludf.DUMMYFUNCTION("GOOGLEFINANCE(B27)"),35.51)</f>
        <v>35.51</v>
      </c>
      <c r="K27" s="111">
        <f>(36.4+35.23)/2</f>
        <v>35.814999999999998</v>
      </c>
      <c r="L27" s="112">
        <f>2000/K27-27+27 +56</f>
        <v>111.84252408208852</v>
      </c>
      <c r="M27" s="113">
        <f>L27*K27</f>
        <v>4005.64</v>
      </c>
      <c r="N27" s="114">
        <f ca="1">J27*L27</f>
        <v>3971.5280301549628</v>
      </c>
      <c r="O27" s="114">
        <f ca="1">N27-M27</f>
        <v>-34.111969845037038</v>
      </c>
      <c r="P27" s="57">
        <f ca="1">J27/K27-1</f>
        <v>-8.5159849225184825E-3</v>
      </c>
      <c r="Q27" s="115">
        <f ca="1">TODAY()-G27</f>
        <v>264</v>
      </c>
      <c r="R27" s="116">
        <v>33</v>
      </c>
      <c r="S27" s="57">
        <f ca="1">R27/J27-1</f>
        <v>-7.0684314277668192E-2</v>
      </c>
      <c r="T27" s="107">
        <v>45</v>
      </c>
      <c r="U27" s="57">
        <f ca="1">T27/J27-1</f>
        <v>0.26724866234863431</v>
      </c>
      <c r="V27" s="9">
        <f ca="1">IFERROR(__xludf.DUMMYFUNCTION("GoogleFinance(B27,""changepct"")/100"),0)</f>
        <v>0</v>
      </c>
      <c r="W27" s="57">
        <f ca="1">J27/AN28-1</f>
        <v>1.7770134709085728E-2</v>
      </c>
      <c r="X27" s="57">
        <f ca="1">J27/AP28-1</f>
        <v>-5.4830982166622411E-2</v>
      </c>
      <c r="Y27" s="57">
        <f ca="1">J27/AR28-1</f>
        <v>-7.1876633559853631E-2</v>
      </c>
      <c r="Z27" s="57">
        <f ca="1">J27/AT28-1</f>
        <v>-4.4855620970003507E-3</v>
      </c>
      <c r="AA27" s="57">
        <f ca="1">J27/AV28-1</f>
        <v>3.1073446327682941E-3</v>
      </c>
      <c r="AB27" s="60" t="s">
        <v>122</v>
      </c>
      <c r="AC27" s="61" t="s">
        <v>79</v>
      </c>
      <c r="AD27" s="85" t="s">
        <v>79</v>
      </c>
      <c r="AE27" s="118" t="s">
        <v>123</v>
      </c>
      <c r="AF27" s="118" t="s">
        <v>89</v>
      </c>
      <c r="AG27" s="118" t="s">
        <v>73</v>
      </c>
      <c r="AH27" s="154" t="s">
        <v>127</v>
      </c>
      <c r="AI27" s="154" t="s">
        <v>377</v>
      </c>
      <c r="AJ27" s="57"/>
      <c r="AK27" s="57"/>
      <c r="AL27" s="57"/>
      <c r="AM27" s="2" t="s">
        <v>375</v>
      </c>
      <c r="AN27" s="30" t="s">
        <v>376</v>
      </c>
      <c r="AO27" s="2" t="s">
        <v>375</v>
      </c>
      <c r="AP27" s="30" t="s">
        <v>376</v>
      </c>
      <c r="AQ27" s="2" t="s">
        <v>375</v>
      </c>
      <c r="AR27" s="30" t="s">
        <v>376</v>
      </c>
      <c r="AS27" s="2" t="s">
        <v>375</v>
      </c>
      <c r="AT27" s="30" t="s">
        <v>376</v>
      </c>
      <c r="AU27" s="2" t="s">
        <v>375</v>
      </c>
      <c r="AV27" s="30" t="s">
        <v>376</v>
      </c>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1"/>
      <c r="BT27" s="121"/>
      <c r="BU27" s="121"/>
      <c r="BV27" s="121"/>
      <c r="BW27" s="121"/>
      <c r="BX27" s="121"/>
      <c r="BY27" s="121"/>
      <c r="BZ27" s="121"/>
      <c r="CA27" s="121"/>
    </row>
    <row r="28" spans="1:79" ht="13.2" hidden="1">
      <c r="A28" s="47" t="e">
        <f t="shared" si="5"/>
        <v>#REF!</v>
      </c>
      <c r="B28" s="8"/>
      <c r="C28" s="105"/>
      <c r="D28" s="106"/>
      <c r="E28" s="107"/>
      <c r="F28" s="107"/>
      <c r="G28" s="51"/>
      <c r="H28" s="57"/>
      <c r="I28" s="155"/>
      <c r="J28" s="110"/>
      <c r="K28" s="111"/>
      <c r="L28" s="107"/>
      <c r="M28" s="107"/>
      <c r="N28" s="156"/>
      <c r="O28" s="157"/>
      <c r="P28" s="67"/>
      <c r="Q28" s="68"/>
      <c r="R28" s="9"/>
      <c r="S28" s="57"/>
      <c r="T28" s="57"/>
      <c r="U28" s="57"/>
      <c r="V28" s="9" t="e">
        <v>#N/A</v>
      </c>
      <c r="W28" s="57" t="e">
        <v>#REF!</v>
      </c>
      <c r="X28" s="57" t="e">
        <v>#REF!</v>
      </c>
      <c r="Y28" s="57" t="e">
        <v>#REF!</v>
      </c>
      <c r="Z28" s="57" t="e">
        <v>#REF!</v>
      </c>
      <c r="AA28" s="57" t="e">
        <v>#REF!</v>
      </c>
      <c r="AB28" s="158"/>
      <c r="AC28" s="159"/>
      <c r="AD28" s="159"/>
      <c r="AE28" s="159"/>
      <c r="AF28" s="159"/>
      <c r="AG28" s="159"/>
      <c r="AH28" s="154"/>
      <c r="AI28" s="154"/>
      <c r="AJ28" s="57"/>
      <c r="AK28" s="57"/>
      <c r="AL28" s="57"/>
      <c r="AM28" s="108">
        <v>45457.666666666599</v>
      </c>
      <c r="AN28" s="104">
        <v>34.89</v>
      </c>
      <c r="AO28" s="108">
        <v>45443.666666666599</v>
      </c>
      <c r="AP28" s="104">
        <v>37.57</v>
      </c>
      <c r="AQ28" s="108">
        <v>45376.666666666599</v>
      </c>
      <c r="AR28" s="104">
        <v>38.26</v>
      </c>
      <c r="AS28" s="108">
        <v>45286.666666666599</v>
      </c>
      <c r="AT28" s="104">
        <v>35.67</v>
      </c>
      <c r="AU28" s="108">
        <v>45289.666666666599</v>
      </c>
      <c r="AV28" s="104">
        <v>35.4</v>
      </c>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1"/>
      <c r="BT28" s="121"/>
      <c r="BU28" s="121"/>
      <c r="BV28" s="121"/>
      <c r="BW28" s="121"/>
      <c r="BX28" s="121"/>
      <c r="BY28" s="121"/>
      <c r="BZ28" s="121"/>
      <c r="CA28" s="121"/>
    </row>
    <row r="29" spans="1:79" ht="13.2">
      <c r="A29" s="47">
        <f t="shared" si="5"/>
        <v>14</v>
      </c>
      <c r="B29" s="8" t="s">
        <v>128</v>
      </c>
      <c r="C29" s="105" t="str">
        <f ca="1">IFERROR(__xludf.DUMMYFUNCTION("GoogleFinance(B29,""name"")"),"First Trust NASDAQ Oil &amp; Gas ETF")</f>
        <v>First Trust NASDAQ Oil &amp; Gas ETF</v>
      </c>
      <c r="D29" s="106" t="str">
        <f ca="1">IFERROR(__xludf.DUMMYFUNCTION("GoogleFinance(B29,""marketcap"")/1000000"),"#N/A")</f>
        <v>#N/A</v>
      </c>
      <c r="E29" s="107" t="s">
        <v>14</v>
      </c>
      <c r="F29" s="107" t="s">
        <v>126</v>
      </c>
      <c r="G29" s="108">
        <v>45254</v>
      </c>
      <c r="H29" s="57">
        <v>7.0000000000000007E-2</v>
      </c>
      <c r="I29" s="109">
        <f ca="1">N29/$M$56</f>
        <v>5.8731548068472604E-2</v>
      </c>
      <c r="J29" s="110">
        <f ca="1">IFERROR(__xludf.DUMMYFUNCTION("GOOGLEFINANCE(B29)"),30.3)</f>
        <v>30.3</v>
      </c>
      <c r="K29" s="111">
        <v>29.5</v>
      </c>
      <c r="L29" s="112">
        <f>8000/K29-50-100-50+150</f>
        <v>221.18644067796612</v>
      </c>
      <c r="M29" s="113">
        <f>L29*K29</f>
        <v>6525.0000000000009</v>
      </c>
      <c r="N29" s="114">
        <f ca="1">J29*L29</f>
        <v>6701.9491525423737</v>
      </c>
      <c r="O29" s="114">
        <f ca="1">N29-M29</f>
        <v>176.94915254237276</v>
      </c>
      <c r="P29" s="57">
        <f ca="1">J29/K29-1</f>
        <v>2.7118644067796627E-2</v>
      </c>
      <c r="Q29" s="115">
        <f ca="1">TODAY()-G29</f>
        <v>213</v>
      </c>
      <c r="R29" s="116">
        <v>26</v>
      </c>
      <c r="S29" s="57">
        <f ca="1">R29/J29-1</f>
        <v>-0.14191419141914197</v>
      </c>
      <c r="T29" s="107">
        <v>40</v>
      </c>
      <c r="U29" s="57">
        <f ca="1">T29/J29-1</f>
        <v>0.32013201320132012</v>
      </c>
      <c r="V29" s="9">
        <f ca="1">IFERROR(__xludf.DUMMYFUNCTION("GoogleFinance(B29,""changepct"")/100"),0)</f>
        <v>0</v>
      </c>
      <c r="W29" s="57">
        <f ca="1">J29/AN30-1</f>
        <v>1.7803157541148806E-2</v>
      </c>
      <c r="X29" s="57">
        <f ca="1">J29/AP30-1</f>
        <v>-3.4416826003824008E-2</v>
      </c>
      <c r="Y29" s="57">
        <f ca="1">J29/AR30-1</f>
        <v>-4.9560853199498101E-2</v>
      </c>
      <c r="Z29" s="57">
        <f ca="1">J29/AT30-1</f>
        <v>4.663212435233155E-2</v>
      </c>
      <c r="AA29" s="57">
        <f ca="1">J29/AV30-1</f>
        <v>7.067137809187285E-2</v>
      </c>
      <c r="AB29" s="60" t="s">
        <v>122</v>
      </c>
      <c r="AC29" s="85" t="s">
        <v>79</v>
      </c>
      <c r="AD29" s="85" t="s">
        <v>79</v>
      </c>
      <c r="AE29" s="118" t="s">
        <v>123</v>
      </c>
      <c r="AF29" s="118" t="s">
        <v>89</v>
      </c>
      <c r="AG29" s="118" t="s">
        <v>73</v>
      </c>
      <c r="AH29" s="154" t="s">
        <v>129</v>
      </c>
      <c r="AI29" s="154" t="s">
        <v>377</v>
      </c>
      <c r="AJ29" s="57"/>
      <c r="AK29" s="57"/>
      <c r="AL29" s="57"/>
      <c r="AM29" s="2" t="s">
        <v>375</v>
      </c>
      <c r="AN29" s="30" t="s">
        <v>376</v>
      </c>
      <c r="AO29" s="2" t="s">
        <v>375</v>
      </c>
      <c r="AP29" s="104" t="s">
        <v>376</v>
      </c>
      <c r="AQ29" s="57" t="s">
        <v>375</v>
      </c>
      <c r="AR29" s="104" t="s">
        <v>376</v>
      </c>
      <c r="AS29" s="57" t="s">
        <v>375</v>
      </c>
      <c r="AT29" s="104" t="s">
        <v>376</v>
      </c>
      <c r="AU29" s="57" t="s">
        <v>375</v>
      </c>
      <c r="AV29" s="104" t="s">
        <v>376</v>
      </c>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1"/>
      <c r="BT29" s="121"/>
      <c r="BU29" s="121"/>
      <c r="BV29" s="121"/>
      <c r="BW29" s="121"/>
      <c r="BX29" s="121"/>
      <c r="BY29" s="121"/>
      <c r="BZ29" s="121"/>
      <c r="CA29" s="121"/>
    </row>
    <row r="30" spans="1:79" ht="13.2" hidden="1">
      <c r="A30" s="160" t="e">
        <f>#REF!+1</f>
        <v>#REF!</v>
      </c>
      <c r="B30" s="90"/>
      <c r="C30" s="93"/>
      <c r="D30" s="93"/>
      <c r="E30" s="90"/>
      <c r="F30" s="90"/>
      <c r="G30" s="147"/>
      <c r="H30" s="89"/>
      <c r="I30" s="95"/>
      <c r="J30" s="90"/>
      <c r="K30" s="96"/>
      <c r="L30" s="90"/>
      <c r="M30" s="90"/>
      <c r="N30" s="90"/>
      <c r="O30" s="148"/>
      <c r="P30" s="89"/>
      <c r="Q30" s="97"/>
      <c r="R30" s="89"/>
      <c r="S30" s="89"/>
      <c r="T30" s="89"/>
      <c r="U30" s="97"/>
      <c r="V30" s="24" t="e">
        <v>#N/A</v>
      </c>
      <c r="W30" s="24" t="e">
        <v>#REF!</v>
      </c>
      <c r="X30" s="24" t="e">
        <v>#REF!</v>
      </c>
      <c r="Y30" s="24" t="e">
        <v>#REF!</v>
      </c>
      <c r="Z30" s="24" t="e">
        <v>#REF!</v>
      </c>
      <c r="AA30" s="98" t="e">
        <v>#REF!</v>
      </c>
      <c r="AB30" s="89"/>
      <c r="AC30" s="89"/>
      <c r="AD30" s="89"/>
      <c r="AE30" s="89"/>
      <c r="AF30" s="89"/>
      <c r="AG30" s="89"/>
      <c r="AH30" s="89"/>
      <c r="AI30" s="89"/>
      <c r="AJ30" s="89"/>
      <c r="AK30" s="89"/>
      <c r="AL30" s="89"/>
      <c r="AM30" s="99">
        <v>45457.666666666599</v>
      </c>
      <c r="AN30" s="100">
        <v>29.77</v>
      </c>
      <c r="AO30" s="99">
        <v>45443.666666666599</v>
      </c>
      <c r="AP30" s="100">
        <v>31.38</v>
      </c>
      <c r="AQ30" s="99">
        <v>45376.666666666599</v>
      </c>
      <c r="AR30" s="100">
        <v>31.88</v>
      </c>
      <c r="AS30" s="99">
        <v>45286.666666666599</v>
      </c>
      <c r="AT30" s="100">
        <v>28.95</v>
      </c>
      <c r="AU30" s="99">
        <v>45289.666666666599</v>
      </c>
      <c r="AV30" s="100">
        <v>28.3</v>
      </c>
      <c r="AW30" s="90"/>
      <c r="AX30" s="90"/>
      <c r="AY30" s="90"/>
      <c r="AZ30" s="90"/>
      <c r="BA30" s="90"/>
      <c r="BB30" s="90"/>
      <c r="BC30" s="90"/>
      <c r="BD30" s="90"/>
      <c r="BE30" s="90"/>
      <c r="BF30" s="90"/>
      <c r="BG30" s="90"/>
      <c r="BH30" s="90"/>
      <c r="BI30" s="90"/>
      <c r="BJ30" s="90"/>
      <c r="BK30" s="90"/>
      <c r="BL30" s="90"/>
      <c r="BM30" s="90"/>
      <c r="BN30" s="90"/>
      <c r="BO30" s="90"/>
      <c r="BP30" s="90"/>
      <c r="BQ30" s="90"/>
      <c r="BR30" s="90"/>
      <c r="BS30" s="92"/>
      <c r="BT30" s="92"/>
      <c r="BU30" s="92"/>
      <c r="BV30" s="92"/>
      <c r="BW30" s="92"/>
      <c r="BX30" s="92"/>
      <c r="BY30" s="92"/>
      <c r="BZ30" s="92"/>
      <c r="CA30" s="92"/>
    </row>
    <row r="31" spans="1:79" ht="19.2">
      <c r="A31" s="161">
        <f t="shared" ref="A31:A32" si="6">A29+1</f>
        <v>15</v>
      </c>
      <c r="B31" s="23" t="s">
        <v>130</v>
      </c>
      <c r="C31" s="162" t="str">
        <f ca="1">IFERROR(__xludf.DUMMYFUNCTION("GoogleFinance(B31,""name"")"),"First Trust Natural Gas ETF")</f>
        <v>First Trust Natural Gas ETF</v>
      </c>
      <c r="D31" s="163" t="str">
        <f ca="1">IFERROR(__xludf.DUMMYFUNCTION("GoogleFinance(B31,""marketcap"")/1000000"),"#N/A")</f>
        <v>#N/A</v>
      </c>
      <c r="E31" s="26" t="s">
        <v>14</v>
      </c>
      <c r="F31" s="26" t="s">
        <v>131</v>
      </c>
      <c r="G31" s="99">
        <v>45414</v>
      </c>
      <c r="H31" s="24">
        <v>0.03</v>
      </c>
      <c r="I31" s="98">
        <f ca="1">N31/$M$56</f>
        <v>3.4004694690554879E-2</v>
      </c>
      <c r="J31" s="161">
        <f ca="1">IFERROR(__xludf.DUMMYFUNCTION("GOOGLEFINANCE(B31)"),25.94)</f>
        <v>25.94</v>
      </c>
      <c r="K31" s="164">
        <v>26.74</v>
      </c>
      <c r="L31" s="165">
        <f>4000/K31</f>
        <v>149.58863126402395</v>
      </c>
      <c r="M31" s="166">
        <f>L31*K31</f>
        <v>4000</v>
      </c>
      <c r="N31" s="166">
        <f ca="1">J31*L31</f>
        <v>3880.3290949887814</v>
      </c>
      <c r="O31" s="167">
        <f ca="1">N31-M31</f>
        <v>-119.67090501121857</v>
      </c>
      <c r="P31" s="168">
        <f ca="1">J31/K31-1</f>
        <v>-2.9917726252804644E-2</v>
      </c>
      <c r="Q31" s="115">
        <f ca="1">TODAY()-G31</f>
        <v>53</v>
      </c>
      <c r="R31" s="116"/>
      <c r="S31" s="169">
        <f ca="1">R31/J31-1</f>
        <v>-1</v>
      </c>
      <c r="T31" s="107">
        <v>32</v>
      </c>
      <c r="U31" s="170">
        <f ca="1">T31/J31-1</f>
        <v>0.23361603700848099</v>
      </c>
      <c r="V31" s="168">
        <f ca="1">IFERROR(__xludf.DUMMYFUNCTION("GoogleFinance(B31,""changepct"")/100"),-0.0084)</f>
        <v>-8.3999999999999995E-3</v>
      </c>
      <c r="W31" s="103">
        <f ca="1">J31/AN32-1</f>
        <v>5.8162078324932587E-3</v>
      </c>
      <c r="X31" s="103">
        <f ca="1">J31/AP32-1</f>
        <v>-6.1165399927614827E-2</v>
      </c>
      <c r="Y31" s="168">
        <f ca="1">J31/AR32-1</f>
        <v>-3.4251675353685673E-2</v>
      </c>
      <c r="Z31" s="168">
        <f ca="1">J31/AT32-1</f>
        <v>3.9679358717434887E-2</v>
      </c>
      <c r="AA31" s="102">
        <f ca="1">J31/AV32-1</f>
        <v>6.792918896665312E-2</v>
      </c>
      <c r="AB31" s="60" t="s">
        <v>122</v>
      </c>
      <c r="AC31" s="171" t="s">
        <v>79</v>
      </c>
      <c r="AD31" s="85" t="s">
        <v>79</v>
      </c>
      <c r="AE31" s="172" t="s">
        <v>123</v>
      </c>
      <c r="AF31" s="172" t="s">
        <v>89</v>
      </c>
      <c r="AG31" s="88" t="s">
        <v>73</v>
      </c>
      <c r="AH31" s="154" t="s">
        <v>132</v>
      </c>
      <c r="AI31" s="154" t="s">
        <v>377</v>
      </c>
      <c r="AJ31" s="89"/>
      <c r="AK31" s="89"/>
      <c r="AL31" s="89"/>
      <c r="AM31" s="2" t="s">
        <v>375</v>
      </c>
      <c r="AN31" s="30" t="s">
        <v>376</v>
      </c>
      <c r="AO31" s="2" t="s">
        <v>375</v>
      </c>
      <c r="AP31" s="30" t="s">
        <v>376</v>
      </c>
      <c r="AQ31" s="24" t="s">
        <v>375</v>
      </c>
      <c r="AR31" s="30" t="s">
        <v>376</v>
      </c>
      <c r="AS31" s="24" t="s">
        <v>375</v>
      </c>
      <c r="AT31" s="30" t="s">
        <v>376</v>
      </c>
      <c r="AU31" s="24" t="s">
        <v>375</v>
      </c>
      <c r="AV31" s="30" t="s">
        <v>376</v>
      </c>
      <c r="AW31" s="90"/>
      <c r="AX31" s="90"/>
      <c r="AY31" s="90"/>
      <c r="AZ31" s="90"/>
      <c r="BA31" s="90"/>
      <c r="BB31" s="90"/>
      <c r="BC31" s="90"/>
      <c r="BD31" s="90"/>
      <c r="BE31" s="90"/>
      <c r="BF31" s="90"/>
      <c r="BG31" s="90"/>
      <c r="BH31" s="90"/>
      <c r="BI31" s="90"/>
      <c r="BJ31" s="90"/>
      <c r="BK31" s="90"/>
      <c r="BL31" s="90"/>
      <c r="BM31" s="90"/>
      <c r="BN31" s="90"/>
      <c r="BO31" s="90"/>
      <c r="BP31" s="90"/>
      <c r="BQ31" s="90"/>
      <c r="BR31" s="90"/>
      <c r="BS31" s="92"/>
      <c r="BT31" s="92"/>
      <c r="BU31" s="92"/>
      <c r="BV31" s="92"/>
      <c r="BW31" s="92"/>
      <c r="BX31" s="92"/>
      <c r="BY31" s="92"/>
      <c r="BZ31" s="92"/>
      <c r="CA31" s="92"/>
    </row>
    <row r="32" spans="1:79" ht="13.2" hidden="1">
      <c r="A32" s="173" t="e">
        <f t="shared" si="6"/>
        <v>#REF!</v>
      </c>
      <c r="B32" s="90"/>
      <c r="C32" s="93"/>
      <c r="D32" s="93"/>
      <c r="E32" s="90"/>
      <c r="F32" s="90"/>
      <c r="G32" s="147"/>
      <c r="H32" s="89"/>
      <c r="I32" s="95"/>
      <c r="J32" s="90"/>
      <c r="K32" s="96"/>
      <c r="L32" s="90"/>
      <c r="M32" s="90"/>
      <c r="N32" s="90"/>
      <c r="O32" s="148"/>
      <c r="P32" s="89"/>
      <c r="Q32" s="97"/>
      <c r="R32" s="89"/>
      <c r="S32" s="89"/>
      <c r="T32" s="89"/>
      <c r="U32" s="97"/>
      <c r="V32" s="149" t="e">
        <v>#N/A</v>
      </c>
      <c r="W32" s="149" t="e">
        <v>#REF!</v>
      </c>
      <c r="X32" s="149" t="e">
        <v>#REF!</v>
      </c>
      <c r="Y32" s="149" t="e">
        <v>#REF!</v>
      </c>
      <c r="Z32" s="149" t="e">
        <v>#REF!</v>
      </c>
      <c r="AA32" s="150" t="e">
        <v>#REF!</v>
      </c>
      <c r="AB32" s="89"/>
      <c r="AC32" s="89"/>
      <c r="AD32" s="89"/>
      <c r="AE32" s="89"/>
      <c r="AF32" s="89"/>
      <c r="AG32" s="89"/>
      <c r="AH32" s="89"/>
      <c r="AI32" s="89"/>
      <c r="AJ32" s="89"/>
      <c r="AK32" s="89"/>
      <c r="AL32" s="89"/>
      <c r="AM32" s="99">
        <v>45457.666666666599</v>
      </c>
      <c r="AN32" s="100">
        <v>25.79</v>
      </c>
      <c r="AO32" s="151">
        <v>45443.666666666599</v>
      </c>
      <c r="AP32" s="152">
        <v>27.63</v>
      </c>
      <c r="AQ32" s="151">
        <v>45376.666666666599</v>
      </c>
      <c r="AR32" s="152">
        <v>26.86</v>
      </c>
      <c r="AS32" s="151">
        <v>45286.666666666599</v>
      </c>
      <c r="AT32" s="152">
        <v>24.95</v>
      </c>
      <c r="AU32" s="151">
        <v>45289.666666666599</v>
      </c>
      <c r="AV32" s="152">
        <v>24.29</v>
      </c>
      <c r="AW32" s="90"/>
      <c r="AX32" s="90"/>
      <c r="AY32" s="90"/>
      <c r="AZ32" s="90"/>
      <c r="BA32" s="90"/>
      <c r="BB32" s="90"/>
      <c r="BC32" s="90"/>
      <c r="BD32" s="90"/>
      <c r="BE32" s="90"/>
      <c r="BF32" s="90"/>
      <c r="BG32" s="90"/>
      <c r="BH32" s="90"/>
      <c r="BI32" s="90"/>
      <c r="BJ32" s="90"/>
      <c r="BK32" s="90"/>
      <c r="BL32" s="90"/>
      <c r="BM32" s="90"/>
      <c r="BN32" s="90"/>
      <c r="BO32" s="90"/>
      <c r="BP32" s="90"/>
      <c r="BQ32" s="90"/>
      <c r="BR32" s="90"/>
      <c r="BS32" s="92"/>
      <c r="BT32" s="92"/>
      <c r="BU32" s="92"/>
      <c r="BV32" s="92"/>
      <c r="BW32" s="92"/>
      <c r="BX32" s="92"/>
      <c r="BY32" s="92"/>
      <c r="BZ32" s="92"/>
      <c r="CA32" s="92"/>
    </row>
    <row r="33" spans="1:79" ht="38.4">
      <c r="A33" s="47">
        <f>A29+1</f>
        <v>15</v>
      </c>
      <c r="B33" s="8" t="s">
        <v>133</v>
      </c>
      <c r="C33" s="105" t="str">
        <f ca="1">IFERROR(__xludf.DUMMYFUNCTION("GoogleFinance(B33,""name"")"),"Lithium Americas (Argentina) Corp")</f>
        <v>Lithium Americas (Argentina) Corp</v>
      </c>
      <c r="D33" s="106">
        <f ca="1">IFERROR(__xludf.DUMMYFUNCTION("GoogleFinance(B33,""marketcap"")/1000000"),561.020895)</f>
        <v>561.020895</v>
      </c>
      <c r="E33" s="107" t="s">
        <v>11</v>
      </c>
      <c r="F33" s="107" t="s">
        <v>22</v>
      </c>
      <c r="G33" s="51">
        <v>45372</v>
      </c>
      <c r="H33" s="57">
        <v>0.02</v>
      </c>
      <c r="I33" s="109">
        <f ca="1">N33/$M$56</f>
        <v>5.7491883731544758E-3</v>
      </c>
      <c r="J33" s="110">
        <f ca="1">IFERROR(__xludf.DUMMYFUNCTION("GOOGLEFINANCE(B33)"),3.48)</f>
        <v>3.48</v>
      </c>
      <c r="K33" s="111">
        <v>5.15</v>
      </c>
      <c r="L33" s="112">
        <f>190.5+1000/5.05-200</f>
        <v>188.51980198019805</v>
      </c>
      <c r="M33" s="113">
        <f>L33*K33</f>
        <v>970.87698019802008</v>
      </c>
      <c r="N33" s="114">
        <f ca="1">J33*L33</f>
        <v>656.04891089108924</v>
      </c>
      <c r="O33" s="114">
        <f ca="1">N33-M33</f>
        <v>-314.82806930693084</v>
      </c>
      <c r="P33" s="57">
        <f ca="1">J33/K33-1</f>
        <v>-0.32427184466019421</v>
      </c>
      <c r="Q33" s="115">
        <f ca="1">TODAY()-G33</f>
        <v>95</v>
      </c>
      <c r="R33" s="116"/>
      <c r="S33" s="57">
        <f ca="1">R33/J33-1</f>
        <v>-1</v>
      </c>
      <c r="T33" s="107">
        <v>9.3000000000000007</v>
      </c>
      <c r="U33" s="57">
        <f ca="1">T33/J33-1</f>
        <v>1.6724137931034484</v>
      </c>
      <c r="V33" s="9">
        <f ca="1">IFERROR(__xludf.DUMMYFUNCTION("GoogleFinance(B33,""changepct"")/100"),0)</f>
        <v>0</v>
      </c>
      <c r="W33" s="57">
        <f ca="1">J33/AN34-1</f>
        <v>-8.1794195250659674E-2</v>
      </c>
      <c r="X33" s="57">
        <f ca="1">J33/AP34-1</f>
        <v>-0.23348017621145378</v>
      </c>
      <c r="Y33" s="57">
        <f ca="1">J33/AR34-1</f>
        <v>-0.30260521042084176</v>
      </c>
      <c r="Z33" s="57">
        <f ca="1">J33/AT34-1</f>
        <v>-0.45625000000000004</v>
      </c>
      <c r="AA33" s="57">
        <f ca="1">J33/AV34-1</f>
        <v>-0.449367088607595</v>
      </c>
      <c r="AB33" s="117" t="s">
        <v>88</v>
      </c>
      <c r="AC33" s="85" t="s">
        <v>69</v>
      </c>
      <c r="AD33" s="85" t="s">
        <v>69</v>
      </c>
      <c r="AE33" s="118" t="s">
        <v>123</v>
      </c>
      <c r="AF33" s="118" t="s">
        <v>89</v>
      </c>
      <c r="AG33" s="118" t="s">
        <v>73</v>
      </c>
      <c r="AH33" s="119" t="s">
        <v>134</v>
      </c>
      <c r="AI33" s="119" t="s">
        <v>135</v>
      </c>
      <c r="AJ33" s="57"/>
      <c r="AK33" s="57"/>
      <c r="AL33" s="57"/>
      <c r="AM33" s="2" t="s">
        <v>375</v>
      </c>
      <c r="AN33" s="30" t="s">
        <v>376</v>
      </c>
      <c r="AO33" s="2" t="s">
        <v>375</v>
      </c>
      <c r="AP33" s="30" t="s">
        <v>376</v>
      </c>
      <c r="AQ33" s="2" t="s">
        <v>375</v>
      </c>
      <c r="AR33" s="30" t="s">
        <v>376</v>
      </c>
      <c r="AS33" s="2" t="s">
        <v>375</v>
      </c>
      <c r="AT33" s="30" t="s">
        <v>376</v>
      </c>
      <c r="AU33" s="2" t="s">
        <v>375</v>
      </c>
      <c r="AV33" s="30" t="s">
        <v>376</v>
      </c>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1"/>
      <c r="BT33" s="121"/>
      <c r="BU33" s="121"/>
      <c r="BV33" s="121"/>
      <c r="BW33" s="121"/>
      <c r="BX33" s="121"/>
      <c r="BY33" s="121"/>
      <c r="BZ33" s="121"/>
      <c r="CA33" s="121"/>
    </row>
    <row r="34" spans="1:79" ht="13.2" hidden="1">
      <c r="A34" s="47" t="e">
        <f>#REF!+1</f>
        <v>#REF!</v>
      </c>
      <c r="B34" s="90"/>
      <c r="C34" s="93"/>
      <c r="D34" s="93"/>
      <c r="E34" s="90"/>
      <c r="F34" s="90"/>
      <c r="G34" s="147"/>
      <c r="H34" s="89"/>
      <c r="I34" s="95"/>
      <c r="J34" s="90"/>
      <c r="K34" s="96"/>
      <c r="L34" s="90"/>
      <c r="M34" s="90"/>
      <c r="N34" s="90"/>
      <c r="O34" s="148"/>
      <c r="P34" s="89"/>
      <c r="Q34" s="97"/>
      <c r="R34" s="89"/>
      <c r="S34" s="89"/>
      <c r="T34" s="89"/>
      <c r="U34" s="97"/>
      <c r="V34" s="24" t="e">
        <v>#N/A</v>
      </c>
      <c r="W34" s="24" t="e">
        <v>#REF!</v>
      </c>
      <c r="X34" s="24" t="e">
        <v>#REF!</v>
      </c>
      <c r="Y34" s="24" t="e">
        <v>#REF!</v>
      </c>
      <c r="Z34" s="24" t="e">
        <v>#REF!</v>
      </c>
      <c r="AA34" s="98" t="e">
        <v>#REF!</v>
      </c>
      <c r="AB34" s="89"/>
      <c r="AC34" s="89"/>
      <c r="AD34" s="89"/>
      <c r="AE34" s="89"/>
      <c r="AF34" s="89"/>
      <c r="AG34" s="89"/>
      <c r="AH34" s="119"/>
      <c r="AI34" s="119"/>
      <c r="AJ34" s="89"/>
      <c r="AK34" s="89"/>
      <c r="AL34" s="89"/>
      <c r="AM34" s="99">
        <v>45457.666666666599</v>
      </c>
      <c r="AN34" s="100">
        <v>3.79</v>
      </c>
      <c r="AO34" s="99">
        <v>45443.666666666599</v>
      </c>
      <c r="AP34" s="100">
        <v>4.54</v>
      </c>
      <c r="AQ34" s="99">
        <v>45376.666666666599</v>
      </c>
      <c r="AR34" s="100">
        <v>4.99</v>
      </c>
      <c r="AS34" s="99">
        <v>45286.666666666599</v>
      </c>
      <c r="AT34" s="100">
        <v>6.4</v>
      </c>
      <c r="AU34" s="99">
        <v>45289.666666666599</v>
      </c>
      <c r="AV34" s="100">
        <v>6.32</v>
      </c>
      <c r="AW34" s="90"/>
      <c r="AX34" s="90"/>
      <c r="AY34" s="90"/>
      <c r="AZ34" s="90"/>
      <c r="BA34" s="90"/>
      <c r="BB34" s="90"/>
      <c r="BC34" s="90"/>
      <c r="BD34" s="90"/>
      <c r="BE34" s="90"/>
      <c r="BF34" s="90"/>
      <c r="BG34" s="90"/>
      <c r="BH34" s="90"/>
      <c r="BI34" s="90"/>
      <c r="BJ34" s="90"/>
      <c r="BK34" s="90"/>
      <c r="BL34" s="90"/>
      <c r="BM34" s="90"/>
      <c r="BN34" s="90"/>
      <c r="BO34" s="90"/>
      <c r="BP34" s="90"/>
      <c r="BQ34" s="90"/>
      <c r="BR34" s="90"/>
      <c r="BS34" s="92"/>
      <c r="BT34" s="92"/>
      <c r="BU34" s="92"/>
      <c r="BV34" s="92"/>
      <c r="BW34" s="92"/>
      <c r="BX34" s="92"/>
      <c r="BY34" s="92"/>
      <c r="BZ34" s="92"/>
      <c r="CA34" s="92"/>
    </row>
    <row r="35" spans="1:79" ht="38.4">
      <c r="A35" s="47">
        <f t="shared" ref="A35:A45" si="7">A33+1</f>
        <v>16</v>
      </c>
      <c r="B35" s="8" t="s">
        <v>136</v>
      </c>
      <c r="C35" s="105" t="str">
        <f ca="1">IFERROR(__xludf.DUMMYFUNCTION("GoogleFinance(B35,""name"")"),"Albemarle Corporation")</f>
        <v>Albemarle Corporation</v>
      </c>
      <c r="D35" s="106">
        <f ca="1">IFERROR(__xludf.DUMMYFUNCTION("GoogleFinance(B35,""marketcap"")/1000000"),11125.144114)</f>
        <v>11125.144114000001</v>
      </c>
      <c r="E35" s="107" t="s">
        <v>11</v>
      </c>
      <c r="F35" s="107" t="s">
        <v>22</v>
      </c>
      <c r="G35" s="51">
        <v>45379</v>
      </c>
      <c r="H35" s="57">
        <v>0.02</v>
      </c>
      <c r="I35" s="109">
        <f ca="1">N35/$M$56</f>
        <v>6.0090997389684146E-3</v>
      </c>
      <c r="J35" s="110">
        <f ca="1">IFERROR(__xludf.DUMMYFUNCTION("GOOGLEFINANCE(B35)"),94.66)</f>
        <v>94.66</v>
      </c>
      <c r="K35" s="111">
        <v>131.19999999999999</v>
      </c>
      <c r="L35" s="112">
        <f>2000/K35-8</f>
        <v>7.2439024390243922</v>
      </c>
      <c r="M35" s="113">
        <v>2000</v>
      </c>
      <c r="N35" s="114">
        <f ca="1">J35*L35</f>
        <v>685.70780487804893</v>
      </c>
      <c r="O35" s="114">
        <f ca="1">N35-M35</f>
        <v>-1314.292195121951</v>
      </c>
      <c r="P35" s="57">
        <f ca="1">J35/K35-1</f>
        <v>-0.27850609756097555</v>
      </c>
      <c r="Q35" s="115">
        <f ca="1">TODAY()-G35</f>
        <v>88</v>
      </c>
      <c r="R35" s="116"/>
      <c r="S35" s="57">
        <f ca="1">R35/J35-1</f>
        <v>-1</v>
      </c>
      <c r="T35" s="107">
        <v>190</v>
      </c>
      <c r="U35" s="57">
        <f ca="1">T35/J35-1</f>
        <v>1.0071836044791889</v>
      </c>
      <c r="V35" s="9">
        <f ca="1">IFERROR(__xludf.DUMMYFUNCTION("GoogleFinance(B35,""changepct"")/100"),0)</f>
        <v>0</v>
      </c>
      <c r="W35" s="57">
        <f ca="1">J35/AN36-1</f>
        <v>-8.5498985605255595E-2</v>
      </c>
      <c r="X35" s="57">
        <f ca="1">J35/AP36-1</f>
        <v>-0.22783261277428835</v>
      </c>
      <c r="Y35" s="57">
        <f ca="1">J35/AR36-1</f>
        <v>-0.20016899028305868</v>
      </c>
      <c r="Z35" s="57">
        <f ca="1">J35/AT36-1</f>
        <v>-0.37883063193122901</v>
      </c>
      <c r="AA35" s="57">
        <f ca="1">J35/AV36-1</f>
        <v>-0.34482281284606864</v>
      </c>
      <c r="AB35" s="117" t="s">
        <v>88</v>
      </c>
      <c r="AC35" s="85" t="s">
        <v>69</v>
      </c>
      <c r="AD35" s="85" t="s">
        <v>69</v>
      </c>
      <c r="AE35" s="118" t="s">
        <v>123</v>
      </c>
      <c r="AF35" s="118" t="s">
        <v>89</v>
      </c>
      <c r="AG35" s="118" t="s">
        <v>73</v>
      </c>
      <c r="AH35" s="119" t="s">
        <v>137</v>
      </c>
      <c r="AI35" s="119" t="s">
        <v>135</v>
      </c>
      <c r="AJ35" s="57"/>
      <c r="AK35" s="57"/>
      <c r="AL35" s="57"/>
      <c r="AM35" s="2" t="s">
        <v>375</v>
      </c>
      <c r="AN35" s="30" t="s">
        <v>376</v>
      </c>
      <c r="AO35" s="2" t="s">
        <v>375</v>
      </c>
      <c r="AP35" s="30" t="s">
        <v>376</v>
      </c>
      <c r="AQ35" s="2" t="s">
        <v>375</v>
      </c>
      <c r="AR35" s="30" t="s">
        <v>376</v>
      </c>
      <c r="AS35" s="2" t="s">
        <v>375</v>
      </c>
      <c r="AT35" s="30" t="s">
        <v>376</v>
      </c>
      <c r="AU35" s="2" t="s">
        <v>375</v>
      </c>
      <c r="AV35" s="30" t="s">
        <v>376</v>
      </c>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1"/>
      <c r="BT35" s="121"/>
      <c r="BU35" s="121"/>
      <c r="BV35" s="121"/>
      <c r="BW35" s="121"/>
      <c r="BX35" s="121"/>
      <c r="BY35" s="121"/>
      <c r="BZ35" s="121"/>
      <c r="CA35" s="121"/>
    </row>
    <row r="36" spans="1:79" ht="13.2" hidden="1">
      <c r="A36" s="47" t="e">
        <f t="shared" si="7"/>
        <v>#REF!</v>
      </c>
      <c r="B36" s="90"/>
      <c r="C36" s="93"/>
      <c r="D36" s="93"/>
      <c r="E36" s="90"/>
      <c r="F36" s="90"/>
      <c r="G36" s="147"/>
      <c r="H36" s="89"/>
      <c r="I36" s="95"/>
      <c r="J36" s="90"/>
      <c r="K36" s="96"/>
      <c r="L36" s="90"/>
      <c r="M36" s="90"/>
      <c r="N36" s="90"/>
      <c r="O36" s="148"/>
      <c r="P36" s="89"/>
      <c r="Q36" s="97"/>
      <c r="R36" s="89"/>
      <c r="S36" s="89"/>
      <c r="T36" s="89"/>
      <c r="U36" s="97"/>
      <c r="V36" s="24" t="e">
        <v>#N/A</v>
      </c>
      <c r="W36" s="24" t="e">
        <v>#REF!</v>
      </c>
      <c r="X36" s="24" t="e">
        <v>#REF!</v>
      </c>
      <c r="Y36" s="24" t="e">
        <v>#REF!</v>
      </c>
      <c r="Z36" s="24" t="e">
        <v>#REF!</v>
      </c>
      <c r="AA36" s="98" t="e">
        <v>#REF!</v>
      </c>
      <c r="AB36" s="89"/>
      <c r="AC36" s="89"/>
      <c r="AD36" s="89"/>
      <c r="AE36" s="89"/>
      <c r="AF36" s="89"/>
      <c r="AG36" s="89"/>
      <c r="AH36" s="89"/>
      <c r="AI36" s="89"/>
      <c r="AJ36" s="89"/>
      <c r="AK36" s="89"/>
      <c r="AL36" s="89"/>
      <c r="AM36" s="99">
        <v>45457.666666666599</v>
      </c>
      <c r="AN36" s="100">
        <v>103.51</v>
      </c>
      <c r="AO36" s="99">
        <v>45443.666666666599</v>
      </c>
      <c r="AP36" s="100">
        <v>122.59</v>
      </c>
      <c r="AQ36" s="99">
        <v>45376.666666666599</v>
      </c>
      <c r="AR36" s="100">
        <v>118.35</v>
      </c>
      <c r="AS36" s="99">
        <v>45286.666666666599</v>
      </c>
      <c r="AT36" s="100">
        <v>152.38999999999999</v>
      </c>
      <c r="AU36" s="99">
        <v>45289.666666666599</v>
      </c>
      <c r="AV36" s="100">
        <v>144.47999999999999</v>
      </c>
      <c r="AW36" s="90"/>
      <c r="AX36" s="90"/>
      <c r="AY36" s="90"/>
      <c r="AZ36" s="90"/>
      <c r="BA36" s="90"/>
      <c r="BB36" s="90"/>
      <c r="BC36" s="90"/>
      <c r="BD36" s="90"/>
      <c r="BE36" s="90"/>
      <c r="BF36" s="90"/>
      <c r="BG36" s="90"/>
      <c r="BH36" s="90"/>
      <c r="BI36" s="90"/>
      <c r="BJ36" s="90"/>
      <c r="BK36" s="90"/>
      <c r="BL36" s="90"/>
      <c r="BM36" s="90"/>
      <c r="BN36" s="90"/>
      <c r="BO36" s="90"/>
      <c r="BP36" s="90"/>
      <c r="BQ36" s="90"/>
      <c r="BR36" s="90"/>
      <c r="BS36" s="92"/>
      <c r="BT36" s="92"/>
      <c r="BU36" s="92"/>
      <c r="BV36" s="92"/>
      <c r="BW36" s="92"/>
      <c r="BX36" s="92"/>
      <c r="BY36" s="92"/>
      <c r="BZ36" s="92"/>
      <c r="CA36" s="92"/>
    </row>
    <row r="37" spans="1:79" ht="28.8">
      <c r="A37" s="47">
        <f t="shared" si="7"/>
        <v>17</v>
      </c>
      <c r="B37" s="8" t="s">
        <v>138</v>
      </c>
      <c r="C37" s="105" t="str">
        <f ca="1">IFERROR(__xludf.DUMMYFUNCTION("GoogleFinance(B37,""name"")"),"Itau Unibanco Holding SA ADR")</f>
        <v>Itau Unibanco Holding SA ADR</v>
      </c>
      <c r="D37" s="106">
        <f ca="1">IFERROR(__xludf.DUMMYFUNCTION("GoogleFinance(B37,""marketcap"")/1000000"),292146.845829)</f>
        <v>292146.845829</v>
      </c>
      <c r="E37" s="107" t="s">
        <v>13</v>
      </c>
      <c r="F37" s="107" t="s">
        <v>139</v>
      </c>
      <c r="G37" s="51">
        <v>45427</v>
      </c>
      <c r="H37" s="57">
        <v>0.02</v>
      </c>
      <c r="I37" s="109">
        <f ca="1">N37/$M$56</f>
        <v>1.2071552896258476E-2</v>
      </c>
      <c r="J37" s="110">
        <f ca="1">IFERROR(__xludf.DUMMYFUNCTION("GOOGLEFINANCE(B37)"),5.96)</f>
        <v>5.96</v>
      </c>
      <c r="K37" s="111">
        <v>6.49</v>
      </c>
      <c r="L37" s="112">
        <f>1500/K37</f>
        <v>231.12480739599383</v>
      </c>
      <c r="M37" s="113">
        <v>1500</v>
      </c>
      <c r="N37" s="114">
        <f ca="1">J37*L37</f>
        <v>1377.5038520801231</v>
      </c>
      <c r="O37" s="114">
        <f ca="1">N37-M37</f>
        <v>-122.49614791987688</v>
      </c>
      <c r="P37" s="57">
        <f ca="1">J37/K37-1</f>
        <v>-8.166409861325119E-2</v>
      </c>
      <c r="Q37" s="115">
        <f ca="1">TODAY()-G37</f>
        <v>40</v>
      </c>
      <c r="R37" s="116"/>
      <c r="S37" s="57">
        <f ca="1">R37/J37-1</f>
        <v>-1</v>
      </c>
      <c r="T37" s="107">
        <v>8.1999999999999993</v>
      </c>
      <c r="U37" s="57">
        <f ca="1">T37/J37-1</f>
        <v>0.37583892617449655</v>
      </c>
      <c r="V37" s="9">
        <f ca="1">IFERROR(__xludf.DUMMYFUNCTION("GoogleFinance(B37,""changepct"")/100"),0.0081)</f>
        <v>8.0999999999999996E-3</v>
      </c>
      <c r="W37" s="57">
        <f ca="1">J37/AN38-1</f>
        <v>2.7586206896551779E-2</v>
      </c>
      <c r="X37" s="57">
        <f ca="1">J37/AP38-1</f>
        <v>-5.008347245409106E-3</v>
      </c>
      <c r="Y37" s="57">
        <f ca="1">J37/AR38-1</f>
        <v>-0.11572700296735905</v>
      </c>
      <c r="Z37" s="57">
        <f ca="1">J37/AT38-1</f>
        <v>-0.14735336194563664</v>
      </c>
      <c r="AA37" s="57">
        <f ca="1">J37/AV38-1</f>
        <v>-0.14244604316546761</v>
      </c>
      <c r="AB37" s="117" t="s">
        <v>88</v>
      </c>
      <c r="AC37" s="85" t="s">
        <v>69</v>
      </c>
      <c r="AD37" s="85" t="s">
        <v>69</v>
      </c>
      <c r="AE37" s="118" t="s">
        <v>123</v>
      </c>
      <c r="AF37" s="118" t="s">
        <v>89</v>
      </c>
      <c r="AG37" s="118" t="s">
        <v>109</v>
      </c>
      <c r="AH37" s="119" t="s">
        <v>140</v>
      </c>
      <c r="AI37" s="119" t="s">
        <v>141</v>
      </c>
      <c r="AJ37" s="174"/>
      <c r="AK37" s="57"/>
      <c r="AL37" s="57"/>
      <c r="AM37" s="2" t="s">
        <v>375</v>
      </c>
      <c r="AN37" s="30" t="s">
        <v>376</v>
      </c>
      <c r="AO37" s="2" t="s">
        <v>375</v>
      </c>
      <c r="AP37" s="30" t="s">
        <v>376</v>
      </c>
      <c r="AQ37" s="2" t="s">
        <v>375</v>
      </c>
      <c r="AR37" s="30" t="s">
        <v>376</v>
      </c>
      <c r="AS37" s="2" t="s">
        <v>375</v>
      </c>
      <c r="AT37" s="30" t="s">
        <v>376</v>
      </c>
      <c r="AU37" s="2" t="s">
        <v>375</v>
      </c>
      <c r="AV37" s="30" t="s">
        <v>376</v>
      </c>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1"/>
      <c r="BT37" s="121"/>
      <c r="BU37" s="121"/>
      <c r="BV37" s="121"/>
      <c r="BW37" s="121"/>
      <c r="BX37" s="121"/>
      <c r="BY37" s="121"/>
      <c r="BZ37" s="121"/>
      <c r="CA37" s="121"/>
    </row>
    <row r="38" spans="1:79" ht="13.2" hidden="1">
      <c r="A38" s="47" t="e">
        <f t="shared" si="7"/>
        <v>#REF!</v>
      </c>
      <c r="B38" s="175"/>
      <c r="C38" s="176"/>
      <c r="D38" s="176"/>
      <c r="E38" s="175"/>
      <c r="F38" s="175"/>
      <c r="G38" s="177"/>
      <c r="H38" s="178"/>
      <c r="I38" s="179"/>
      <c r="J38" s="175"/>
      <c r="K38" s="180"/>
      <c r="L38" s="175"/>
      <c r="M38" s="175"/>
      <c r="N38" s="175"/>
      <c r="O38" s="181"/>
      <c r="P38" s="178"/>
      <c r="Q38" s="182"/>
      <c r="R38" s="178"/>
      <c r="S38" s="178"/>
      <c r="T38" s="178"/>
      <c r="U38" s="182"/>
      <c r="V38" s="149" t="e">
        <v>#N/A</v>
      </c>
      <c r="W38" s="149" t="e">
        <v>#REF!</v>
      </c>
      <c r="X38" s="149" t="e">
        <v>#REF!</v>
      </c>
      <c r="Y38" s="149" t="e">
        <v>#REF!</v>
      </c>
      <c r="Z38" s="149" t="e">
        <v>#REF!</v>
      </c>
      <c r="AA38" s="150" t="e">
        <v>#REF!</v>
      </c>
      <c r="AB38" s="178"/>
      <c r="AC38" s="178"/>
      <c r="AD38" s="178"/>
      <c r="AE38" s="178"/>
      <c r="AF38" s="178"/>
      <c r="AG38" s="178"/>
      <c r="AH38" s="178"/>
      <c r="AI38" s="178"/>
      <c r="AJ38" s="178"/>
      <c r="AK38" s="178"/>
      <c r="AL38" s="178"/>
      <c r="AM38" s="151">
        <v>45457.666666666599</v>
      </c>
      <c r="AN38" s="152">
        <v>5.8</v>
      </c>
      <c r="AO38" s="151">
        <v>45443.666666666599</v>
      </c>
      <c r="AP38" s="152">
        <v>5.99</v>
      </c>
      <c r="AQ38" s="151">
        <v>45376.666666666599</v>
      </c>
      <c r="AR38" s="152">
        <v>6.74</v>
      </c>
      <c r="AS38" s="151">
        <v>45286.666666666599</v>
      </c>
      <c r="AT38" s="152">
        <v>6.99</v>
      </c>
      <c r="AU38" s="151">
        <v>45289.666666666599</v>
      </c>
      <c r="AV38" s="152">
        <v>6.95</v>
      </c>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83"/>
      <c r="BT38" s="183"/>
      <c r="BU38" s="183"/>
      <c r="BV38" s="183"/>
      <c r="BW38" s="183"/>
      <c r="BX38" s="183"/>
      <c r="BY38" s="183"/>
      <c r="BZ38" s="183"/>
      <c r="CA38" s="183"/>
    </row>
    <row r="39" spans="1:79" ht="28.8" hidden="1">
      <c r="A39" s="47">
        <f t="shared" si="7"/>
        <v>18</v>
      </c>
      <c r="B39" s="184" t="s">
        <v>21</v>
      </c>
      <c r="C39" s="185" t="str">
        <f ca="1">IFERROR(__xludf.DUMMYFUNCTION("GoogleFinance(B39,""name"")"),"VanEck Gold Miners ETF")</f>
        <v>VanEck Gold Miners ETF</v>
      </c>
      <c r="D39" s="186" t="str">
        <f ca="1">IFERROR(__xludf.DUMMYFUNCTION("GoogleFinance(B39,""marketcap"")/1000000"),"#N/A")</f>
        <v>#N/A</v>
      </c>
      <c r="E39" s="187" t="s">
        <v>11</v>
      </c>
      <c r="F39" s="187" t="s">
        <v>142</v>
      </c>
      <c r="G39" s="188">
        <v>45372</v>
      </c>
      <c r="H39" s="189">
        <v>0.02</v>
      </c>
      <c r="I39" s="190">
        <f ca="1">N39/$M$56</f>
        <v>0</v>
      </c>
      <c r="J39" s="191">
        <f ca="1">IFERROR(__xludf.DUMMYFUNCTION("GOOGLEFINANCE(B39)"),33.99)</f>
        <v>33.99</v>
      </c>
      <c r="K39" s="192">
        <f>(30.06+30.7)/2</f>
        <v>30.38</v>
      </c>
      <c r="L39" s="193"/>
      <c r="M39" s="194">
        <f>L39*K39</f>
        <v>0</v>
      </c>
      <c r="N39" s="195">
        <f ca="1">J39*L39</f>
        <v>0</v>
      </c>
      <c r="O39" s="195">
        <f ca="1">N39-M39</f>
        <v>0</v>
      </c>
      <c r="P39" s="189">
        <f ca="1">J39/K39-1</f>
        <v>0.11882817643186327</v>
      </c>
      <c r="Q39" s="196">
        <f ca="1">TODAY()-G39</f>
        <v>95</v>
      </c>
      <c r="R39" s="197"/>
      <c r="S39" s="189">
        <f ca="1">R39/J39-1</f>
        <v>-1</v>
      </c>
      <c r="T39" s="187">
        <v>40</v>
      </c>
      <c r="U39" s="189">
        <f ca="1">T39/J39-1</f>
        <v>0.17681671079729333</v>
      </c>
      <c r="V39" s="198">
        <f ca="1">IFERROR(__xludf.DUMMYFUNCTION("GoogleFinance(B39,""changepct"")/100"),0)</f>
        <v>0</v>
      </c>
      <c r="W39" s="189">
        <f ca="1">J39/AN40-1</f>
        <v>-2.3481068388611082E-3</v>
      </c>
      <c r="X39" s="189">
        <f ca="1">J39/AP40-1</f>
        <v>7.4952561669829221E-2</v>
      </c>
      <c r="Y39" s="189">
        <f ca="1">J39/AR40-1</f>
        <v>0.13945692256118014</v>
      </c>
      <c r="Z39" s="189">
        <f ca="1">J39/AT40-1</f>
        <v>7.3255446795074119E-2</v>
      </c>
      <c r="AA39" s="189">
        <f ca="1">J39/AV40-1</f>
        <v>9.6098032892615315E-2</v>
      </c>
      <c r="AB39" s="199" t="s">
        <v>69</v>
      </c>
      <c r="AC39" s="200" t="s">
        <v>79</v>
      </c>
      <c r="AD39" s="200" t="s">
        <v>69</v>
      </c>
      <c r="AE39" s="201" t="s">
        <v>123</v>
      </c>
      <c r="AF39" s="201" t="s">
        <v>89</v>
      </c>
      <c r="AG39" s="201" t="s">
        <v>109</v>
      </c>
      <c r="AH39" s="202" t="s">
        <v>143</v>
      </c>
      <c r="AI39" s="202" t="s">
        <v>144</v>
      </c>
      <c r="AJ39" s="189"/>
      <c r="AK39" s="189"/>
      <c r="AL39" s="189"/>
      <c r="AM39" s="189" t="s">
        <v>375</v>
      </c>
      <c r="AN39" s="203" t="s">
        <v>376</v>
      </c>
      <c r="AO39" s="189" t="s">
        <v>375</v>
      </c>
      <c r="AP39" s="203" t="s">
        <v>376</v>
      </c>
      <c r="AQ39" s="189" t="s">
        <v>375</v>
      </c>
      <c r="AR39" s="203" t="s">
        <v>376</v>
      </c>
      <c r="AS39" s="189" t="s">
        <v>375</v>
      </c>
      <c r="AT39" s="203" t="s">
        <v>376</v>
      </c>
      <c r="AU39" s="189" t="s">
        <v>375</v>
      </c>
      <c r="AV39" s="203" t="s">
        <v>376</v>
      </c>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5"/>
      <c r="BT39" s="205"/>
      <c r="BU39" s="205"/>
      <c r="BV39" s="205"/>
      <c r="BW39" s="205"/>
      <c r="BX39" s="205"/>
      <c r="BY39" s="205"/>
      <c r="BZ39" s="205"/>
      <c r="CA39" s="205"/>
    </row>
    <row r="40" spans="1:79" ht="13.2" hidden="1">
      <c r="A40" s="47" t="e">
        <f t="shared" si="7"/>
        <v>#REF!</v>
      </c>
      <c r="B40" s="206"/>
      <c r="C40" s="207"/>
      <c r="D40" s="207"/>
      <c r="E40" s="206"/>
      <c r="F40" s="206"/>
      <c r="G40" s="208"/>
      <c r="H40" s="209"/>
      <c r="I40" s="210"/>
      <c r="J40" s="206"/>
      <c r="K40" s="211"/>
      <c r="L40" s="206"/>
      <c r="M40" s="206"/>
      <c r="N40" s="206"/>
      <c r="O40" s="212"/>
      <c r="P40" s="209"/>
      <c r="Q40" s="213"/>
      <c r="R40" s="209"/>
      <c r="S40" s="209"/>
      <c r="T40" s="209"/>
      <c r="U40" s="213"/>
      <c r="V40" s="214" t="e">
        <v>#N/A</v>
      </c>
      <c r="W40" s="214" t="e">
        <v>#REF!</v>
      </c>
      <c r="X40" s="214" t="e">
        <v>#REF!</v>
      </c>
      <c r="Y40" s="214" t="e">
        <v>#REF!</v>
      </c>
      <c r="Z40" s="214" t="e">
        <v>#REF!</v>
      </c>
      <c r="AA40" s="215" t="e">
        <v>#REF!</v>
      </c>
      <c r="AB40" s="209"/>
      <c r="AC40" s="209"/>
      <c r="AD40" s="209"/>
      <c r="AE40" s="209"/>
      <c r="AF40" s="209"/>
      <c r="AG40" s="209"/>
      <c r="AH40" s="202"/>
      <c r="AI40" s="202"/>
      <c r="AJ40" s="209"/>
      <c r="AK40" s="209"/>
      <c r="AL40" s="209"/>
      <c r="AM40" s="216">
        <v>45401.666666666599</v>
      </c>
      <c r="AN40" s="217">
        <v>34.07</v>
      </c>
      <c r="AO40" s="216">
        <v>45379.666666666599</v>
      </c>
      <c r="AP40" s="217">
        <v>31.62</v>
      </c>
      <c r="AQ40" s="216">
        <v>45376.666666666599</v>
      </c>
      <c r="AR40" s="217">
        <v>29.83</v>
      </c>
      <c r="AS40" s="216">
        <v>45286.666666666599</v>
      </c>
      <c r="AT40" s="217">
        <v>31.67</v>
      </c>
      <c r="AU40" s="216">
        <v>45289.666666666599</v>
      </c>
      <c r="AV40" s="217">
        <v>31.01</v>
      </c>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18"/>
      <c r="BT40" s="218"/>
      <c r="BU40" s="218"/>
      <c r="BV40" s="218"/>
      <c r="BW40" s="218"/>
      <c r="BX40" s="218"/>
      <c r="BY40" s="218"/>
      <c r="BZ40" s="218"/>
      <c r="CA40" s="218"/>
    </row>
    <row r="41" spans="1:79" ht="19.2" hidden="1">
      <c r="A41" s="47">
        <f t="shared" si="7"/>
        <v>19</v>
      </c>
      <c r="B41" s="184" t="s">
        <v>27</v>
      </c>
      <c r="C41" s="185" t="str">
        <f ca="1">IFERROR(__xludf.DUMMYFUNCTION("GoogleFinance(B41,""name"")"),"iShares Silver Trust")</f>
        <v>iShares Silver Trust</v>
      </c>
      <c r="D41" s="186">
        <f ca="1">IFERROR(__xludf.DUMMYFUNCTION("GoogleFinance(B41,""marketcap"")/1000000"),10816.281816)</f>
        <v>10816.281816000001</v>
      </c>
      <c r="E41" s="187" t="s">
        <v>25</v>
      </c>
      <c r="F41" s="187" t="s">
        <v>28</v>
      </c>
      <c r="G41" s="188">
        <v>45372</v>
      </c>
      <c r="H41" s="189">
        <v>0.02</v>
      </c>
      <c r="I41" s="190">
        <f ca="1">N41/$M$56</f>
        <v>0</v>
      </c>
      <c r="J41" s="191">
        <f ca="1">IFERROR(__xludf.DUMMYFUNCTION("GOOGLEFINANCE(B41)"),26.98)</f>
        <v>26.98</v>
      </c>
      <c r="K41" s="192">
        <f>(22.6+22.5)/2</f>
        <v>22.55</v>
      </c>
      <c r="L41" s="193"/>
      <c r="M41" s="194">
        <f>L41*K41</f>
        <v>0</v>
      </c>
      <c r="N41" s="195">
        <f ca="1">J41*L41</f>
        <v>0</v>
      </c>
      <c r="O41" s="195">
        <f ca="1">N41-M41</f>
        <v>0</v>
      </c>
      <c r="P41" s="189">
        <f ca="1">J41/K41-1</f>
        <v>0.19645232815964531</v>
      </c>
      <c r="Q41" s="196">
        <f ca="1">TODAY()-G41</f>
        <v>95</v>
      </c>
      <c r="R41" s="197"/>
      <c r="S41" s="189">
        <f ca="1">R41/J41-1</f>
        <v>-1</v>
      </c>
      <c r="T41" s="187">
        <v>31</v>
      </c>
      <c r="U41" s="189">
        <f ca="1">T41/J41-1</f>
        <v>0.14899925871015562</v>
      </c>
      <c r="V41" s="198">
        <f ca="1">IFERROR(__xludf.DUMMYFUNCTION("GoogleFinance(B41,""changepct"")/100"),0)</f>
        <v>0</v>
      </c>
      <c r="W41" s="189">
        <f ca="1">J41/AN42-1</f>
        <v>2.977099236641223E-2</v>
      </c>
      <c r="X41" s="189">
        <f ca="1">J41/AP42-1</f>
        <v>0.18593406593406603</v>
      </c>
      <c r="Y41" s="189">
        <f ca="1">J41/AR42-1</f>
        <v>0.19486271036315328</v>
      </c>
      <c r="Z41" s="189">
        <f ca="1">J41/AT42-1</f>
        <v>0.21531531531531534</v>
      </c>
      <c r="AA41" s="189">
        <f ca="1">J41/AV42-1</f>
        <v>0.23875114784205698</v>
      </c>
      <c r="AB41" s="199" t="s">
        <v>69</v>
      </c>
      <c r="AC41" s="200" t="s">
        <v>79</v>
      </c>
      <c r="AD41" s="200" t="s">
        <v>69</v>
      </c>
      <c r="AE41" s="201" t="s">
        <v>123</v>
      </c>
      <c r="AF41" s="201" t="s">
        <v>89</v>
      </c>
      <c r="AG41" s="201" t="s">
        <v>109</v>
      </c>
      <c r="AH41" s="202" t="s">
        <v>145</v>
      </c>
      <c r="AI41" s="202" t="s">
        <v>144</v>
      </c>
      <c r="AJ41" s="189"/>
      <c r="AK41" s="189"/>
      <c r="AL41" s="189"/>
      <c r="AM41" s="189" t="s">
        <v>375</v>
      </c>
      <c r="AN41" s="203" t="s">
        <v>376</v>
      </c>
      <c r="AO41" s="189" t="s">
        <v>375</v>
      </c>
      <c r="AP41" s="203" t="s">
        <v>376</v>
      </c>
      <c r="AQ41" s="189" t="s">
        <v>375</v>
      </c>
      <c r="AR41" s="203" t="s">
        <v>376</v>
      </c>
      <c r="AS41" s="189" t="s">
        <v>375</v>
      </c>
      <c r="AT41" s="203" t="s">
        <v>376</v>
      </c>
      <c r="AU41" s="189" t="s">
        <v>375</v>
      </c>
      <c r="AV41" s="203" t="s">
        <v>376</v>
      </c>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5"/>
      <c r="BT41" s="205"/>
      <c r="BU41" s="205"/>
      <c r="BV41" s="205"/>
      <c r="BW41" s="205"/>
      <c r="BX41" s="205"/>
      <c r="BY41" s="205"/>
      <c r="BZ41" s="205"/>
      <c r="CA41" s="205"/>
    </row>
    <row r="42" spans="1:79" ht="13.2" hidden="1">
      <c r="A42" s="47" t="e">
        <f t="shared" si="7"/>
        <v>#REF!</v>
      </c>
      <c r="B42" s="90"/>
      <c r="C42" s="93"/>
      <c r="D42" s="93"/>
      <c r="E42" s="90"/>
      <c r="F42" s="90"/>
      <c r="G42" s="147"/>
      <c r="H42" s="89"/>
      <c r="I42" s="95"/>
      <c r="J42" s="90"/>
      <c r="K42" s="96"/>
      <c r="L42" s="90"/>
      <c r="M42" s="90"/>
      <c r="N42" s="90"/>
      <c r="O42" s="148"/>
      <c r="P42" s="89"/>
      <c r="Q42" s="97"/>
      <c r="R42" s="89"/>
      <c r="S42" s="89"/>
      <c r="T42" s="89"/>
      <c r="U42" s="97"/>
      <c r="V42" s="149" t="e">
        <v>#N/A</v>
      </c>
      <c r="W42" s="149" t="e">
        <v>#REF!</v>
      </c>
      <c r="X42" s="149" t="e">
        <v>#REF!</v>
      </c>
      <c r="Y42" s="149" t="e">
        <v>#REF!</v>
      </c>
      <c r="Z42" s="149" t="e">
        <v>#REF!</v>
      </c>
      <c r="AA42" s="150" t="e">
        <v>#REF!</v>
      </c>
      <c r="AB42" s="89"/>
      <c r="AC42" s="89"/>
      <c r="AD42" s="89"/>
      <c r="AE42" s="89"/>
      <c r="AF42" s="89"/>
      <c r="AG42" s="89"/>
      <c r="AH42" s="89"/>
      <c r="AI42" s="89"/>
      <c r="AJ42" s="89"/>
      <c r="AK42" s="89"/>
      <c r="AL42" s="89"/>
      <c r="AM42" s="151">
        <v>45401.666666666599</v>
      </c>
      <c r="AN42" s="152">
        <v>26.2</v>
      </c>
      <c r="AO42" s="151">
        <v>45379.666666666599</v>
      </c>
      <c r="AP42" s="152">
        <v>22.75</v>
      </c>
      <c r="AQ42" s="151">
        <v>45376.666666666599</v>
      </c>
      <c r="AR42" s="152">
        <v>22.58</v>
      </c>
      <c r="AS42" s="151">
        <v>45286.666666666599</v>
      </c>
      <c r="AT42" s="152">
        <v>22.2</v>
      </c>
      <c r="AU42" s="151">
        <v>45289.666666666599</v>
      </c>
      <c r="AV42" s="152">
        <v>21.78</v>
      </c>
      <c r="AW42" s="90"/>
      <c r="AX42" s="90"/>
      <c r="AY42" s="90"/>
      <c r="AZ42" s="90"/>
      <c r="BA42" s="90"/>
      <c r="BB42" s="90"/>
      <c r="BC42" s="90"/>
      <c r="BD42" s="90"/>
      <c r="BE42" s="90"/>
      <c r="BF42" s="90"/>
      <c r="BG42" s="90"/>
      <c r="BH42" s="90"/>
      <c r="BI42" s="90"/>
      <c r="BJ42" s="90"/>
      <c r="BK42" s="90"/>
      <c r="BL42" s="90"/>
      <c r="BM42" s="90"/>
      <c r="BN42" s="90"/>
      <c r="BO42" s="90"/>
      <c r="BP42" s="90"/>
      <c r="BQ42" s="90"/>
      <c r="BR42" s="90"/>
      <c r="BS42" s="92"/>
      <c r="BT42" s="92"/>
      <c r="BU42" s="92"/>
      <c r="BV42" s="92"/>
      <c r="BW42" s="92"/>
      <c r="BX42" s="92"/>
      <c r="BY42" s="92"/>
      <c r="BZ42" s="92"/>
      <c r="CA42" s="92"/>
    </row>
    <row r="43" spans="1:79" ht="19.2">
      <c r="A43" s="47">
        <f t="shared" si="7"/>
        <v>20</v>
      </c>
      <c r="B43" s="8" t="s">
        <v>146</v>
      </c>
      <c r="C43" s="105" t="str">
        <f ca="1">IFERROR(__xludf.DUMMYFUNCTION("GoogleFinance(B43,""name"")"),"Teucrium Wheat Fund")</f>
        <v>Teucrium Wheat Fund</v>
      </c>
      <c r="D43" s="106" t="str">
        <f ca="1">IFERROR(__xludf.DUMMYFUNCTION("GoogleFinance(B43,""marketcap"")/1000000"),"#N/A")</f>
        <v>#N/A</v>
      </c>
      <c r="E43" s="107" t="s">
        <v>25</v>
      </c>
      <c r="F43" s="107" t="s">
        <v>147</v>
      </c>
      <c r="G43" s="108">
        <v>45394</v>
      </c>
      <c r="H43" s="57">
        <v>0.03</v>
      </c>
      <c r="I43" s="109">
        <f ca="1">N43/$M$56</f>
        <v>3.0499745424008039E-2</v>
      </c>
      <c r="J43" s="110">
        <f ca="1">IFERROR(__xludf.DUMMYFUNCTION("GOOGLEFINANCE(B43)"),5.32)</f>
        <v>5.32</v>
      </c>
      <c r="K43" s="111">
        <v>5.35</v>
      </c>
      <c r="L43" s="112">
        <f>3500/K43</f>
        <v>654.20560747663558</v>
      </c>
      <c r="M43" s="113">
        <f>L43*K43</f>
        <v>3500</v>
      </c>
      <c r="N43" s="114">
        <f ca="1">J43*L43</f>
        <v>3480.3738317757015</v>
      </c>
      <c r="O43" s="114">
        <f ca="1">N43-M43</f>
        <v>-19.626168224298453</v>
      </c>
      <c r="P43" s="57">
        <f ca="1">J43/K43-1</f>
        <v>-5.6074766355138639E-3</v>
      </c>
      <c r="Q43" s="115">
        <f ca="1">TODAY()-G43</f>
        <v>73</v>
      </c>
      <c r="R43" s="116">
        <v>5</v>
      </c>
      <c r="S43" s="57">
        <f ca="1">R43/J43-1</f>
        <v>-6.0150375939849621E-2</v>
      </c>
      <c r="T43" s="107">
        <v>6.2</v>
      </c>
      <c r="U43" s="57">
        <f ca="1">T43/J43-1</f>
        <v>0.16541353383458635</v>
      </c>
      <c r="V43" s="9">
        <f ca="1">IFERROR(__xludf.DUMMYFUNCTION("GoogleFinance(B43,""changepct"")/100"),0)</f>
        <v>0</v>
      </c>
      <c r="W43" s="57">
        <f ca="1">J43/AN44-1</f>
        <v>-6.5026362038664298E-2</v>
      </c>
      <c r="X43" s="57">
        <f ca="1">J43/AP44-1</f>
        <v>-0.15822784810126578</v>
      </c>
      <c r="Y43" s="57">
        <f ca="1">J43/AR44-1</f>
        <v>-7.4626865671642006E-3</v>
      </c>
      <c r="Z43" s="57">
        <f ca="1">J43/AT44-1</f>
        <v>-0.11774461028192373</v>
      </c>
      <c r="AA43" s="57">
        <f ca="1">J43/AV44-1</f>
        <v>-0.10887772194304846</v>
      </c>
      <c r="AB43" s="60" t="s">
        <v>69</v>
      </c>
      <c r="AC43" s="85" t="s">
        <v>79</v>
      </c>
      <c r="AD43" s="85" t="s">
        <v>69</v>
      </c>
      <c r="AE43" s="118" t="s">
        <v>123</v>
      </c>
      <c r="AF43" s="118" t="s">
        <v>89</v>
      </c>
      <c r="AG43" s="118" t="s">
        <v>109</v>
      </c>
      <c r="AH43" s="63" t="s">
        <v>148</v>
      </c>
      <c r="AI43" s="63" t="s">
        <v>149</v>
      </c>
      <c r="AJ43" s="57"/>
      <c r="AK43" s="57"/>
      <c r="AL43" s="57"/>
      <c r="AM43" s="2" t="s">
        <v>375</v>
      </c>
      <c r="AN43" s="30" t="s">
        <v>376</v>
      </c>
      <c r="AO43" s="2" t="s">
        <v>375</v>
      </c>
      <c r="AP43" s="104" t="s">
        <v>376</v>
      </c>
      <c r="AQ43" s="57" t="s">
        <v>375</v>
      </c>
      <c r="AR43" s="104" t="s">
        <v>376</v>
      </c>
      <c r="AS43" s="57" t="s">
        <v>375</v>
      </c>
      <c r="AT43" s="104" t="s">
        <v>376</v>
      </c>
      <c r="AU43" s="57" t="s">
        <v>375</v>
      </c>
      <c r="AV43" s="104" t="s">
        <v>376</v>
      </c>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1"/>
      <c r="BT43" s="121"/>
      <c r="BU43" s="121"/>
      <c r="BV43" s="121"/>
      <c r="BW43" s="121"/>
      <c r="BX43" s="121"/>
      <c r="BY43" s="121"/>
      <c r="BZ43" s="121"/>
      <c r="CA43" s="121"/>
    </row>
    <row r="44" spans="1:79" ht="19.2" hidden="1">
      <c r="A44" s="47" t="e">
        <f t="shared" si="7"/>
        <v>#REF!</v>
      </c>
      <c r="B44" s="219"/>
      <c r="C44" s="220"/>
      <c r="D44" s="220"/>
      <c r="E44" s="219"/>
      <c r="F44" s="219"/>
      <c r="G44" s="221"/>
      <c r="H44" s="222"/>
      <c r="I44" s="223"/>
      <c r="J44" s="219"/>
      <c r="K44" s="224"/>
      <c r="L44" s="219"/>
      <c r="M44" s="219"/>
      <c r="N44" s="219"/>
      <c r="O44" s="225"/>
      <c r="P44" s="222"/>
      <c r="Q44" s="226"/>
      <c r="R44" s="222"/>
      <c r="S44" s="222"/>
      <c r="T44" s="222"/>
      <c r="U44" s="226"/>
      <c r="V44" s="227" t="e">
        <v>#N/A</v>
      </c>
      <c r="W44" s="227" t="e">
        <v>#REF!</v>
      </c>
      <c r="X44" s="227" t="e">
        <v>#REF!</v>
      </c>
      <c r="Y44" s="227" t="e">
        <v>#REF!</v>
      </c>
      <c r="Z44" s="227" t="e">
        <v>#REF!</v>
      </c>
      <c r="AA44" s="228" t="e">
        <v>#REF!</v>
      </c>
      <c r="AB44" s="222"/>
      <c r="AC44" s="222"/>
      <c r="AD44" s="222"/>
      <c r="AE44" s="222"/>
      <c r="AF44" s="222"/>
      <c r="AG44" s="222"/>
      <c r="AH44" s="222"/>
      <c r="AI44" s="154" t="s">
        <v>150</v>
      </c>
      <c r="AJ44" s="222"/>
      <c r="AK44" s="222"/>
      <c r="AL44" s="222"/>
      <c r="AM44" s="229">
        <v>45457.666666666599</v>
      </c>
      <c r="AN44" s="230">
        <v>5.69</v>
      </c>
      <c r="AO44" s="229">
        <v>45443.666666666599</v>
      </c>
      <c r="AP44" s="230">
        <v>6.32</v>
      </c>
      <c r="AQ44" s="229">
        <v>45376.666666666599</v>
      </c>
      <c r="AR44" s="230">
        <v>5.36</v>
      </c>
      <c r="AS44" s="229">
        <v>45286.666666666599</v>
      </c>
      <c r="AT44" s="230">
        <v>6.03</v>
      </c>
      <c r="AU44" s="229">
        <v>45289.666666666599</v>
      </c>
      <c r="AV44" s="230">
        <v>5.97</v>
      </c>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31"/>
      <c r="BT44" s="231"/>
      <c r="BU44" s="231"/>
      <c r="BV44" s="231"/>
      <c r="BW44" s="231"/>
      <c r="BX44" s="231"/>
      <c r="BY44" s="231"/>
      <c r="BZ44" s="231"/>
      <c r="CA44" s="231"/>
    </row>
    <row r="45" spans="1:79" ht="19.2">
      <c r="A45" s="47">
        <f t="shared" si="7"/>
        <v>21</v>
      </c>
      <c r="B45" s="8" t="s">
        <v>24</v>
      </c>
      <c r="C45" s="105" t="str">
        <f ca="1">IFERROR(__xludf.DUMMYFUNCTION("GoogleFinance(B45,""name"")"),"iShares 20+ Year Treasury Bond ETF")</f>
        <v>iShares 20+ Year Treasury Bond ETF</v>
      </c>
      <c r="D45" s="106">
        <f ca="1">IFERROR(__xludf.DUMMYFUNCTION("GoogleFinance(B45,""marketcap"")/1000000"),11726.207885)</f>
        <v>11726.207885</v>
      </c>
      <c r="E45" s="107" t="s">
        <v>151</v>
      </c>
      <c r="F45" s="107" t="s">
        <v>152</v>
      </c>
      <c r="G45" s="108">
        <v>45407</v>
      </c>
      <c r="H45" s="57">
        <v>0.03</v>
      </c>
      <c r="I45" s="109">
        <f ca="1">N45/$M$56</f>
        <v>4.2346526086824036E-2</v>
      </c>
      <c r="J45" s="110">
        <f ca="1">IFERROR(__xludf.DUMMYFUNCTION("GOOGLEFINANCE(B45)"),93.96)</f>
        <v>93.96</v>
      </c>
      <c r="K45" s="111">
        <v>87.5</v>
      </c>
      <c r="L45" s="112">
        <f>4500/K45</f>
        <v>51.428571428571431</v>
      </c>
      <c r="M45" s="113">
        <f>L45*K45</f>
        <v>4500</v>
      </c>
      <c r="N45" s="114">
        <f ca="1">J45*L45</f>
        <v>4832.2285714285717</v>
      </c>
      <c r="O45" s="114">
        <f ca="1">N45-M45</f>
        <v>332.22857142857174</v>
      </c>
      <c r="P45" s="57">
        <f ca="1">J45/K45-1</f>
        <v>7.3828571428571355E-2</v>
      </c>
      <c r="Q45" s="115">
        <f ca="1">TODAY()-G45</f>
        <v>60</v>
      </c>
      <c r="R45" s="116"/>
      <c r="S45" s="57">
        <f ca="1">R45/J45-1</f>
        <v>-1</v>
      </c>
      <c r="T45" s="107">
        <v>120</v>
      </c>
      <c r="U45" s="109">
        <f ca="1">T45/J45-1</f>
        <v>0.27713920817369098</v>
      </c>
      <c r="V45" s="9">
        <f ca="1">IFERROR(__xludf.DUMMYFUNCTION("GoogleFinance(B45,""changepct"")/100"),0)</f>
        <v>0</v>
      </c>
      <c r="W45" s="57">
        <f ca="1">J45/AN46-1</f>
        <v>-7.499735924791473E-3</v>
      </c>
      <c r="X45" s="57">
        <f ca="1">J45/AP46-1</f>
        <v>3.8805970149253577E-2</v>
      </c>
      <c r="Y45" s="57">
        <f ca="1">J45/AR46-1</f>
        <v>4.8123195380171957E-3</v>
      </c>
      <c r="Z45" s="57">
        <f ca="1">J45/AT46-1</f>
        <v>-4.8602673147023157E-2</v>
      </c>
      <c r="AA45" s="57">
        <f ca="1">J45/AV46-1</f>
        <v>-4.9757281553398092E-2</v>
      </c>
      <c r="AB45" s="117" t="s">
        <v>122</v>
      </c>
      <c r="AC45" s="85" t="s">
        <v>79</v>
      </c>
      <c r="AD45" s="85" t="s">
        <v>79</v>
      </c>
      <c r="AE45" s="118" t="s">
        <v>123</v>
      </c>
      <c r="AF45" s="118" t="s">
        <v>89</v>
      </c>
      <c r="AG45" s="118" t="s">
        <v>95</v>
      </c>
      <c r="AH45" s="154" t="s">
        <v>153</v>
      </c>
      <c r="AI45" s="154" t="s">
        <v>154</v>
      </c>
      <c r="AJ45" s="57"/>
      <c r="AK45" s="57"/>
      <c r="AL45" s="57"/>
      <c r="AM45" s="2" t="s">
        <v>375</v>
      </c>
      <c r="AN45" s="30" t="s">
        <v>376</v>
      </c>
      <c r="AO45" s="2" t="s">
        <v>375</v>
      </c>
      <c r="AP45" s="104" t="s">
        <v>376</v>
      </c>
      <c r="AQ45" s="57" t="s">
        <v>375</v>
      </c>
      <c r="AR45" s="104" t="s">
        <v>376</v>
      </c>
      <c r="AS45" s="57" t="s">
        <v>375</v>
      </c>
      <c r="AT45" s="104" t="s">
        <v>376</v>
      </c>
      <c r="AU45" s="57" t="s">
        <v>375</v>
      </c>
      <c r="AV45" s="104" t="s">
        <v>376</v>
      </c>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1"/>
      <c r="BT45" s="121"/>
      <c r="BU45" s="121"/>
      <c r="BV45" s="121"/>
      <c r="BW45" s="121"/>
      <c r="BX45" s="121"/>
      <c r="BY45" s="121"/>
      <c r="BZ45" s="121"/>
      <c r="CA45" s="121"/>
    </row>
    <row r="46" spans="1:79" ht="13.2" hidden="1">
      <c r="A46" s="47" t="e">
        <f>#REF!+1</f>
        <v>#REF!</v>
      </c>
      <c r="B46" s="8"/>
      <c r="C46" s="105"/>
      <c r="D46" s="106"/>
      <c r="E46" s="107"/>
      <c r="F46" s="107"/>
      <c r="G46" s="232"/>
      <c r="H46" s="57"/>
      <c r="I46" s="155"/>
      <c r="J46" s="233"/>
      <c r="K46" s="111"/>
      <c r="L46" s="107"/>
      <c r="M46" s="107"/>
      <c r="N46" s="156"/>
      <c r="O46" s="157"/>
      <c r="P46" s="67"/>
      <c r="Q46" s="68"/>
      <c r="R46" s="9"/>
      <c r="S46" s="57"/>
      <c r="T46" s="57"/>
      <c r="U46" s="109"/>
      <c r="V46" s="9"/>
      <c r="W46" s="57"/>
      <c r="X46" s="57"/>
      <c r="Y46" s="57"/>
      <c r="Z46" s="57"/>
      <c r="AA46" s="57"/>
      <c r="AB46" s="158"/>
      <c r="AC46" s="159"/>
      <c r="AD46" s="159"/>
      <c r="AE46" s="159"/>
      <c r="AF46" s="159"/>
      <c r="AG46" s="159"/>
      <c r="AH46" s="159"/>
      <c r="AI46" s="159"/>
      <c r="AJ46" s="57"/>
      <c r="AK46" s="57"/>
      <c r="AL46" s="57"/>
      <c r="AM46" s="232">
        <v>45457.666666666599</v>
      </c>
      <c r="AN46" s="234">
        <v>94.67</v>
      </c>
      <c r="AO46" s="232">
        <v>45443.666666666599</v>
      </c>
      <c r="AP46" s="234">
        <v>90.45</v>
      </c>
      <c r="AQ46" s="232">
        <v>45376.666666666599</v>
      </c>
      <c r="AR46" s="234">
        <v>93.51</v>
      </c>
      <c r="AS46" s="232">
        <v>45286.666666666599</v>
      </c>
      <c r="AT46" s="234">
        <v>98.76</v>
      </c>
      <c r="AU46" s="232">
        <v>45289.666666666599</v>
      </c>
      <c r="AV46" s="234">
        <v>98.88</v>
      </c>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1"/>
      <c r="BT46" s="121"/>
      <c r="BU46" s="121"/>
      <c r="BV46" s="121"/>
      <c r="BW46" s="121"/>
      <c r="BX46" s="121"/>
      <c r="BY46" s="121"/>
      <c r="BZ46" s="121"/>
      <c r="CA46" s="121"/>
    </row>
    <row r="47" spans="1:79" ht="13.2" hidden="1">
      <c r="A47" s="47">
        <f t="shared" ref="A47:A48" si="8">A29+1</f>
        <v>15</v>
      </c>
      <c r="B47" s="8" t="s">
        <v>5</v>
      </c>
      <c r="C47" s="105" t="str">
        <f ca="1">IFERROR(__xludf.DUMMYFUNCTION("GoogleFinance(B47,""name"")"),"SPDR S&amp;P 500 ETF Trust")</f>
        <v>SPDR S&amp;P 500 ETF Trust</v>
      </c>
      <c r="D47" s="106">
        <f ca="1">IFERROR(__xludf.DUMMYFUNCTION("GoogleFinance(B47,""marketcap"")/1000000"),491475.224873)</f>
        <v>491475.224873</v>
      </c>
      <c r="E47" s="107" t="s">
        <v>65</v>
      </c>
      <c r="F47" s="107"/>
      <c r="G47" s="108">
        <v>45308</v>
      </c>
      <c r="H47" s="57">
        <v>0.17699999999999999</v>
      </c>
      <c r="I47" s="109">
        <f ca="1">N47/$M$56</f>
        <v>0</v>
      </c>
      <c r="J47" s="110">
        <f ca="1">IFERROR(__xludf.DUMMYFUNCTION("GOOGLEFINANCE(B47)"),544.51)</f>
        <v>544.51</v>
      </c>
      <c r="K47" s="111">
        <v>473.25</v>
      </c>
      <c r="L47" s="112"/>
      <c r="M47" s="113">
        <f>L47*K47</f>
        <v>0</v>
      </c>
      <c r="N47" s="114">
        <f ca="1">J47*L47</f>
        <v>0</v>
      </c>
      <c r="O47" s="114">
        <f ca="1">N47-M47</f>
        <v>0</v>
      </c>
      <c r="P47" s="57">
        <f ca="1">J47/K47-1</f>
        <v>0.15057580559957739</v>
      </c>
      <c r="Q47" s="115">
        <f ca="1">TODAY()-G47</f>
        <v>159</v>
      </c>
      <c r="R47" s="116">
        <v>465</v>
      </c>
      <c r="S47" s="57">
        <f ca="1">R47/J47-1</f>
        <v>-0.14602119336651298</v>
      </c>
      <c r="T47" s="107">
        <v>483</v>
      </c>
      <c r="U47" s="109">
        <f ca="1">T47/J47-1</f>
        <v>-0.11296394923876507</v>
      </c>
      <c r="V47" s="9">
        <f ca="1">IFERROR(__xludf.DUMMYFUNCTION("GoogleFinance(B47,""changepct"")/100"),0)</f>
        <v>0</v>
      </c>
      <c r="W47" s="57">
        <f ca="1">J47/AN48-1</f>
        <v>0.1014665722666126</v>
      </c>
      <c r="X47" s="57">
        <f ca="1">J47/AP48-1</f>
        <v>0.12763005301524188</v>
      </c>
      <c r="Y47" s="57">
        <f ca="1">J47/AR48-1</f>
        <v>4.7597976027858424E-2</v>
      </c>
      <c r="Z47" s="57">
        <f ca="1">J47/AT48-1</f>
        <v>0.14477031430673826</v>
      </c>
      <c r="AA47" s="57">
        <f ca="1">J47/AV48-1</f>
        <v>0.14558919442048346</v>
      </c>
      <c r="AB47" s="117" t="s">
        <v>69</v>
      </c>
      <c r="AC47" s="85" t="s">
        <v>70</v>
      </c>
      <c r="AD47" s="85" t="s">
        <v>70</v>
      </c>
      <c r="AE47" s="118" t="s">
        <v>155</v>
      </c>
      <c r="AF47" s="118" t="s">
        <v>89</v>
      </c>
      <c r="AG47" s="118" t="s">
        <v>95</v>
      </c>
      <c r="AH47" s="235"/>
      <c r="AI47" s="236"/>
      <c r="AJ47" s="57"/>
      <c r="AK47" s="57"/>
      <c r="AL47" s="57"/>
      <c r="AM47" s="2" t="s">
        <v>375</v>
      </c>
      <c r="AN47" s="30" t="s">
        <v>376</v>
      </c>
      <c r="AO47" s="2" t="s">
        <v>375</v>
      </c>
      <c r="AP47" s="104" t="s">
        <v>376</v>
      </c>
      <c r="AQ47" s="57" t="s">
        <v>375</v>
      </c>
      <c r="AR47" s="104" t="s">
        <v>376</v>
      </c>
      <c r="AS47" s="57" t="s">
        <v>375</v>
      </c>
      <c r="AT47" s="104" t="s">
        <v>376</v>
      </c>
      <c r="AU47" s="57" t="s">
        <v>375</v>
      </c>
      <c r="AV47" s="104" t="s">
        <v>376</v>
      </c>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1"/>
      <c r="BT47" s="121"/>
      <c r="BU47" s="121"/>
      <c r="BV47" s="121"/>
      <c r="BW47" s="121"/>
      <c r="BX47" s="121"/>
      <c r="BY47" s="121"/>
      <c r="BZ47" s="121"/>
      <c r="CA47" s="121"/>
    </row>
    <row r="48" spans="1:79" ht="13.2" hidden="1">
      <c r="A48" s="47" t="e">
        <f t="shared" si="8"/>
        <v>#REF!</v>
      </c>
      <c r="B48" s="8"/>
      <c r="C48" s="105"/>
      <c r="D48" s="106"/>
      <c r="E48" s="107"/>
      <c r="F48" s="107"/>
      <c r="G48" s="232"/>
      <c r="H48" s="57"/>
      <c r="I48" s="155"/>
      <c r="J48" s="233"/>
      <c r="K48" s="111"/>
      <c r="L48" s="107"/>
      <c r="M48" s="107"/>
      <c r="N48" s="156"/>
      <c r="O48" s="157"/>
      <c r="P48" s="67"/>
      <c r="Q48" s="68"/>
      <c r="R48" s="9"/>
      <c r="S48" s="57"/>
      <c r="T48" s="57"/>
      <c r="U48" s="109"/>
      <c r="V48" s="9"/>
      <c r="W48" s="57"/>
      <c r="X48" s="57"/>
      <c r="Y48" s="57"/>
      <c r="Z48" s="57"/>
      <c r="AA48" s="57"/>
      <c r="AB48" s="158"/>
      <c r="AC48" s="159"/>
      <c r="AD48" s="159"/>
      <c r="AE48" s="159"/>
      <c r="AF48" s="159"/>
      <c r="AG48" s="159"/>
      <c r="AH48" s="159"/>
      <c r="AI48" s="159"/>
      <c r="AJ48" s="57"/>
      <c r="AK48" s="57"/>
      <c r="AL48" s="57"/>
      <c r="AM48" s="232">
        <v>45324.666666666599</v>
      </c>
      <c r="AN48" s="234">
        <v>494.35</v>
      </c>
      <c r="AO48" s="232">
        <v>45322.666666666599</v>
      </c>
      <c r="AP48" s="234">
        <v>482.88</v>
      </c>
      <c r="AQ48" s="232">
        <v>45376.666666666599</v>
      </c>
      <c r="AR48" s="234">
        <v>519.77</v>
      </c>
      <c r="AS48" s="232">
        <v>45286.666666666599</v>
      </c>
      <c r="AT48" s="234">
        <v>475.65</v>
      </c>
      <c r="AU48" s="232">
        <v>45289.666666666599</v>
      </c>
      <c r="AV48" s="234">
        <v>475.31</v>
      </c>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1"/>
      <c r="BT48" s="121"/>
      <c r="BU48" s="121"/>
      <c r="BV48" s="121"/>
      <c r="BW48" s="121"/>
      <c r="BX48" s="121"/>
      <c r="BY48" s="121"/>
      <c r="BZ48" s="121"/>
      <c r="CA48" s="121"/>
    </row>
    <row r="49" spans="1:79" ht="13.2" hidden="1">
      <c r="A49" s="47">
        <f>A29+1</f>
        <v>15</v>
      </c>
      <c r="B49" s="237" t="s">
        <v>6</v>
      </c>
      <c r="C49" s="238" t="str">
        <f ca="1">IFERROR(__xludf.DUMMYFUNCTION("GoogleFinance(B49,""name"")"),"Invesco QQQ Trust Series 1")</f>
        <v>Invesco QQQ Trust Series 1</v>
      </c>
      <c r="D49" s="239">
        <f ca="1">IFERROR(__xludf.DUMMYFUNCTION("GoogleFinance(B49,""marketcap"")/1000000"),187534.248121)</f>
        <v>187534.24812100001</v>
      </c>
      <c r="E49" s="240" t="s">
        <v>7</v>
      </c>
      <c r="F49" s="241"/>
      <c r="G49" s="108">
        <v>45295</v>
      </c>
      <c r="H49" s="242">
        <v>0.3</v>
      </c>
      <c r="I49" s="243">
        <f ca="1">N49/$M$56</f>
        <v>0</v>
      </c>
      <c r="J49" s="244">
        <f ca="1">IFERROR(__xludf.DUMMYFUNCTION("GOOGLEFINANCE(B49)"),480.18)</f>
        <v>480.18</v>
      </c>
      <c r="K49" s="245">
        <v>399.3</v>
      </c>
      <c r="L49" s="112"/>
      <c r="M49" s="246">
        <f>L49*K49</f>
        <v>0</v>
      </c>
      <c r="N49" s="246">
        <f ca="1">J49*L49</f>
        <v>0</v>
      </c>
      <c r="O49" s="246">
        <f ca="1">N49-M49</f>
        <v>0</v>
      </c>
      <c r="P49" s="242">
        <f ca="1">J49/K49-1</f>
        <v>0.20255447032306528</v>
      </c>
      <c r="Q49" s="247">
        <f ca="1">TODAY()-G49</f>
        <v>172</v>
      </c>
      <c r="R49" s="240">
        <v>385</v>
      </c>
      <c r="S49" s="248">
        <f ca="1">R49/J49-1</f>
        <v>-0.19821733516597939</v>
      </c>
      <c r="T49" s="240">
        <v>420</v>
      </c>
      <c r="U49" s="249">
        <f ca="1">T49/J49-1</f>
        <v>-0.12532800199925032</v>
      </c>
      <c r="V49" s="9">
        <f ca="1">IFERROR(__xludf.DUMMYFUNCTION("GoogleFinance(B49,""changepct"")/100"),0.0016)</f>
        <v>1.6000000000000001E-3</v>
      </c>
      <c r="W49" s="57">
        <f ca="1">J49/AN50-1</f>
        <v>0.11521936038274849</v>
      </c>
      <c r="X49" s="57">
        <f ca="1">J49/AP50-1</f>
        <v>0.15159363983020357</v>
      </c>
      <c r="Y49" s="57">
        <f ca="1">J49/AR50-1</f>
        <v>7.9638456695745985E-2</v>
      </c>
      <c r="Z49" s="57">
        <f ca="1">J49/AT50-1</f>
        <v>0.16866238317757021</v>
      </c>
      <c r="AA49" s="57">
        <f ca="1">J49/AV50-1</f>
        <v>0.17254346552060951</v>
      </c>
      <c r="AB49" s="250" t="s">
        <v>88</v>
      </c>
      <c r="AC49" s="251" t="s">
        <v>70</v>
      </c>
      <c r="AD49" s="251" t="s">
        <v>70</v>
      </c>
      <c r="AE49" s="252" t="s">
        <v>155</v>
      </c>
      <c r="AF49" s="253" t="s">
        <v>89</v>
      </c>
      <c r="AG49" s="254" t="s">
        <v>95</v>
      </c>
      <c r="AH49" s="255"/>
      <c r="AI49" s="119" t="s">
        <v>156</v>
      </c>
      <c r="AJ49" s="256"/>
      <c r="AK49" s="256"/>
      <c r="AL49" s="256"/>
      <c r="AM49" s="57" t="s">
        <v>375</v>
      </c>
      <c r="AN49" s="104" t="s">
        <v>376</v>
      </c>
      <c r="AO49" s="57" t="s">
        <v>375</v>
      </c>
      <c r="AP49" s="104" t="s">
        <v>376</v>
      </c>
      <c r="AQ49" s="242" t="s">
        <v>375</v>
      </c>
      <c r="AR49" s="104" t="s">
        <v>376</v>
      </c>
      <c r="AS49" s="242" t="s">
        <v>375</v>
      </c>
      <c r="AT49" s="104" t="s">
        <v>376</v>
      </c>
      <c r="AU49" s="242" t="s">
        <v>375</v>
      </c>
      <c r="AV49" s="104" t="s">
        <v>376</v>
      </c>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57"/>
      <c r="BT49" s="257"/>
      <c r="BU49" s="257"/>
      <c r="BV49" s="257"/>
      <c r="BW49" s="257"/>
      <c r="BX49" s="257"/>
      <c r="BY49" s="257"/>
      <c r="BZ49" s="257"/>
      <c r="CA49" s="257"/>
    </row>
    <row r="50" spans="1:79" ht="13.2" hidden="1">
      <c r="A50" s="244" t="e">
        <f>#REF!+1</f>
        <v>#REF!</v>
      </c>
      <c r="B50" s="241"/>
      <c r="C50" s="258"/>
      <c r="D50" s="258"/>
      <c r="E50" s="241"/>
      <c r="F50" s="241"/>
      <c r="G50" s="259"/>
      <c r="H50" s="256"/>
      <c r="I50" s="260"/>
      <c r="J50" s="241"/>
      <c r="K50" s="261"/>
      <c r="L50" s="262"/>
      <c r="M50" s="263"/>
      <c r="N50" s="263"/>
      <c r="O50" s="264"/>
      <c r="P50" s="256"/>
      <c r="Q50" s="260"/>
      <c r="R50" s="256"/>
      <c r="S50" s="256"/>
      <c r="T50" s="256"/>
      <c r="U50" s="260"/>
      <c r="V50" s="256"/>
      <c r="W50" s="256"/>
      <c r="X50" s="256"/>
      <c r="Y50" s="256"/>
      <c r="Z50" s="256"/>
      <c r="AA50" s="260"/>
      <c r="AB50" s="256"/>
      <c r="AC50" s="256"/>
      <c r="AD50" s="256"/>
      <c r="AE50" s="256"/>
      <c r="AF50" s="256"/>
      <c r="AG50" s="256"/>
      <c r="AH50" s="256"/>
      <c r="AI50" s="256"/>
      <c r="AJ50" s="256"/>
      <c r="AK50" s="256"/>
      <c r="AL50" s="256"/>
      <c r="AM50" s="265">
        <v>45338.666666666599</v>
      </c>
      <c r="AN50" s="266">
        <v>430.57</v>
      </c>
      <c r="AO50" s="265">
        <v>45322.666666666599</v>
      </c>
      <c r="AP50" s="266">
        <v>416.97</v>
      </c>
      <c r="AQ50" s="265">
        <v>45376.666666666599</v>
      </c>
      <c r="AR50" s="266">
        <v>444.76</v>
      </c>
      <c r="AS50" s="265">
        <v>45286.666666666599</v>
      </c>
      <c r="AT50" s="266">
        <v>410.88</v>
      </c>
      <c r="AU50" s="265">
        <v>45289.666666666599</v>
      </c>
      <c r="AV50" s="266">
        <v>409.52</v>
      </c>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57"/>
      <c r="BT50" s="257"/>
      <c r="BU50" s="257"/>
      <c r="BV50" s="257"/>
      <c r="BW50" s="257"/>
      <c r="BX50" s="257"/>
      <c r="BY50" s="257"/>
      <c r="BZ50" s="257"/>
      <c r="CA50" s="257"/>
    </row>
    <row r="51" spans="1:79" ht="19.2" hidden="1">
      <c r="A51" s="160">
        <f>A47+1</f>
        <v>16</v>
      </c>
      <c r="B51" s="184" t="s">
        <v>157</v>
      </c>
      <c r="C51" s="185" t="str">
        <f ca="1">IFERROR(__xludf.DUMMYFUNCTION("GoogleFinance(B51,""name"")"),"Invesco S&amp;P 500 Eql Wght ETF")</f>
        <v>Invesco S&amp;P 500 Eql Wght ETF</v>
      </c>
      <c r="D51" s="186">
        <f ca="1">IFERROR(__xludf.DUMMYFUNCTION("GoogleFinance(B51,""marketcap"")/1000000"),290.759354)</f>
        <v>290.75935399999997</v>
      </c>
      <c r="E51" s="187" t="s">
        <v>65</v>
      </c>
      <c r="F51" s="187"/>
      <c r="G51" s="188">
        <v>45225</v>
      </c>
      <c r="H51" s="189">
        <v>0.25</v>
      </c>
      <c r="I51" s="190">
        <f ca="1">N51/$M$56</f>
        <v>0</v>
      </c>
      <c r="J51" s="191">
        <f ca="1">IFERROR(__xludf.DUMMYFUNCTION("GOOGLEFINANCE(B51)"),165.59)</f>
        <v>165.59</v>
      </c>
      <c r="K51" s="192">
        <v>135.37</v>
      </c>
      <c r="L51" s="193"/>
      <c r="M51" s="194">
        <f>L51*K51</f>
        <v>0</v>
      </c>
      <c r="N51" s="195">
        <f ca="1">J51*L51</f>
        <v>0</v>
      </c>
      <c r="O51" s="195">
        <f ca="1">N51-M51</f>
        <v>0</v>
      </c>
      <c r="P51" s="189">
        <f ca="1">J51/K51-1</f>
        <v>0.22324000886459339</v>
      </c>
      <c r="Q51" s="196">
        <f ca="1">TODAY()-G51</f>
        <v>242</v>
      </c>
      <c r="R51" s="197"/>
      <c r="S51" s="189">
        <f ca="1">R51/J51-1</f>
        <v>-1</v>
      </c>
      <c r="T51" s="187">
        <v>147</v>
      </c>
      <c r="U51" s="190">
        <f ca="1">T51/J51-1</f>
        <v>-0.11226523340781447</v>
      </c>
      <c r="V51" s="198">
        <f ca="1">IFERROR(__xludf.DUMMYFUNCTION("GoogleFinance(B51,""changepct"")/100"),0.004)</f>
        <v>4.0000000000000001E-3</v>
      </c>
      <c r="W51" s="189">
        <f ca="1">J51/AN52-1</f>
        <v>9.9754267118283835E-2</v>
      </c>
      <c r="X51" s="189">
        <f ca="1">J51/AP52-1</f>
        <v>0.21909740116321874</v>
      </c>
      <c r="Y51" s="189">
        <f ca="1">J51/AR52-1</f>
        <v>-4.1496271349530378E-3</v>
      </c>
      <c r="Z51" s="189">
        <f ca="1">J51/AT52-1</f>
        <v>4.8635298587803133E-2</v>
      </c>
      <c r="AA51" s="189">
        <f ca="1">J51/AV52-1</f>
        <v>0.17231858407079659</v>
      </c>
      <c r="AB51" s="199" t="s">
        <v>88</v>
      </c>
      <c r="AC51" s="200" t="s">
        <v>70</v>
      </c>
      <c r="AD51" s="200" t="s">
        <v>70</v>
      </c>
      <c r="AE51" s="201" t="s">
        <v>155</v>
      </c>
      <c r="AF51" s="201" t="s">
        <v>89</v>
      </c>
      <c r="AG51" s="201" t="s">
        <v>95</v>
      </c>
      <c r="AH51" s="267"/>
      <c r="AI51" s="268" t="s">
        <v>158</v>
      </c>
      <c r="AJ51" s="189"/>
      <c r="AK51" s="189"/>
      <c r="AL51" s="189"/>
      <c r="AM51" s="2" t="s">
        <v>375</v>
      </c>
      <c r="AN51" s="203" t="s">
        <v>376</v>
      </c>
      <c r="AO51" s="214" t="s">
        <v>375</v>
      </c>
      <c r="AP51" s="203" t="s">
        <v>376</v>
      </c>
      <c r="AQ51" s="189" t="s">
        <v>375</v>
      </c>
      <c r="AR51" s="203" t="s">
        <v>376</v>
      </c>
      <c r="AS51" s="189" t="s">
        <v>375</v>
      </c>
      <c r="AT51" s="203" t="s">
        <v>376</v>
      </c>
      <c r="AU51" s="189" t="s">
        <v>375</v>
      </c>
      <c r="AV51" s="203" t="s">
        <v>376</v>
      </c>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5"/>
      <c r="BT51" s="205"/>
      <c r="BU51" s="205"/>
      <c r="BV51" s="205"/>
      <c r="BW51" s="205"/>
      <c r="BX51" s="205"/>
      <c r="BY51" s="205"/>
      <c r="BZ51" s="205"/>
      <c r="CA51" s="205"/>
    </row>
    <row r="52" spans="1:79" ht="13.2" hidden="1">
      <c r="A52" s="47" t="e">
        <f>#REF!+1</f>
        <v>#REF!</v>
      </c>
      <c r="B52" s="1"/>
      <c r="C52" s="48"/>
      <c r="D52" s="49"/>
      <c r="E52" s="50"/>
      <c r="F52" s="50"/>
      <c r="G52" s="51"/>
      <c r="H52" s="2"/>
      <c r="I52" s="65"/>
      <c r="J52" s="131"/>
      <c r="K52" s="53"/>
      <c r="L52" s="50"/>
      <c r="M52" s="50"/>
      <c r="N52" s="66"/>
      <c r="O52" s="122"/>
      <c r="P52" s="123"/>
      <c r="Q52" s="68"/>
      <c r="R52" s="9"/>
      <c r="S52" s="57"/>
      <c r="T52" s="57"/>
      <c r="U52" s="109"/>
      <c r="V52" s="9"/>
      <c r="W52" s="57"/>
      <c r="X52" s="57"/>
      <c r="Y52" s="57"/>
      <c r="Z52" s="57"/>
      <c r="AA52" s="57"/>
      <c r="AB52" s="16"/>
      <c r="AC52" s="3"/>
      <c r="AD52" s="3"/>
      <c r="AE52" s="3"/>
      <c r="AF52" s="3"/>
      <c r="AG52" s="3"/>
      <c r="AH52" s="3"/>
      <c r="AI52" s="3"/>
      <c r="AJ52" s="2"/>
      <c r="AK52" s="2"/>
      <c r="AL52" s="2"/>
      <c r="AM52" s="51">
        <v>45268.666666666599</v>
      </c>
      <c r="AN52" s="30">
        <v>150.57</v>
      </c>
      <c r="AO52" s="51">
        <v>45230.666666666599</v>
      </c>
      <c r="AP52" s="30">
        <v>135.83000000000001</v>
      </c>
      <c r="AQ52" s="51">
        <v>45376.666666666599</v>
      </c>
      <c r="AR52" s="30">
        <v>166.28</v>
      </c>
      <c r="AS52" s="51">
        <v>45286.666666666599</v>
      </c>
      <c r="AT52" s="30">
        <v>157.91</v>
      </c>
      <c r="AU52" s="51">
        <v>44925.666666666599</v>
      </c>
      <c r="AV52" s="30">
        <v>141.25</v>
      </c>
      <c r="AW52" s="5"/>
      <c r="AX52" s="5"/>
      <c r="AY52" s="5"/>
      <c r="AZ52" s="5"/>
      <c r="BA52" s="5"/>
      <c r="BB52" s="5"/>
      <c r="BC52" s="5"/>
      <c r="BD52" s="5"/>
      <c r="BE52" s="5"/>
      <c r="BF52" s="5"/>
      <c r="BG52" s="5"/>
      <c r="BH52" s="5"/>
      <c r="BI52" s="5"/>
      <c r="BJ52" s="5"/>
      <c r="BK52" s="5"/>
      <c r="BL52" s="5"/>
      <c r="BM52" s="5"/>
      <c r="BN52" s="5"/>
      <c r="BO52" s="5"/>
      <c r="BP52" s="5"/>
      <c r="BQ52" s="5"/>
      <c r="BR52" s="5"/>
    </row>
    <row r="53" spans="1:79" ht="13.2">
      <c r="A53" s="269"/>
      <c r="B53" s="269"/>
      <c r="C53" s="269"/>
      <c r="D53" s="269"/>
      <c r="E53" s="269"/>
      <c r="F53" s="269"/>
      <c r="G53" s="269"/>
      <c r="H53" s="269"/>
      <c r="I53" s="270"/>
      <c r="J53" s="271"/>
      <c r="K53" s="272"/>
      <c r="L53" s="272"/>
      <c r="M53" s="273"/>
      <c r="N53" s="274"/>
      <c r="O53" s="275"/>
      <c r="P53" s="275"/>
      <c r="Q53" s="276"/>
      <c r="R53" s="277"/>
      <c r="S53" s="278"/>
      <c r="T53" s="278"/>
      <c r="U53" s="279"/>
      <c r="V53" s="277"/>
      <c r="W53" s="280"/>
      <c r="X53" s="280"/>
      <c r="Y53" s="280"/>
      <c r="Z53" s="280"/>
      <c r="AA53" s="280"/>
      <c r="AB53" s="281"/>
      <c r="AC53" s="282"/>
      <c r="AD53" s="282"/>
      <c r="AE53" s="282"/>
      <c r="AF53" s="282"/>
      <c r="AG53" s="282"/>
      <c r="AH53" s="282"/>
      <c r="AI53" s="282"/>
      <c r="AJ53" s="2"/>
      <c r="AK53" s="2"/>
      <c r="AL53" s="2"/>
      <c r="AM53" s="3"/>
      <c r="AN53" s="283"/>
      <c r="AO53" s="29"/>
      <c r="AP53" s="283"/>
      <c r="AQ53" s="29"/>
      <c r="AR53" s="283"/>
      <c r="AS53" s="29"/>
      <c r="AT53" s="283"/>
      <c r="AU53" s="29"/>
      <c r="AV53" s="283"/>
      <c r="AW53" s="29"/>
      <c r="AX53" s="29"/>
      <c r="AY53" s="5"/>
      <c r="AZ53" s="5"/>
      <c r="BA53" s="5"/>
      <c r="BB53" s="5"/>
      <c r="BC53" s="5"/>
      <c r="BD53" s="5"/>
      <c r="BE53" s="5"/>
      <c r="BF53" s="29"/>
      <c r="BG53" s="29"/>
      <c r="BH53" s="29"/>
      <c r="BI53" s="29"/>
      <c r="BJ53" s="29"/>
      <c r="BK53" s="29"/>
      <c r="BL53" s="29"/>
      <c r="BM53" s="29"/>
      <c r="BN53" s="29"/>
      <c r="BO53" s="29"/>
      <c r="BP53" s="29"/>
      <c r="BQ53" s="29"/>
      <c r="BR53" s="29"/>
      <c r="BS53" s="283"/>
      <c r="BT53" s="283"/>
      <c r="BU53" s="283"/>
      <c r="BV53" s="283"/>
      <c r="BW53" s="283"/>
      <c r="BX53" s="283"/>
      <c r="BY53" s="283"/>
      <c r="BZ53" s="283"/>
      <c r="CA53" s="283"/>
    </row>
    <row r="54" spans="1:79" ht="15.75" customHeight="1">
      <c r="A54" s="284"/>
      <c r="B54" s="284"/>
      <c r="C54" s="284"/>
      <c r="D54" s="113"/>
      <c r="E54" s="284"/>
      <c r="F54" s="284"/>
      <c r="G54" s="284"/>
      <c r="H54" s="284"/>
      <c r="I54" s="285"/>
      <c r="J54" s="286" t="s">
        <v>31</v>
      </c>
      <c r="K54" s="287"/>
      <c r="L54" s="287"/>
      <c r="M54" s="288">
        <f ca="1">SUM(N3:N52)</f>
        <v>52627.269896452533</v>
      </c>
      <c r="N54" s="289">
        <f ca="1">M54/M56</f>
        <v>0.4611913581086276</v>
      </c>
      <c r="O54" s="290"/>
      <c r="P54" s="290"/>
      <c r="Q54" s="291"/>
      <c r="R54" s="291"/>
      <c r="S54" s="291"/>
      <c r="T54" s="291"/>
      <c r="U54" s="291"/>
      <c r="V54" s="291"/>
      <c r="W54" s="292"/>
      <c r="X54" s="292"/>
      <c r="Y54" s="292"/>
      <c r="Z54" s="292"/>
      <c r="AA54" s="292"/>
      <c r="AB54" s="22"/>
      <c r="AC54" s="22"/>
      <c r="AD54" s="22"/>
      <c r="AE54" s="22"/>
      <c r="AF54" s="22"/>
      <c r="AG54" s="22"/>
      <c r="AH54" s="22"/>
      <c r="AI54" s="22"/>
      <c r="AJ54" s="2"/>
      <c r="AK54" s="2"/>
      <c r="AL54" s="2"/>
      <c r="AM54" s="3"/>
      <c r="AN54" s="29"/>
      <c r="AO54" s="29"/>
      <c r="AP54" s="29"/>
      <c r="AQ54" s="29"/>
      <c r="AR54" s="29"/>
      <c r="AS54" s="29"/>
      <c r="AT54" s="29"/>
      <c r="AU54" s="29"/>
      <c r="AV54" s="29"/>
      <c r="AW54" s="29"/>
      <c r="AX54" s="29"/>
      <c r="AY54" s="5"/>
      <c r="AZ54" s="5"/>
      <c r="BA54" s="5"/>
      <c r="BB54" s="5"/>
      <c r="BC54" s="5"/>
      <c r="BD54" s="5"/>
      <c r="BE54" s="5"/>
      <c r="BF54" s="29"/>
      <c r="BG54" s="29"/>
      <c r="BH54" s="29"/>
      <c r="BI54" s="29"/>
      <c r="BJ54" s="29"/>
      <c r="BK54" s="29"/>
      <c r="BL54" s="29"/>
      <c r="BM54" s="29"/>
      <c r="BN54" s="29"/>
      <c r="BO54" s="29"/>
      <c r="BP54" s="29"/>
      <c r="BQ54" s="29"/>
      <c r="BR54" s="29"/>
      <c r="BS54" s="29"/>
      <c r="BT54" s="29"/>
      <c r="BU54" s="29"/>
      <c r="BV54" s="29"/>
      <c r="BW54" s="29"/>
      <c r="BX54" s="29"/>
      <c r="BY54" s="29"/>
      <c r="BZ54" s="29"/>
      <c r="CA54" s="29"/>
    </row>
    <row r="55" spans="1:79" ht="15.75" customHeight="1">
      <c r="A55" s="293"/>
      <c r="B55" s="293"/>
      <c r="C55" s="51"/>
      <c r="D55" s="144"/>
      <c r="E55" s="54"/>
      <c r="F55" s="293"/>
      <c r="G55" s="53"/>
      <c r="H55" s="293"/>
      <c r="I55" s="294"/>
      <c r="J55" s="295" t="s">
        <v>159</v>
      </c>
      <c r="K55" s="296"/>
      <c r="L55" s="296"/>
      <c r="M55" s="297">
        <f>39384+14010+8090.3</f>
        <v>61484.3</v>
      </c>
      <c r="N55" s="298">
        <f ca="1">M55/M56</f>
        <v>0.53880864189137234</v>
      </c>
      <c r="O55" s="299"/>
      <c r="P55" s="300"/>
      <c r="Q55" s="144"/>
      <c r="R55" s="144"/>
      <c r="S55" s="144"/>
      <c r="T55" s="144"/>
      <c r="U55" s="144"/>
      <c r="V55" s="144"/>
      <c r="W55" s="141"/>
      <c r="X55" s="141"/>
      <c r="Y55" s="141"/>
      <c r="Z55" s="141"/>
      <c r="AA55" s="141"/>
      <c r="AB55" s="3"/>
      <c r="AC55" s="3"/>
      <c r="AD55" s="3"/>
      <c r="AE55" s="3"/>
      <c r="AF55" s="3"/>
      <c r="AG55" s="3"/>
      <c r="AH55" s="3"/>
      <c r="AI55" s="3"/>
      <c r="AJ55" s="3"/>
      <c r="AK55" s="3"/>
      <c r="AL55" s="3"/>
      <c r="AM55" s="3"/>
      <c r="AN55" s="141"/>
      <c r="AO55" s="141"/>
      <c r="AP55" s="141"/>
      <c r="AQ55" s="141"/>
      <c r="AR55" s="141"/>
      <c r="AS55" s="141"/>
      <c r="AT55" s="141"/>
      <c r="AU55" s="29"/>
      <c r="AV55" s="141"/>
      <c r="AW55" s="29"/>
      <c r="AX55" s="141"/>
      <c r="AY55" s="5"/>
      <c r="AZ55" s="5"/>
      <c r="BA55" s="5"/>
      <c r="BB55" s="5"/>
      <c r="BC55" s="5"/>
      <c r="BD55" s="5"/>
      <c r="BE55" s="5"/>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row>
    <row r="56" spans="1:79" ht="15.75" customHeight="1">
      <c r="A56" s="293"/>
      <c r="B56" s="293"/>
      <c r="C56" s="301"/>
      <c r="D56" s="144"/>
      <c r="E56" s="302"/>
      <c r="F56" s="57"/>
      <c r="G56" s="54"/>
      <c r="H56" s="293"/>
      <c r="I56" s="294"/>
      <c r="J56" s="286" t="s">
        <v>160</v>
      </c>
      <c r="K56" s="287"/>
      <c r="L56" s="287"/>
      <c r="M56" s="303">
        <f ca="1">M55+M54</f>
        <v>114111.56989645254</v>
      </c>
      <c r="N56" s="290"/>
      <c r="O56" s="144"/>
      <c r="P56" s="144"/>
      <c r="Q56" s="144"/>
      <c r="R56" s="144"/>
      <c r="S56" s="144"/>
      <c r="T56" s="144"/>
      <c r="U56" s="144"/>
      <c r="V56" s="144"/>
      <c r="W56" s="141"/>
      <c r="X56" s="141"/>
      <c r="Y56" s="141"/>
      <c r="Z56" s="141"/>
      <c r="AA56" s="141"/>
      <c r="AB56" s="3"/>
      <c r="AC56" s="3"/>
      <c r="AD56" s="3"/>
      <c r="AE56" s="3"/>
      <c r="AF56" s="3"/>
      <c r="AG56" s="3"/>
      <c r="AH56" s="3"/>
      <c r="AI56" s="3"/>
      <c r="AJ56" s="3"/>
      <c r="AK56" s="3"/>
      <c r="AL56" s="3"/>
      <c r="AM56" s="3"/>
      <c r="AN56" s="141"/>
      <c r="AO56" s="141"/>
      <c r="AP56" s="141"/>
      <c r="AQ56" s="141"/>
      <c r="AR56" s="141"/>
      <c r="AS56" s="141"/>
      <c r="AT56" s="141"/>
      <c r="AU56" s="29"/>
      <c r="AV56" s="141"/>
      <c r="AW56" s="29"/>
      <c r="AX56" s="141"/>
      <c r="AY56" s="5"/>
      <c r="AZ56" s="5"/>
      <c r="BA56" s="5"/>
      <c r="BB56" s="5"/>
      <c r="BC56" s="5"/>
      <c r="BD56" s="5"/>
      <c r="BE56" s="5"/>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row>
    <row r="57" spans="1:79" ht="15.75" customHeight="1">
      <c r="A57" s="293"/>
      <c r="B57" s="293"/>
      <c r="C57" s="301"/>
      <c r="D57" s="293"/>
      <c r="E57" s="293"/>
      <c r="F57" s="54"/>
      <c r="G57" s="293"/>
      <c r="H57" s="293"/>
      <c r="I57" s="294"/>
      <c r="J57" s="304" t="s">
        <v>161</v>
      </c>
      <c r="K57" s="305"/>
      <c r="L57" s="305"/>
      <c r="M57" s="306">
        <v>113818</v>
      </c>
      <c r="N57" s="290"/>
      <c r="O57" s="144"/>
      <c r="P57" s="144"/>
      <c r="Q57" s="144"/>
      <c r="R57" s="144"/>
      <c r="S57" s="144"/>
      <c r="T57" s="144"/>
      <c r="U57" s="144"/>
      <c r="V57" s="144"/>
      <c r="W57" s="141"/>
      <c r="X57" s="141"/>
      <c r="Y57" s="141"/>
      <c r="Z57" s="141"/>
      <c r="AA57" s="141"/>
      <c r="AB57" s="3"/>
      <c r="AC57" s="307"/>
      <c r="AD57" s="307"/>
      <c r="AE57" s="307"/>
      <c r="AF57" s="307"/>
      <c r="AG57" s="3"/>
      <c r="AH57" s="3"/>
      <c r="AI57" s="3"/>
      <c r="AJ57" s="3"/>
      <c r="AK57" s="3"/>
      <c r="AL57" s="3"/>
      <c r="AM57" s="3"/>
      <c r="AN57" s="141"/>
      <c r="AO57" s="141"/>
      <c r="AP57" s="141"/>
      <c r="AQ57" s="141"/>
      <c r="AR57" s="141"/>
      <c r="AS57" s="141"/>
      <c r="AT57" s="141"/>
      <c r="AU57" s="29"/>
      <c r="AV57" s="141"/>
      <c r="AW57" s="29"/>
      <c r="AX57" s="141"/>
      <c r="AY57" s="5"/>
      <c r="AZ57" s="5"/>
      <c r="BA57" s="5"/>
      <c r="BB57" s="5"/>
      <c r="BC57" s="5"/>
      <c r="BD57" s="5"/>
      <c r="BE57" s="5"/>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row>
    <row r="58" spans="1:79" ht="15.75" customHeight="1">
      <c r="A58" s="293"/>
      <c r="B58" s="293"/>
      <c r="C58" s="301"/>
      <c r="D58" s="293"/>
      <c r="E58" s="293"/>
      <c r="F58" s="293"/>
      <c r="G58" s="293"/>
      <c r="H58" s="293"/>
      <c r="I58" s="293"/>
      <c r="J58" s="308"/>
      <c r="K58" s="284"/>
      <c r="L58" s="291"/>
      <c r="M58" s="291"/>
      <c r="N58" s="144"/>
      <c r="O58" s="144"/>
      <c r="P58" s="144"/>
      <c r="Q58" s="144"/>
      <c r="R58" s="144"/>
      <c r="S58" s="144"/>
      <c r="T58" s="144"/>
      <c r="U58" s="144"/>
      <c r="V58" s="144"/>
      <c r="W58" s="141"/>
      <c r="X58" s="141"/>
      <c r="Y58" s="141"/>
      <c r="Z58" s="141"/>
      <c r="AA58" s="141"/>
      <c r="AB58" s="30"/>
      <c r="AC58" s="548" t="s">
        <v>162</v>
      </c>
      <c r="AD58" s="549"/>
      <c r="AE58" s="549"/>
      <c r="AF58" s="550"/>
      <c r="AG58" s="15"/>
      <c r="AH58" s="3"/>
      <c r="AI58" s="3"/>
      <c r="AJ58" s="3"/>
      <c r="AK58" s="3"/>
      <c r="AL58" s="3"/>
      <c r="AM58" s="3"/>
      <c r="AN58" s="141"/>
      <c r="AO58" s="141"/>
      <c r="AP58" s="141"/>
      <c r="AQ58" s="141"/>
      <c r="AR58" s="141"/>
      <c r="AS58" s="141"/>
      <c r="AT58" s="141"/>
      <c r="AU58" s="29"/>
      <c r="AV58" s="141"/>
      <c r="AW58" s="29"/>
      <c r="AX58" s="141"/>
      <c r="AY58" s="5"/>
      <c r="AZ58" s="5"/>
      <c r="BA58" s="5"/>
      <c r="BB58" s="5"/>
      <c r="BC58" s="5"/>
      <c r="BD58" s="5"/>
      <c r="BE58" s="5"/>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row>
    <row r="59" spans="1:79" ht="36">
      <c r="A59" s="309"/>
      <c r="B59" s="309"/>
      <c r="C59" s="301"/>
      <c r="D59" s="310" t="s">
        <v>4</v>
      </c>
      <c r="E59" s="310" t="s">
        <v>51</v>
      </c>
      <c r="F59" s="311">
        <v>45101</v>
      </c>
      <c r="G59" s="310" t="s">
        <v>53</v>
      </c>
      <c r="H59" s="310" t="s">
        <v>54</v>
      </c>
      <c r="I59" s="310" t="s">
        <v>163</v>
      </c>
      <c r="J59" s="310" t="s">
        <v>55</v>
      </c>
      <c r="K59" s="310">
        <v>2023</v>
      </c>
      <c r="L59" s="310">
        <v>2022</v>
      </c>
      <c r="M59" s="310">
        <v>2021</v>
      </c>
      <c r="N59" s="310">
        <v>2020</v>
      </c>
      <c r="O59" s="310" t="s">
        <v>164</v>
      </c>
      <c r="P59" s="310" t="s">
        <v>165</v>
      </c>
      <c r="Q59" s="312">
        <v>43830</v>
      </c>
      <c r="R59" s="3"/>
      <c r="S59" s="3"/>
      <c r="T59" s="3"/>
      <c r="U59" s="3"/>
      <c r="V59" s="3"/>
      <c r="W59" s="3"/>
      <c r="X59" s="3"/>
      <c r="Y59" s="3"/>
      <c r="Z59" s="3"/>
      <c r="AA59" s="3"/>
      <c r="AB59" s="14"/>
      <c r="AC59" s="313" t="s">
        <v>64</v>
      </c>
      <c r="AD59" s="314" t="s">
        <v>65</v>
      </c>
      <c r="AE59" s="314" t="s">
        <v>166</v>
      </c>
      <c r="AF59" s="315" t="s">
        <v>167</v>
      </c>
      <c r="AG59" s="16"/>
      <c r="AH59" s="3"/>
      <c r="AI59" s="3"/>
      <c r="AJ59" s="3"/>
      <c r="AK59" s="3"/>
      <c r="AL59" s="3"/>
      <c r="AM59" s="3"/>
      <c r="AN59" s="141"/>
      <c r="AO59" s="141"/>
      <c r="AP59" s="141"/>
      <c r="AQ59" s="141"/>
      <c r="AR59" s="141"/>
      <c r="AS59" s="141"/>
      <c r="AT59" s="141"/>
      <c r="AU59" s="29"/>
      <c r="AV59" s="141"/>
      <c r="AW59" s="29"/>
      <c r="AX59" s="141"/>
      <c r="AY59" s="5"/>
      <c r="AZ59" s="5"/>
      <c r="BA59" s="5"/>
      <c r="BB59" s="5"/>
      <c r="BC59" s="5"/>
      <c r="BD59" s="5"/>
      <c r="BE59" s="5"/>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row>
    <row r="60" spans="1:79" ht="15.75" customHeight="1">
      <c r="A60" s="309"/>
      <c r="B60" s="309"/>
      <c r="C60" s="309" t="s">
        <v>168</v>
      </c>
      <c r="D60" s="9">
        <v>-1.9672767462634464E-4</v>
      </c>
      <c r="E60" s="9">
        <v>3.4792923478933358E-3</v>
      </c>
      <c r="F60" s="9">
        <v>-6.5207076521066644E-3</v>
      </c>
      <c r="G60" s="9">
        <v>1.3447232644793639E-2</v>
      </c>
      <c r="H60" s="9">
        <v>0.11280010746273494</v>
      </c>
      <c r="I60" s="9">
        <v>0.21416904160709871</v>
      </c>
      <c r="J60" s="9">
        <v>0.11280010746273494</v>
      </c>
      <c r="K60" s="9">
        <v>0.13100000000000001</v>
      </c>
      <c r="L60" s="9">
        <v>-0.126</v>
      </c>
      <c r="M60" s="9">
        <v>0.104</v>
      </c>
      <c r="N60" s="9">
        <v>0.77100000000000002</v>
      </c>
      <c r="O60" s="9">
        <v>1.15069502783457</v>
      </c>
      <c r="P60" s="316">
        <v>0.18619125510728618</v>
      </c>
      <c r="Q60" s="15"/>
      <c r="R60" s="3"/>
      <c r="S60" s="3"/>
      <c r="T60" s="3"/>
      <c r="U60" s="3"/>
      <c r="V60" s="3"/>
      <c r="W60" s="3"/>
      <c r="X60" s="3"/>
      <c r="Y60" s="3"/>
      <c r="Z60" s="3"/>
      <c r="AA60" s="3"/>
      <c r="AB60" s="7" t="s">
        <v>7</v>
      </c>
      <c r="AC60" s="317">
        <v>2.2217424825841593E-2</v>
      </c>
      <c r="AD60" s="13">
        <v>0.308</v>
      </c>
      <c r="AE60" s="317">
        <v>-0.28578257517415839</v>
      </c>
      <c r="AF60" s="318">
        <v>3.2503184433609889E-3</v>
      </c>
      <c r="AG60" s="16"/>
      <c r="AH60" s="3"/>
      <c r="AI60" s="3"/>
      <c r="AJ60" s="3"/>
      <c r="AK60" s="3"/>
      <c r="AL60" s="3"/>
      <c r="AM60" s="144" t="s">
        <v>169</v>
      </c>
      <c r="AN60" s="141"/>
      <c r="AO60" s="144" t="s">
        <v>170</v>
      </c>
      <c r="AP60" s="141"/>
      <c r="AQ60" s="144" t="s">
        <v>171</v>
      </c>
      <c r="AR60" s="145"/>
      <c r="AS60" s="144" t="s">
        <v>172</v>
      </c>
      <c r="AT60" s="145"/>
      <c r="AU60" s="144" t="s">
        <v>173</v>
      </c>
      <c r="AV60" s="145"/>
      <c r="AW60" s="29" t="s">
        <v>55</v>
      </c>
      <c r="AX60" s="141"/>
      <c r="AY60" s="29">
        <v>2020</v>
      </c>
      <c r="AZ60" s="141"/>
      <c r="BA60" s="144" t="s">
        <v>174</v>
      </c>
      <c r="BB60" s="145"/>
      <c r="BC60" s="5"/>
      <c r="BD60" s="5"/>
      <c r="BE60" s="5"/>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row>
    <row r="61" spans="1:79" ht="15.75" customHeight="1">
      <c r="A61" s="309"/>
      <c r="B61" s="309"/>
      <c r="C61" s="309" t="s">
        <v>175</v>
      </c>
      <c r="D61" s="9">
        <v>0</v>
      </c>
      <c r="E61" s="9">
        <v>3.1872950366631514E-3</v>
      </c>
      <c r="F61" s="9">
        <v>3.2500900695906054E-2</v>
      </c>
      <c r="G61" s="18">
        <v>4.7597976027858424E-2</v>
      </c>
      <c r="H61" s="18">
        <v>0.14477031430673826</v>
      </c>
      <c r="I61" s="18">
        <v>0.26207583905062126</v>
      </c>
      <c r="J61" s="18">
        <v>0.14558919442048346</v>
      </c>
      <c r="K61" s="18">
        <v>0.24299999999999999</v>
      </c>
      <c r="L61" s="18">
        <v>-0.19500000000000001</v>
      </c>
      <c r="M61" s="18">
        <v>0.27</v>
      </c>
      <c r="N61" s="18">
        <v>0.16200000000000001</v>
      </c>
      <c r="O61" s="18">
        <v>0.69587018811511148</v>
      </c>
      <c r="P61" s="316">
        <v>0.12498674239059415</v>
      </c>
      <c r="Q61" s="15"/>
      <c r="R61" s="3"/>
      <c r="S61" s="3"/>
      <c r="T61" s="3"/>
      <c r="U61" s="319"/>
      <c r="V61" s="3"/>
      <c r="W61" s="3"/>
      <c r="X61" s="3"/>
      <c r="Y61" s="3"/>
      <c r="Z61" s="3"/>
      <c r="AA61" s="3"/>
      <c r="AB61" s="7" t="s">
        <v>12</v>
      </c>
      <c r="AC61" s="11">
        <v>7.4172917534231469E-2</v>
      </c>
      <c r="AD61" s="2">
        <v>8.8999999999999996E-2</v>
      </c>
      <c r="AE61" s="11">
        <v>-1.4827082465768526E-2</v>
      </c>
      <c r="AF61" s="12">
        <v>9.627956733626597E-3</v>
      </c>
      <c r="AG61" s="16"/>
      <c r="AH61" s="5"/>
      <c r="AI61" s="5"/>
      <c r="AJ61" s="3"/>
      <c r="AK61" s="320" t="s">
        <v>5</v>
      </c>
      <c r="AL61" s="321" t="s">
        <v>4</v>
      </c>
      <c r="AM61" s="2" t="s">
        <v>375</v>
      </c>
      <c r="AN61" s="104" t="s">
        <v>376</v>
      </c>
      <c r="AO61" s="57" t="s">
        <v>375</v>
      </c>
      <c r="AP61" s="104" t="s">
        <v>376</v>
      </c>
      <c r="AQ61" s="242" t="s">
        <v>375</v>
      </c>
      <c r="AR61" s="104" t="s">
        <v>376</v>
      </c>
      <c r="AS61" s="242" t="s">
        <v>375</v>
      </c>
      <c r="AT61" s="104" t="s">
        <v>376</v>
      </c>
      <c r="AU61" s="242" t="s">
        <v>375</v>
      </c>
      <c r="AV61" s="104" t="s">
        <v>376</v>
      </c>
      <c r="AW61" s="242" t="s">
        <v>375</v>
      </c>
      <c r="AX61" s="104" t="s">
        <v>376</v>
      </c>
      <c r="AY61" s="242" t="s">
        <v>375</v>
      </c>
      <c r="AZ61" s="104" t="s">
        <v>376</v>
      </c>
      <c r="BA61" s="242" t="s">
        <v>375</v>
      </c>
      <c r="BB61" s="104" t="s">
        <v>376</v>
      </c>
      <c r="BC61" s="5"/>
      <c r="BD61" s="5"/>
      <c r="BE61" s="5"/>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row>
    <row r="62" spans="1:79" ht="15.75" customHeight="1">
      <c r="A62" s="309"/>
      <c r="B62" s="309"/>
      <c r="C62" s="322" t="s">
        <v>166</v>
      </c>
      <c r="D62" s="323">
        <f t="shared" ref="D62:P62" si="9">D60-D61</f>
        <v>-1.9672767462634464E-4</v>
      </c>
      <c r="E62" s="323">
        <f t="shared" si="9"/>
        <v>2.9199731123018442E-4</v>
      </c>
      <c r="F62" s="323">
        <f t="shared" si="9"/>
        <v>-3.9021608348012715E-2</v>
      </c>
      <c r="G62" s="323">
        <f t="shared" si="9"/>
        <v>-3.4150743383064786E-2</v>
      </c>
      <c r="H62" s="323">
        <f t="shared" si="9"/>
        <v>-3.1970206844003313E-2</v>
      </c>
      <c r="I62" s="323">
        <f t="shared" si="9"/>
        <v>-4.7906797443522553E-2</v>
      </c>
      <c r="J62" s="323">
        <f t="shared" si="9"/>
        <v>-3.2789086957748514E-2</v>
      </c>
      <c r="K62" s="323">
        <f t="shared" si="9"/>
        <v>-0.11199999999999999</v>
      </c>
      <c r="L62" s="323">
        <f t="shared" si="9"/>
        <v>6.9000000000000006E-2</v>
      </c>
      <c r="M62" s="323">
        <f t="shared" si="9"/>
        <v>-0.16600000000000004</v>
      </c>
      <c r="N62" s="323">
        <f t="shared" si="9"/>
        <v>0.60899999999999999</v>
      </c>
      <c r="O62" s="323">
        <f t="shared" si="9"/>
        <v>0.45482483971945853</v>
      </c>
      <c r="P62" s="323">
        <f t="shared" si="9"/>
        <v>6.1204512716692028E-2</v>
      </c>
      <c r="Q62" s="15"/>
      <c r="R62" s="3"/>
      <c r="S62" s="3"/>
      <c r="T62" s="3"/>
      <c r="U62" s="3"/>
      <c r="V62" s="3"/>
      <c r="W62" s="3"/>
      <c r="X62" s="3"/>
      <c r="Y62" s="3"/>
      <c r="Z62" s="3"/>
      <c r="AA62" s="3"/>
      <c r="AB62" s="7" t="s">
        <v>176</v>
      </c>
      <c r="AC62" s="11">
        <f ca="1">+I47*AD62+I51*0.06</f>
        <v>0</v>
      </c>
      <c r="AD62" s="2">
        <v>2.3E-2</v>
      </c>
      <c r="AE62" s="11">
        <f t="shared" ref="AE60:AE72" ca="1" si="10">AC62-AD62</f>
        <v>-2.3E-2</v>
      </c>
      <c r="AF62" s="12">
        <v>-1.2976901116014128E-3</v>
      </c>
      <c r="AG62" s="16"/>
      <c r="AH62" s="3"/>
      <c r="AI62" s="3"/>
      <c r="AJ62" s="3"/>
      <c r="AK62" s="3"/>
      <c r="AL62" s="47">
        <f ca="1">IFERROR(__xludf.DUMMYFUNCTION("GOOGLEFINANCE(AK61)"),544.51)</f>
        <v>544.51</v>
      </c>
      <c r="AM62" s="265">
        <v>45457.666666666599</v>
      </c>
      <c r="AN62" s="266">
        <v>542.78</v>
      </c>
      <c r="AO62" s="265">
        <v>45443.666666666599</v>
      </c>
      <c r="AP62" s="266">
        <v>527.37</v>
      </c>
      <c r="AQ62" s="265">
        <v>45376.666666666599</v>
      </c>
      <c r="AR62" s="266">
        <v>519.77</v>
      </c>
      <c r="AS62" s="265">
        <v>45286.666666666599</v>
      </c>
      <c r="AT62" s="266">
        <v>475.65</v>
      </c>
      <c r="AU62" s="265">
        <v>45103.666666666599</v>
      </c>
      <c r="AV62" s="266">
        <v>431.44</v>
      </c>
      <c r="AW62" s="265">
        <v>45289.666666666599</v>
      </c>
      <c r="AX62" s="266">
        <v>475.31</v>
      </c>
      <c r="AY62" s="265">
        <f ca="1">IFERROR(__xludf.DUMMYFUNCTION("""COMPUTED_VALUE"""),43829.6666666666)</f>
        <v>43829.666666666599</v>
      </c>
      <c r="AZ62" s="266">
        <f ca="1">IFERROR(__xludf.DUMMYFUNCTION("""COMPUTED_VALUE"""),321.08)</f>
        <v>321.08</v>
      </c>
      <c r="BA62" s="265">
        <f ca="1">IFERROR(__xludf.DUMMYFUNCTION("""COMPUTED_VALUE"""),44372.6666666666)</f>
        <v>44372.666666666599</v>
      </c>
      <c r="BB62" s="266">
        <f ca="1">IFERROR(__xludf.DUMMYFUNCTION("""COMPUTED_VALUE"""),426.61)</f>
        <v>426.61</v>
      </c>
      <c r="BC62" s="5"/>
      <c r="BD62" s="5"/>
      <c r="BE62" s="5"/>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row>
    <row r="63" spans="1:79" ht="15.75" customHeight="1">
      <c r="A63" s="309"/>
      <c r="B63" s="309"/>
      <c r="I63" s="293"/>
      <c r="J63" s="5"/>
      <c r="K63" s="144"/>
      <c r="L63" s="144"/>
      <c r="M63" s="144"/>
      <c r="N63" s="144"/>
      <c r="O63" s="141"/>
      <c r="P63" s="144"/>
      <c r="Q63" s="144"/>
      <c r="R63" s="144"/>
      <c r="S63" s="144"/>
      <c r="T63" s="144"/>
      <c r="U63" s="144"/>
      <c r="V63" s="144"/>
      <c r="W63" s="3"/>
      <c r="X63" s="3"/>
      <c r="Y63" s="3"/>
      <c r="Z63" s="3"/>
      <c r="AA63" s="3"/>
      <c r="AB63" s="7" t="s">
        <v>13</v>
      </c>
      <c r="AC63" s="11">
        <f ca="1">I47*AD63+I51*0.14+I37</f>
        <v>1.2071552896258476E-2</v>
      </c>
      <c r="AD63" s="2">
        <v>0.125</v>
      </c>
      <c r="AE63" s="11">
        <f t="shared" ca="1" si="10"/>
        <v>-0.11292844710374153</v>
      </c>
      <c r="AF63" s="12">
        <v>1.6728167281672812E-2</v>
      </c>
      <c r="AG63" s="16"/>
      <c r="AH63" s="3"/>
      <c r="AI63" s="3"/>
      <c r="AJ63" s="3"/>
      <c r="AK63" s="3"/>
      <c r="AL63" s="3"/>
      <c r="AM63" s="3"/>
      <c r="AN63" s="141"/>
      <c r="AO63" s="141"/>
      <c r="AP63" s="141"/>
      <c r="AQ63" s="141"/>
      <c r="AR63" s="141"/>
      <c r="AS63" s="141"/>
      <c r="AT63" s="141"/>
      <c r="AU63" s="29"/>
      <c r="AV63" s="141"/>
      <c r="AW63" s="29"/>
      <c r="AX63" s="141"/>
      <c r="AY63" s="5"/>
      <c r="AZ63" s="5"/>
      <c r="BA63" s="5"/>
      <c r="BB63" s="5"/>
      <c r="BC63" s="5"/>
      <c r="BD63" s="5"/>
      <c r="BE63" s="5"/>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row>
    <row r="64" spans="1:79" ht="15.75" customHeight="1">
      <c r="A64" s="5"/>
      <c r="B64" s="309"/>
      <c r="C64" s="309"/>
      <c r="D64" s="309"/>
      <c r="E64" s="309"/>
      <c r="F64" s="309"/>
      <c r="G64" s="309"/>
      <c r="H64" s="309"/>
      <c r="I64" s="309"/>
      <c r="J64" s="309"/>
      <c r="K64" s="5"/>
      <c r="L64" s="5"/>
      <c r="M64" s="5"/>
      <c r="N64" s="144"/>
      <c r="O64" s="141"/>
      <c r="W64" s="3"/>
      <c r="X64" s="3"/>
      <c r="Y64" s="3"/>
      <c r="Z64" s="3"/>
      <c r="AA64" s="3"/>
      <c r="AB64" s="7" t="s">
        <v>177</v>
      </c>
      <c r="AC64" s="11">
        <f ca="1">I47*AD64+I51*0.11+0.25*I49+I21+I19</f>
        <v>5.4783577381625106E-2</v>
      </c>
      <c r="AD64" s="2">
        <v>0.108</v>
      </c>
      <c r="AE64" s="11">
        <f t="shared" ca="1" si="10"/>
        <v>-5.3216422618374892E-2</v>
      </c>
      <c r="AF64" s="12">
        <v>2.4000448606515956E-2</v>
      </c>
      <c r="AG64" s="16"/>
      <c r="AH64" s="3"/>
      <c r="AI64" s="3"/>
      <c r="AJ64" s="3"/>
      <c r="AK64" s="3"/>
      <c r="AL64" s="3"/>
      <c r="AM64" s="3"/>
      <c r="AN64" s="141"/>
      <c r="AO64" s="141"/>
      <c r="AP64" s="141"/>
      <c r="AQ64" s="141"/>
      <c r="AR64" s="141"/>
      <c r="AS64" s="141"/>
      <c r="AT64" s="141"/>
      <c r="AU64" s="29"/>
      <c r="AV64" s="141"/>
      <c r="AW64" s="29"/>
      <c r="AX64" s="141"/>
      <c r="AY64" s="29"/>
      <c r="AZ64" s="5" t="s">
        <v>64</v>
      </c>
      <c r="BA64" s="32" t="s">
        <v>65</v>
      </c>
      <c r="BC64" s="5" t="s">
        <v>66</v>
      </c>
      <c r="BE64" s="5"/>
      <c r="BF64" s="5"/>
      <c r="BG64" s="5"/>
      <c r="BH64" s="5"/>
      <c r="BI64" s="5"/>
      <c r="BJ64" s="5"/>
      <c r="BK64" s="5"/>
      <c r="BL64" s="5"/>
      <c r="BM64" s="5"/>
      <c r="BN64" s="5"/>
      <c r="BO64" s="5"/>
      <c r="BP64" s="5"/>
      <c r="BQ64" s="5"/>
      <c r="BR64" s="5"/>
      <c r="BS64" s="5"/>
      <c r="BT64" s="5"/>
      <c r="BU64" s="5"/>
      <c r="BV64" s="5"/>
      <c r="BW64" s="5"/>
      <c r="BX64" s="5"/>
      <c r="BY64" s="5"/>
      <c r="BZ64" s="5"/>
      <c r="CA64" s="5"/>
    </row>
    <row r="65" spans="1:79" ht="15.75" customHeight="1">
      <c r="A65" s="4"/>
      <c r="B65" s="309"/>
      <c r="C65" s="309"/>
      <c r="D65" s="309"/>
      <c r="E65" s="309"/>
      <c r="F65" s="309"/>
      <c r="G65" s="309"/>
      <c r="H65" s="309"/>
      <c r="I65" s="293"/>
      <c r="J65" s="5"/>
      <c r="K65" s="5"/>
      <c r="L65" s="5"/>
      <c r="M65" s="5"/>
      <c r="N65" s="144"/>
      <c r="O65" s="141"/>
      <c r="P65" s="141"/>
      <c r="Q65" s="141"/>
      <c r="R65" s="141"/>
      <c r="S65" s="141"/>
      <c r="T65" s="141"/>
      <c r="U65" s="141"/>
      <c r="V65" s="141"/>
      <c r="W65" s="3"/>
      <c r="X65" s="3"/>
      <c r="Y65" s="3"/>
      <c r="Z65" s="3"/>
      <c r="AA65" s="3"/>
      <c r="AB65" s="7" t="s">
        <v>10</v>
      </c>
      <c r="AC65" s="11">
        <f ca="1">+I47*AD65+I51*0.14</f>
        <v>0</v>
      </c>
      <c r="AD65" s="2">
        <v>8.2000000000000003E-2</v>
      </c>
      <c r="AE65" s="11">
        <f t="shared" ca="1" si="10"/>
        <v>-8.2000000000000003E-2</v>
      </c>
      <c r="AF65" s="12">
        <v>1.5022699133305784E-2</v>
      </c>
      <c r="AG65" s="16"/>
      <c r="AH65" s="3"/>
      <c r="AI65" s="3"/>
      <c r="AJ65" s="3"/>
      <c r="AK65" s="3"/>
      <c r="AL65" s="3"/>
      <c r="AM65" s="3"/>
      <c r="AN65" s="141"/>
      <c r="AO65" s="141"/>
      <c r="AP65" s="141"/>
      <c r="AQ65" s="141"/>
      <c r="AR65" s="141"/>
      <c r="AS65" s="141"/>
      <c r="AT65" s="141"/>
      <c r="AU65" s="29"/>
      <c r="AV65" s="141"/>
      <c r="AW65" s="29"/>
      <c r="AX65" s="141"/>
      <c r="AY65" s="324">
        <v>44248</v>
      </c>
      <c r="AZ65" s="9">
        <v>4.43359035718216E-3</v>
      </c>
      <c r="BA65" s="9">
        <v>2.0638342622778305E-2</v>
      </c>
      <c r="BE65" s="5"/>
      <c r="BF65" s="5"/>
      <c r="BG65" s="5"/>
      <c r="BH65" s="5"/>
      <c r="BI65" s="5"/>
      <c r="BJ65" s="5"/>
      <c r="BK65" s="5"/>
      <c r="BL65" s="5"/>
      <c r="BM65" s="5"/>
      <c r="BN65" s="5"/>
      <c r="BO65" s="5"/>
      <c r="BP65" s="5"/>
      <c r="BQ65" s="5"/>
      <c r="BR65" s="5"/>
      <c r="BS65" s="5"/>
      <c r="BT65" s="5"/>
      <c r="BU65" s="5"/>
      <c r="BV65" s="5"/>
      <c r="BW65" s="5"/>
      <c r="BX65" s="5"/>
      <c r="BY65" s="5"/>
      <c r="BZ65" s="5"/>
      <c r="CA65" s="5"/>
    </row>
    <row r="66" spans="1:79" ht="15.75" customHeight="1">
      <c r="A66" s="4"/>
      <c r="B66" s="309"/>
      <c r="C66" s="309"/>
      <c r="D66" s="309"/>
      <c r="E66" s="309"/>
      <c r="F66" s="309"/>
      <c r="G66" s="309"/>
      <c r="H66" s="309"/>
      <c r="I66" s="293"/>
      <c r="J66" s="5"/>
      <c r="K66" s="5"/>
      <c r="L66" s="5"/>
      <c r="M66" s="5"/>
      <c r="N66" s="144"/>
      <c r="O66" s="144"/>
      <c r="P66" s="144"/>
      <c r="Q66" s="144"/>
      <c r="R66" s="144"/>
      <c r="S66" s="144"/>
      <c r="T66" s="144"/>
      <c r="U66" s="144"/>
      <c r="V66" s="144"/>
      <c r="W66" s="141"/>
      <c r="X66" s="141"/>
      <c r="Y66" s="141"/>
      <c r="Z66" s="141"/>
      <c r="AA66" s="3"/>
      <c r="AB66" s="7" t="s">
        <v>11</v>
      </c>
      <c r="AC66" s="11">
        <f ca="1">I47*AD66+I51*0.04+I39+I41+I33+I35+I43</f>
        <v>4.2258033536130932E-2</v>
      </c>
      <c r="AD66" s="2">
        <v>2.1000000000000001E-2</v>
      </c>
      <c r="AE66" s="11">
        <f t="shared" ca="1" si="10"/>
        <v>2.125803353613093E-2</v>
      </c>
      <c r="AF66" s="12">
        <v>7.417397167902795E-3</v>
      </c>
      <c r="AG66" s="16"/>
      <c r="AH66" s="3"/>
      <c r="AI66" s="3"/>
      <c r="AJ66" s="3"/>
      <c r="AK66" s="3"/>
      <c r="AL66" s="3"/>
      <c r="AM66" s="3"/>
      <c r="AN66" s="141"/>
      <c r="AO66" s="141"/>
      <c r="AP66" s="141"/>
      <c r="AQ66" s="141"/>
      <c r="AR66" s="141"/>
      <c r="AS66" s="141"/>
      <c r="AT66" s="141"/>
      <c r="AU66" s="29"/>
      <c r="AV66" s="141"/>
      <c r="AW66" s="29"/>
      <c r="AX66" s="141"/>
      <c r="AY66" s="324">
        <v>44276</v>
      </c>
      <c r="AZ66" s="9">
        <v>-4.150675257945121E-2</v>
      </c>
      <c r="BA66" s="9">
        <v>4.1986539068251005E-2</v>
      </c>
      <c r="BE66" s="5"/>
      <c r="BF66" s="5"/>
      <c r="BG66" s="5"/>
      <c r="BH66" s="5"/>
      <c r="BI66" s="5"/>
      <c r="BJ66" s="5"/>
      <c r="BK66" s="5"/>
      <c r="BL66" s="5"/>
      <c r="BM66" s="5"/>
      <c r="BN66" s="5"/>
      <c r="BO66" s="5"/>
      <c r="BP66" s="5"/>
      <c r="BQ66" s="5"/>
      <c r="BR66" s="5"/>
      <c r="BS66" s="5"/>
      <c r="BT66" s="5"/>
      <c r="BU66" s="5"/>
      <c r="BV66" s="5"/>
      <c r="BW66" s="5"/>
      <c r="BX66" s="5"/>
      <c r="BY66" s="5"/>
      <c r="BZ66" s="5"/>
      <c r="CA66" s="5"/>
    </row>
    <row r="67" spans="1:79" ht="15.75" customHeight="1">
      <c r="A67" s="4"/>
      <c r="B67" s="309"/>
      <c r="C67" s="309"/>
      <c r="D67" s="325" t="s">
        <v>178</v>
      </c>
      <c r="E67" s="309"/>
      <c r="F67" s="309"/>
      <c r="G67" s="309"/>
      <c r="H67" s="309"/>
      <c r="I67" s="293"/>
      <c r="J67" s="3"/>
      <c r="K67" s="3"/>
      <c r="L67" s="3"/>
      <c r="M67" s="3"/>
      <c r="N67" s="3"/>
      <c r="O67" s="3"/>
      <c r="P67" s="3"/>
      <c r="Q67" s="3"/>
      <c r="R67" s="3"/>
      <c r="S67" s="3"/>
      <c r="T67" s="3"/>
      <c r="U67" s="3"/>
      <c r="V67" s="3"/>
      <c r="W67" s="3"/>
      <c r="X67" s="319" t="s">
        <v>71</v>
      </c>
      <c r="Y67" s="319">
        <f ca="1">SUM(I3:I10)</f>
        <v>5.0923307336927202E-2</v>
      </c>
      <c r="Z67" s="141"/>
      <c r="AA67" s="3"/>
      <c r="AB67" s="7" t="s">
        <v>14</v>
      </c>
      <c r="AC67" s="11">
        <f ca="1">+I47*AD67+I25+I27+I51*0.05+I29+I31</f>
        <v>0.16241801851078885</v>
      </c>
      <c r="AD67" s="2">
        <v>3.6999999999999998E-2</v>
      </c>
      <c r="AE67" s="11">
        <f t="shared" ca="1" si="10"/>
        <v>0.12541801851078885</v>
      </c>
      <c r="AF67" s="12">
        <v>1.9422989550204273E-2</v>
      </c>
      <c r="AG67" s="16"/>
      <c r="AH67" s="3"/>
      <c r="AI67" s="3"/>
      <c r="AJ67" s="5"/>
      <c r="AK67" s="5"/>
      <c r="AL67" s="3"/>
      <c r="AM67" s="3"/>
      <c r="AN67" s="141"/>
      <c r="AO67" s="141"/>
      <c r="AP67" s="141"/>
      <c r="AQ67" s="141"/>
      <c r="AR67" s="141"/>
      <c r="AS67" s="141"/>
      <c r="AT67" s="141"/>
      <c r="AU67" s="29"/>
      <c r="AV67" s="141"/>
      <c r="AW67" s="29"/>
      <c r="AX67" s="141"/>
      <c r="AY67" s="324">
        <v>44307</v>
      </c>
      <c r="AZ67" s="9">
        <v>1.545E-2</v>
      </c>
      <c r="BA67" s="9">
        <v>5.2999999999999999E-2</v>
      </c>
      <c r="BE67" s="5"/>
      <c r="BF67" s="5"/>
      <c r="BG67" s="5"/>
      <c r="BH67" s="5"/>
      <c r="BI67" s="5"/>
      <c r="BJ67" s="5"/>
      <c r="BK67" s="5"/>
      <c r="BL67" s="5"/>
      <c r="BM67" s="5"/>
      <c r="BN67" s="5"/>
      <c r="BO67" s="5"/>
      <c r="BP67" s="5"/>
      <c r="BQ67" s="5"/>
      <c r="BR67" s="5"/>
      <c r="BS67" s="5"/>
      <c r="BT67" s="5"/>
      <c r="BU67" s="5"/>
      <c r="BV67" s="5"/>
      <c r="BW67" s="5"/>
      <c r="BX67" s="5"/>
      <c r="BY67" s="5"/>
      <c r="BZ67" s="5"/>
      <c r="CA67" s="5"/>
    </row>
    <row r="68" spans="1:79" ht="15.75" customHeight="1">
      <c r="A68" s="4"/>
      <c r="B68" s="309"/>
      <c r="C68" s="309"/>
      <c r="D68" s="309"/>
      <c r="E68" s="309"/>
      <c r="F68" s="309"/>
      <c r="G68" s="309"/>
      <c r="H68" s="309"/>
      <c r="I68" s="293"/>
      <c r="J68" s="3"/>
      <c r="K68" s="144"/>
      <c r="L68" s="3"/>
      <c r="M68" s="3"/>
      <c r="N68" s="3"/>
      <c r="O68" s="3"/>
      <c r="P68" s="3"/>
      <c r="Q68" s="3"/>
      <c r="R68" s="3"/>
      <c r="S68" s="3"/>
      <c r="T68" s="3"/>
      <c r="U68" s="3"/>
      <c r="V68" s="3"/>
      <c r="W68" s="3"/>
      <c r="X68" s="319" t="s">
        <v>94</v>
      </c>
      <c r="Y68" s="319">
        <f ca="1">SUM(I11:I22)</f>
        <v>0.12895649491585656</v>
      </c>
      <c r="Z68" s="141"/>
      <c r="AA68" s="3"/>
      <c r="AB68" s="7" t="s">
        <v>15</v>
      </c>
      <c r="AC68" s="11">
        <f ca="1">I47*AD68+I51*0.13</f>
        <v>0</v>
      </c>
      <c r="AD68" s="2">
        <v>0.126</v>
      </c>
      <c r="AE68" s="11">
        <f t="shared" ca="1" si="10"/>
        <v>-0.126</v>
      </c>
      <c r="AF68" s="12">
        <v>6.3751028242391428E-3</v>
      </c>
      <c r="AG68" s="16"/>
      <c r="AH68" s="3"/>
      <c r="AI68" s="3"/>
      <c r="AJ68" s="5"/>
      <c r="AK68" s="5"/>
      <c r="AL68" s="3"/>
      <c r="AM68" s="3"/>
      <c r="AN68" s="141"/>
      <c r="AO68" s="141"/>
      <c r="AP68" s="141"/>
      <c r="AQ68" s="141"/>
      <c r="AR68" s="141"/>
      <c r="AS68" s="141"/>
      <c r="AT68" s="141"/>
      <c r="AU68" s="29"/>
      <c r="AV68" s="141"/>
      <c r="AW68" s="29"/>
      <c r="AX68" s="141"/>
      <c r="AY68" s="324">
        <v>44337</v>
      </c>
      <c r="AZ68" s="9">
        <v>-5.7500000000000002E-2</v>
      </c>
      <c r="BA68" s="9">
        <v>7.0000000000000001E-3</v>
      </c>
      <c r="BE68" s="5"/>
      <c r="BF68" s="5"/>
      <c r="BG68" s="5"/>
      <c r="BH68" s="5"/>
      <c r="BI68" s="5"/>
      <c r="BJ68" s="5"/>
      <c r="BK68" s="5"/>
      <c r="BL68" s="5"/>
      <c r="BM68" s="5"/>
      <c r="BN68" s="5"/>
      <c r="BO68" s="5"/>
      <c r="BP68" s="5"/>
      <c r="BQ68" s="5"/>
      <c r="BR68" s="5"/>
      <c r="BS68" s="5"/>
      <c r="BT68" s="5"/>
      <c r="BU68" s="5"/>
      <c r="BV68" s="5"/>
      <c r="BW68" s="5"/>
      <c r="BX68" s="5"/>
      <c r="BY68" s="5"/>
      <c r="BZ68" s="5"/>
      <c r="CA68" s="5"/>
    </row>
    <row r="69" spans="1:79" ht="15.75" customHeight="1">
      <c r="A69" s="4"/>
      <c r="B69" s="309"/>
      <c r="C69" s="309"/>
      <c r="D69" s="309"/>
      <c r="E69" s="309"/>
      <c r="F69" s="309"/>
      <c r="G69" s="309"/>
      <c r="H69" s="309"/>
      <c r="I69" s="293"/>
      <c r="J69" s="3"/>
      <c r="K69" s="144"/>
      <c r="L69" s="3"/>
      <c r="M69" s="3"/>
      <c r="N69" s="3"/>
      <c r="O69" s="3"/>
      <c r="P69" s="3"/>
      <c r="Q69" s="3"/>
      <c r="R69" s="3"/>
      <c r="S69" s="3"/>
      <c r="T69" s="3"/>
      <c r="U69" s="3"/>
      <c r="V69" s="3"/>
      <c r="W69" s="3"/>
      <c r="X69" s="319" t="s">
        <v>179</v>
      </c>
      <c r="Y69" s="319">
        <f ca="1">SUM(I25:I45)</f>
        <v>0.25909413103000228</v>
      </c>
      <c r="Z69" s="141"/>
      <c r="AA69" s="3"/>
      <c r="AB69" s="7" t="s">
        <v>16</v>
      </c>
      <c r="AC69" s="11">
        <f ca="1">I9+I47*AD69+I3+I51*0.08+I7+I5</f>
        <v>5.0923307336927195E-2</v>
      </c>
      <c r="AD69" s="2">
        <v>5.8999999999999997E-2</v>
      </c>
      <c r="AE69" s="11">
        <f t="shared" ca="1" si="10"/>
        <v>-8.0766926630728014E-3</v>
      </c>
      <c r="AF69" s="12">
        <v>9.3567251461987855E-3</v>
      </c>
      <c r="AG69" s="16"/>
      <c r="AH69" s="3"/>
      <c r="AI69" s="3"/>
      <c r="AJ69" s="5"/>
      <c r="AK69" s="5"/>
      <c r="AL69" s="3"/>
      <c r="AM69" s="3"/>
      <c r="AN69" s="141"/>
      <c r="AO69" s="141"/>
      <c r="AP69" s="141"/>
      <c r="AQ69" s="141"/>
      <c r="AR69" s="141"/>
      <c r="AS69" s="141"/>
      <c r="AT69" s="141"/>
      <c r="AU69" s="29"/>
      <c r="AV69" s="141"/>
      <c r="AW69" s="29"/>
      <c r="AX69" s="141"/>
      <c r="AY69" s="324">
        <v>44368</v>
      </c>
      <c r="AZ69" s="9">
        <v>3.4499999999999999E-3</v>
      </c>
      <c r="BA69" s="9">
        <v>2.7E-2</v>
      </c>
      <c r="BE69" s="5"/>
      <c r="BF69" s="5"/>
      <c r="BG69" s="5"/>
      <c r="BH69" s="5"/>
      <c r="BI69" s="5"/>
      <c r="BJ69" s="5"/>
      <c r="BK69" s="5"/>
      <c r="BL69" s="5"/>
      <c r="BM69" s="5"/>
      <c r="BN69" s="5"/>
      <c r="BO69" s="5"/>
      <c r="BP69" s="5"/>
      <c r="BQ69" s="5"/>
      <c r="BR69" s="5"/>
      <c r="BS69" s="5"/>
      <c r="BT69" s="5"/>
      <c r="BU69" s="5"/>
      <c r="BV69" s="5"/>
      <c r="BW69" s="5"/>
      <c r="BX69" s="5"/>
      <c r="BY69" s="5"/>
      <c r="BZ69" s="5"/>
      <c r="CA69" s="5"/>
    </row>
    <row r="70" spans="1:79" ht="15.75" customHeight="1">
      <c r="A70" s="4"/>
      <c r="B70" s="309"/>
      <c r="C70" s="309"/>
      <c r="D70" s="309"/>
      <c r="E70" s="309"/>
      <c r="F70" s="309"/>
      <c r="G70" s="309"/>
      <c r="H70" s="309"/>
      <c r="I70" s="293"/>
      <c r="J70" s="3"/>
      <c r="K70" s="144"/>
      <c r="L70" s="3"/>
      <c r="M70" s="3"/>
      <c r="N70" s="3"/>
      <c r="O70" s="3"/>
      <c r="P70" s="3"/>
      <c r="Q70" s="3"/>
      <c r="R70" s="3"/>
      <c r="S70" s="3"/>
      <c r="T70" s="3"/>
      <c r="U70" s="3"/>
      <c r="V70" s="3"/>
      <c r="W70" s="3"/>
      <c r="X70" s="319" t="s">
        <v>180</v>
      </c>
      <c r="Y70" s="319">
        <f ca="1">I23</f>
        <v>2.2217424825841593E-2</v>
      </c>
      <c r="Z70" s="141"/>
      <c r="AA70" s="3"/>
      <c r="AB70" s="7" t="s">
        <v>17</v>
      </c>
      <c r="AC70" s="11">
        <f ca="1">I47*AD70+I51*0.06</f>
        <v>0</v>
      </c>
      <c r="AD70" s="2">
        <v>2.1999999999999999E-2</v>
      </c>
      <c r="AE70" s="11">
        <f t="shared" ca="1" si="10"/>
        <v>-2.1999999999999999E-2</v>
      </c>
      <c r="AF70" s="12">
        <v>-7.8638833285673559E-3</v>
      </c>
      <c r="AG70" s="16"/>
      <c r="AH70" s="3"/>
      <c r="AI70" s="3"/>
      <c r="AJ70" s="5"/>
      <c r="AK70" s="5"/>
      <c r="AL70" s="3"/>
      <c r="AM70" s="3"/>
      <c r="AN70" s="141"/>
      <c r="AO70" s="141"/>
      <c r="AP70" s="141"/>
      <c r="AQ70" s="141"/>
      <c r="AR70" s="141"/>
      <c r="AS70" s="141"/>
      <c r="AT70" s="141"/>
      <c r="AU70" s="29"/>
      <c r="AV70" s="141"/>
      <c r="AW70" s="29"/>
      <c r="AX70" s="141"/>
      <c r="AY70" s="324">
        <v>44398</v>
      </c>
      <c r="AZ70" s="9">
        <v>-7.4000000000000003E-3</v>
      </c>
      <c r="BA70" s="9">
        <v>2.4E-2</v>
      </c>
      <c r="BE70" s="5"/>
      <c r="BF70" s="5"/>
      <c r="BG70" s="5"/>
      <c r="BH70" s="5"/>
      <c r="BI70" s="5"/>
      <c r="BJ70" s="5"/>
      <c r="BK70" s="5"/>
      <c r="BL70" s="5"/>
      <c r="BM70" s="5"/>
      <c r="BN70" s="5"/>
      <c r="BO70" s="5"/>
      <c r="BP70" s="5"/>
      <c r="BQ70" s="5"/>
      <c r="BR70" s="5"/>
      <c r="BS70" s="5"/>
      <c r="BT70" s="5"/>
      <c r="BU70" s="5"/>
      <c r="BV70" s="5"/>
      <c r="BW70" s="5"/>
      <c r="BX70" s="5"/>
      <c r="BY70" s="5"/>
      <c r="BZ70" s="5"/>
      <c r="CA70" s="5"/>
    </row>
    <row r="71" spans="1:79" ht="15.75" customHeight="1">
      <c r="A71" s="4"/>
      <c r="B71" s="309"/>
      <c r="C71" s="309"/>
      <c r="D71" s="309"/>
      <c r="E71" s="309"/>
      <c r="F71" s="309"/>
      <c r="G71" s="309"/>
      <c r="H71" s="309"/>
      <c r="I71" s="293"/>
      <c r="J71" s="3"/>
      <c r="K71" s="144"/>
      <c r="L71" s="3"/>
      <c r="M71" s="3"/>
      <c r="N71" s="3"/>
      <c r="O71" s="3"/>
      <c r="P71" s="3"/>
      <c r="Q71" s="3"/>
      <c r="R71" s="3"/>
      <c r="S71" s="3"/>
      <c r="T71" s="3"/>
      <c r="U71" s="3"/>
      <c r="V71" s="3"/>
      <c r="W71" s="3"/>
      <c r="X71" s="319" t="s">
        <v>159</v>
      </c>
      <c r="Y71" s="319">
        <f ca="1">N55</f>
        <v>0.53880864189137234</v>
      </c>
      <c r="Z71" s="3"/>
      <c r="AA71" s="3"/>
      <c r="AB71" s="7" t="s">
        <v>181</v>
      </c>
      <c r="AC71" s="11">
        <f ca="1">I45</f>
        <v>4.2346526086824036E-2</v>
      </c>
      <c r="AD71" s="2"/>
      <c r="AE71" s="11">
        <f t="shared" ca="1" si="10"/>
        <v>4.2346526086824036E-2</v>
      </c>
      <c r="AF71" s="12">
        <v>0</v>
      </c>
      <c r="AG71" s="16"/>
      <c r="AH71" s="3"/>
      <c r="AI71" s="3"/>
      <c r="AJ71" s="5"/>
      <c r="AK71" s="5"/>
      <c r="AL71" s="3"/>
      <c r="AM71" s="3"/>
      <c r="AN71" s="141"/>
      <c r="AO71" s="141"/>
      <c r="AP71" s="141"/>
      <c r="AQ71" s="141"/>
      <c r="AR71" s="141"/>
      <c r="AS71" s="141"/>
      <c r="AT71" s="141"/>
      <c r="AU71" s="29"/>
      <c r="AV71" s="141"/>
      <c r="AW71" s="29"/>
      <c r="AX71" s="141"/>
      <c r="AY71" s="324">
        <v>44429</v>
      </c>
      <c r="AZ71" s="9">
        <v>2.64E-2</v>
      </c>
      <c r="BA71" s="9">
        <v>2.9759868646097143E-2</v>
      </c>
      <c r="BE71" s="5"/>
      <c r="BF71" s="5"/>
      <c r="BG71" s="5"/>
      <c r="BH71" s="5"/>
      <c r="BI71" s="5"/>
      <c r="BJ71" s="5"/>
      <c r="BK71" s="5"/>
      <c r="BL71" s="5"/>
      <c r="BM71" s="5"/>
      <c r="BN71" s="5"/>
      <c r="BO71" s="5"/>
      <c r="BP71" s="5"/>
      <c r="BQ71" s="5"/>
      <c r="BR71" s="5"/>
      <c r="BS71" s="5"/>
      <c r="BT71" s="5"/>
      <c r="BU71" s="5"/>
      <c r="BV71" s="5"/>
      <c r="BW71" s="5"/>
      <c r="BX71" s="5"/>
      <c r="BY71" s="5"/>
      <c r="BZ71" s="5"/>
      <c r="CA71" s="5"/>
    </row>
    <row r="72" spans="1:79" ht="15.75" customHeight="1">
      <c r="A72" s="4"/>
      <c r="B72" s="309"/>
      <c r="C72" s="309"/>
      <c r="D72" s="309"/>
      <c r="E72" s="309"/>
      <c r="F72" s="309"/>
      <c r="G72" s="309"/>
      <c r="H72" s="309"/>
      <c r="I72" s="293"/>
      <c r="J72" s="3"/>
      <c r="K72" s="144"/>
      <c r="L72" s="3"/>
      <c r="M72" s="3"/>
      <c r="N72" s="3"/>
      <c r="O72" s="3"/>
      <c r="P72" s="3"/>
      <c r="Q72" s="3"/>
      <c r="R72" s="3"/>
      <c r="S72" s="3"/>
      <c r="T72" s="3"/>
      <c r="U72" s="3"/>
      <c r="V72" s="3"/>
      <c r="W72" s="3"/>
      <c r="X72" s="319"/>
      <c r="Y72" s="319">
        <f ca="1">SUM(Y67:Y71)</f>
        <v>1</v>
      </c>
      <c r="Z72" s="3"/>
      <c r="AA72" s="3"/>
      <c r="AB72" s="326" t="s">
        <v>159</v>
      </c>
      <c r="AC72" s="20">
        <f ca="1">N55</f>
        <v>0.53880864189137234</v>
      </c>
      <c r="AD72" s="19"/>
      <c r="AE72" s="21">
        <f t="shared" ca="1" si="10"/>
        <v>0.53880864189137234</v>
      </c>
      <c r="AF72" s="327"/>
      <c r="AG72" s="16"/>
      <c r="AH72" s="3"/>
      <c r="AI72" s="3"/>
      <c r="AJ72" s="5"/>
      <c r="AK72" s="5"/>
      <c r="AL72" s="3"/>
      <c r="AM72" s="3"/>
      <c r="AN72" s="141"/>
      <c r="AO72" s="141"/>
      <c r="AP72" s="141"/>
      <c r="AQ72" s="141"/>
      <c r="AR72" s="141"/>
      <c r="AS72" s="141"/>
      <c r="AT72" s="141"/>
      <c r="AU72" s="29"/>
      <c r="AV72" s="141"/>
      <c r="AW72" s="29"/>
      <c r="AX72" s="141"/>
      <c r="AY72" s="324">
        <v>44460</v>
      </c>
      <c r="AZ72" s="9">
        <v>-1.0999999999999999E-2</v>
      </c>
      <c r="BA72" s="9">
        <v>-4.1000000000000002E-2</v>
      </c>
      <c r="BE72" s="5"/>
      <c r="BF72" s="5"/>
      <c r="BG72" s="5"/>
      <c r="BH72" s="5"/>
      <c r="BI72" s="5"/>
      <c r="BJ72" s="5"/>
      <c r="BK72" s="5"/>
      <c r="BL72" s="5"/>
      <c r="BM72" s="5"/>
      <c r="BN72" s="5"/>
      <c r="BO72" s="5"/>
      <c r="BP72" s="5"/>
      <c r="BQ72" s="5"/>
      <c r="BR72" s="5"/>
      <c r="BS72" s="5"/>
      <c r="BT72" s="5"/>
      <c r="BU72" s="5"/>
      <c r="BV72" s="5"/>
      <c r="BW72" s="5"/>
      <c r="BX72" s="5"/>
      <c r="BY72" s="5"/>
      <c r="BZ72" s="5"/>
      <c r="CA72" s="5"/>
    </row>
    <row r="73" spans="1:79" ht="15.75" customHeight="1">
      <c r="A73" s="4"/>
      <c r="B73" s="309"/>
      <c r="C73" s="309"/>
      <c r="D73" s="309"/>
      <c r="E73" s="309"/>
      <c r="F73" s="309"/>
      <c r="G73" s="309"/>
      <c r="H73" s="309"/>
      <c r="I73" s="293"/>
      <c r="J73" s="3"/>
      <c r="K73" s="144"/>
      <c r="L73" s="3"/>
      <c r="M73" s="3"/>
      <c r="N73" s="3"/>
      <c r="O73" s="3"/>
      <c r="P73" s="3"/>
      <c r="Q73" s="3"/>
      <c r="R73" s="3"/>
      <c r="S73" s="3"/>
      <c r="T73" s="3"/>
      <c r="U73" s="3"/>
      <c r="V73" s="3"/>
      <c r="W73" s="3"/>
      <c r="Z73" s="3"/>
      <c r="AA73" s="3"/>
      <c r="AB73" s="30"/>
      <c r="AC73" s="317">
        <f t="shared" ref="AC73:AD73" ca="1" si="11">SUM(AC60:AC72)</f>
        <v>1</v>
      </c>
      <c r="AD73" s="328">
        <f t="shared" si="11"/>
        <v>1</v>
      </c>
      <c r="AE73" s="16"/>
      <c r="AF73" s="3"/>
      <c r="AG73" s="3"/>
      <c r="AH73" s="3"/>
      <c r="AI73" s="3"/>
      <c r="AJ73" s="5"/>
      <c r="AK73" s="5"/>
      <c r="AL73" s="3"/>
      <c r="AM73" s="3"/>
      <c r="AN73" s="141"/>
      <c r="AO73" s="141"/>
      <c r="AP73" s="141"/>
      <c r="AQ73" s="141"/>
      <c r="AR73" s="141"/>
      <c r="AS73" s="141"/>
      <c r="AT73" s="141"/>
      <c r="AU73" s="29"/>
      <c r="AV73" s="141"/>
      <c r="AW73" s="29"/>
      <c r="AX73" s="141"/>
      <c r="AY73" s="324">
        <v>44490</v>
      </c>
      <c r="AZ73" s="9">
        <f>7.8%</f>
        <v>7.8E-2</v>
      </c>
      <c r="BA73" s="9">
        <v>6.9000000000000006E-2</v>
      </c>
      <c r="BE73" s="5"/>
      <c r="BF73" s="5"/>
      <c r="BG73" s="5"/>
      <c r="BH73" s="5"/>
      <c r="BI73" s="5"/>
      <c r="BJ73" s="5"/>
      <c r="BK73" s="5"/>
      <c r="BL73" s="5"/>
      <c r="BM73" s="5"/>
      <c r="BN73" s="5"/>
      <c r="BO73" s="5"/>
      <c r="BP73" s="5"/>
      <c r="BQ73" s="5"/>
      <c r="BR73" s="5"/>
      <c r="BS73" s="5"/>
      <c r="BT73" s="5"/>
      <c r="BU73" s="5"/>
      <c r="BV73" s="5"/>
      <c r="BW73" s="5"/>
      <c r="BX73" s="5"/>
      <c r="BY73" s="5"/>
      <c r="BZ73" s="5"/>
      <c r="CA73" s="5"/>
    </row>
    <row r="74" spans="1:79" ht="15.75" customHeight="1">
      <c r="A74" s="4"/>
      <c r="B74" s="329" t="s">
        <v>182</v>
      </c>
      <c r="C74" s="330"/>
      <c r="D74" s="330"/>
      <c r="E74" s="330"/>
      <c r="F74" s="330"/>
      <c r="G74" s="330"/>
      <c r="H74" s="330"/>
      <c r="I74" s="331"/>
      <c r="J74" s="307"/>
      <c r="K74" s="332"/>
      <c r="L74" s="307"/>
      <c r="M74" s="307"/>
      <c r="N74" s="307"/>
      <c r="O74" s="307"/>
      <c r="P74" s="307"/>
      <c r="Q74" s="307"/>
      <c r="R74" s="307"/>
      <c r="S74" s="307"/>
      <c r="T74" s="307"/>
      <c r="U74" s="307"/>
      <c r="V74" s="307"/>
      <c r="W74" s="307"/>
      <c r="X74" s="307"/>
      <c r="Y74" s="3"/>
      <c r="Z74" s="3"/>
      <c r="AA74" s="3"/>
      <c r="AB74" s="3"/>
      <c r="AC74" s="3"/>
      <c r="AD74" s="3"/>
      <c r="AE74" s="3"/>
      <c r="AF74" s="3"/>
      <c r="AG74" s="3"/>
      <c r="AH74" s="3"/>
      <c r="AI74" s="3"/>
      <c r="AJ74" s="5"/>
      <c r="AK74" s="5"/>
      <c r="AL74" s="3"/>
      <c r="AM74" s="3"/>
      <c r="AN74" s="141"/>
      <c r="AO74" s="141"/>
      <c r="AP74" s="141"/>
      <c r="AQ74" s="141"/>
      <c r="AR74" s="141"/>
      <c r="AS74" s="141"/>
      <c r="AT74" s="141"/>
      <c r="AU74" s="29"/>
      <c r="AV74" s="141"/>
      <c r="AW74" s="29"/>
      <c r="AX74" s="141"/>
      <c r="AY74" s="324">
        <v>44521</v>
      </c>
      <c r="AZ74" s="9">
        <v>-2E-3</v>
      </c>
      <c r="BA74" s="9">
        <v>-8.0000000000000002E-3</v>
      </c>
      <c r="BE74" s="5"/>
      <c r="BF74" s="5"/>
      <c r="BG74" s="5"/>
      <c r="BH74" s="5"/>
      <c r="BI74" s="5"/>
      <c r="BJ74" s="5"/>
      <c r="BK74" s="5"/>
      <c r="BL74" s="5"/>
      <c r="BM74" s="5"/>
      <c r="BN74" s="5"/>
      <c r="BO74" s="5"/>
      <c r="BP74" s="5"/>
      <c r="BQ74" s="5"/>
      <c r="BR74" s="5"/>
      <c r="BS74" s="5"/>
      <c r="BT74" s="5"/>
      <c r="BU74" s="5"/>
      <c r="BV74" s="5"/>
      <c r="BW74" s="5"/>
      <c r="BX74" s="5"/>
      <c r="BY74" s="5"/>
      <c r="BZ74" s="5"/>
      <c r="CA74" s="5"/>
    </row>
    <row r="75" spans="1:79" ht="15.75" customHeight="1">
      <c r="A75" s="66"/>
      <c r="B75" s="66"/>
      <c r="C75" s="548" t="s">
        <v>30</v>
      </c>
      <c r="D75" s="549"/>
      <c r="E75" s="549"/>
      <c r="F75" s="549"/>
      <c r="G75" s="549"/>
      <c r="H75" s="549"/>
      <c r="I75" s="550"/>
      <c r="J75" s="555" t="s">
        <v>183</v>
      </c>
      <c r="K75" s="556"/>
      <c r="L75" s="556"/>
      <c r="M75" s="556"/>
      <c r="N75" s="556"/>
      <c r="O75" s="556"/>
      <c r="P75" s="556"/>
      <c r="Q75" s="556"/>
      <c r="R75" s="556"/>
      <c r="S75" s="556"/>
      <c r="T75" s="556"/>
      <c r="U75" s="556"/>
      <c r="V75" s="556"/>
      <c r="W75" s="556"/>
      <c r="X75" s="557"/>
      <c r="Y75" s="3"/>
      <c r="Z75" s="3"/>
      <c r="AA75" s="3"/>
      <c r="AB75" s="3"/>
      <c r="AC75" s="3"/>
      <c r="AD75" s="3"/>
      <c r="AE75" s="3"/>
      <c r="AF75" s="3"/>
      <c r="AG75" s="3"/>
      <c r="AH75" s="5"/>
      <c r="AI75" s="5"/>
      <c r="AJ75" s="5"/>
      <c r="AK75" s="5"/>
      <c r="AL75" s="3"/>
      <c r="AM75" s="3"/>
      <c r="AN75" s="141"/>
      <c r="AO75" s="141"/>
      <c r="AP75" s="141"/>
      <c r="AQ75" s="141"/>
      <c r="AR75" s="141"/>
      <c r="AS75" s="141"/>
      <c r="AT75" s="141"/>
      <c r="AU75" s="29"/>
      <c r="AV75" s="141"/>
      <c r="AW75" s="29"/>
      <c r="AX75" s="141"/>
      <c r="AY75" s="324">
        <v>44551</v>
      </c>
      <c r="AZ75" s="9">
        <v>4.9000000000000002E-2</v>
      </c>
      <c r="BA75" s="9">
        <v>4.2999999999999997E-2</v>
      </c>
      <c r="BE75" s="5"/>
      <c r="BF75" s="5"/>
      <c r="BG75" s="5"/>
      <c r="BH75" s="5"/>
      <c r="BI75" s="5"/>
      <c r="BJ75" s="5"/>
      <c r="BK75" s="5"/>
      <c r="BL75" s="5"/>
      <c r="BM75" s="5"/>
      <c r="BN75" s="5"/>
      <c r="BO75" s="5"/>
      <c r="BP75" s="5"/>
      <c r="BQ75" s="5"/>
      <c r="BR75" s="5"/>
      <c r="BS75" s="5"/>
      <c r="BT75" s="5"/>
      <c r="BU75" s="5"/>
      <c r="BV75" s="5"/>
      <c r="BW75" s="5"/>
      <c r="BX75" s="5"/>
      <c r="BY75" s="5"/>
      <c r="BZ75" s="5"/>
      <c r="CA75" s="5"/>
    </row>
    <row r="76" spans="1:79" ht="48">
      <c r="A76" s="38"/>
      <c r="B76" s="39" t="s">
        <v>0</v>
      </c>
      <c r="C76" s="40" t="s">
        <v>1</v>
      </c>
      <c r="D76" s="39" t="s">
        <v>35</v>
      </c>
      <c r="E76" s="39" t="s">
        <v>2</v>
      </c>
      <c r="F76" s="39" t="s">
        <v>36</v>
      </c>
      <c r="G76" s="39" t="s">
        <v>37</v>
      </c>
      <c r="H76" s="333" t="s">
        <v>184</v>
      </c>
      <c r="I76" s="39" t="s">
        <v>39</v>
      </c>
      <c r="J76" s="334" t="s">
        <v>185</v>
      </c>
      <c r="K76" s="41" t="s">
        <v>40</v>
      </c>
      <c r="L76" s="334" t="s">
        <v>41</v>
      </c>
      <c r="M76" s="41" t="s">
        <v>42</v>
      </c>
      <c r="N76" s="335" t="s">
        <v>186</v>
      </c>
      <c r="O76" s="41" t="s">
        <v>44</v>
      </c>
      <c r="P76" s="41" t="s">
        <v>45</v>
      </c>
      <c r="Q76" s="41" t="s">
        <v>46</v>
      </c>
      <c r="R76" s="558" t="s">
        <v>187</v>
      </c>
      <c r="S76" s="559"/>
      <c r="T76" s="559"/>
      <c r="U76" s="559"/>
      <c r="V76" s="559"/>
      <c r="W76" s="559"/>
      <c r="X76" s="560"/>
      <c r="Y76" s="3"/>
      <c r="Z76" s="3"/>
      <c r="AA76" s="3"/>
      <c r="AB76" s="3"/>
      <c r="AC76" s="3"/>
      <c r="AD76" s="3"/>
      <c r="AE76" s="319"/>
      <c r="AF76" s="3"/>
      <c r="AG76" s="3"/>
      <c r="AH76" s="46"/>
      <c r="AI76" s="46"/>
      <c r="AJ76" s="46"/>
      <c r="AK76" s="46"/>
      <c r="AL76" s="46"/>
      <c r="AM76" s="46"/>
      <c r="AN76" s="46"/>
      <c r="AO76" s="46"/>
      <c r="AP76" s="46"/>
      <c r="AQ76" s="46"/>
      <c r="AR76" s="46"/>
      <c r="AS76" s="46"/>
      <c r="AT76" s="46"/>
      <c r="AU76" s="46"/>
      <c r="AV76" s="46"/>
      <c r="AW76" s="46"/>
      <c r="AX76" s="46"/>
      <c r="AY76" s="324">
        <v>44583</v>
      </c>
      <c r="AZ76" s="9">
        <v>-2.0706362890920212E-2</v>
      </c>
      <c r="BA76" s="9">
        <v>-5.2741283476503198E-2</v>
      </c>
      <c r="BD76" s="38"/>
      <c r="BE76" s="38"/>
      <c r="BF76" s="38"/>
      <c r="BG76" s="38"/>
      <c r="BH76" s="38"/>
      <c r="BI76" s="38"/>
      <c r="BJ76" s="38"/>
      <c r="BK76" s="38"/>
      <c r="BL76" s="38"/>
      <c r="BM76" s="38"/>
      <c r="BN76" s="38"/>
      <c r="BO76" s="38"/>
      <c r="BP76" s="38"/>
      <c r="BQ76" s="38"/>
      <c r="BR76" s="38"/>
    </row>
    <row r="77" spans="1:79" ht="15.75" customHeight="1">
      <c r="A77" s="3"/>
      <c r="B77" s="184" t="s">
        <v>92</v>
      </c>
      <c r="C77" s="185" t="str">
        <f ca="1">IFERROR(__xludf.DUMMYFUNCTION("GoogleFinance(B77,""name"")"),"T-Mobile Us Inc")</f>
        <v>T-Mobile Us Inc</v>
      </c>
      <c r="D77" s="186">
        <f ca="1">IFERROR(__xludf.DUMMYFUNCTION("GoogleFinance(B77,""marketcap"")/1000000"),207101.752413)</f>
        <v>207101.75241300001</v>
      </c>
      <c r="E77" s="187" t="s">
        <v>12</v>
      </c>
      <c r="F77" s="187" t="s">
        <v>93</v>
      </c>
      <c r="G77" s="188">
        <v>45191</v>
      </c>
      <c r="H77" s="51">
        <v>45294</v>
      </c>
      <c r="I77" s="190">
        <f t="shared" ref="I77:I114" ca="1" si="12">N77/$M$56</f>
        <v>2.1597284151259544E-2</v>
      </c>
      <c r="J77" s="191">
        <v>164.3</v>
      </c>
      <c r="K77" s="192">
        <v>139.5</v>
      </c>
      <c r="L77" s="193">
        <v>15</v>
      </c>
      <c r="M77" s="194">
        <f t="shared" ref="M77:M85" si="13">L77*K77</f>
        <v>2092.5</v>
      </c>
      <c r="N77" s="195">
        <f t="shared" ref="N77:N114" si="14">J77*L77</f>
        <v>2464.5</v>
      </c>
      <c r="O77" s="195">
        <f t="shared" ref="O77:O114" si="15">N77-M77</f>
        <v>372</v>
      </c>
      <c r="P77" s="189">
        <f t="shared" ref="P77:P114" si="16">J77/K77-1</f>
        <v>0.17777777777777781</v>
      </c>
      <c r="Q77" s="196">
        <f t="shared" ref="Q77:Q91" si="17">H77-G77</f>
        <v>103</v>
      </c>
      <c r="R77" s="5" t="s">
        <v>188</v>
      </c>
      <c r="S77" s="3"/>
      <c r="T77" s="3"/>
      <c r="U77" s="3"/>
      <c r="V77" s="3"/>
      <c r="W77" s="3"/>
      <c r="X77" s="3"/>
      <c r="Y77" s="3"/>
      <c r="Z77" s="3"/>
      <c r="AA77" s="3"/>
      <c r="AB77" s="3"/>
      <c r="AC77" s="3"/>
      <c r="AD77" s="3"/>
      <c r="AE77" s="3"/>
      <c r="AF77" s="3"/>
      <c r="AG77" s="3"/>
      <c r="AH77" s="5"/>
      <c r="AI77" s="5"/>
      <c r="AJ77" s="5"/>
      <c r="AK77" s="5"/>
      <c r="AL77" s="3"/>
      <c r="AM77" s="3"/>
      <c r="AN77" s="141"/>
      <c r="AO77" s="141"/>
      <c r="AP77" s="141"/>
      <c r="AQ77" s="141"/>
      <c r="AR77" s="141"/>
      <c r="AS77" s="141"/>
      <c r="AT77" s="141"/>
      <c r="AU77" s="29"/>
      <c r="AV77" s="141"/>
      <c r="AW77" s="29"/>
      <c r="AX77" s="141"/>
      <c r="AY77" s="324">
        <v>44614</v>
      </c>
      <c r="AZ77" s="9">
        <v>-2.3E-2</v>
      </c>
      <c r="BA77" s="9">
        <v>-3.1E-2</v>
      </c>
      <c r="BE77" s="5"/>
      <c r="BF77" s="5"/>
      <c r="BG77" s="5"/>
      <c r="BH77" s="5"/>
      <c r="BI77" s="5"/>
      <c r="BJ77" s="5"/>
      <c r="BK77" s="5"/>
      <c r="BL77" s="5"/>
      <c r="BM77" s="5"/>
      <c r="BN77" s="5"/>
      <c r="BO77" s="5"/>
      <c r="BP77" s="5"/>
      <c r="BQ77" s="5"/>
      <c r="BR77" s="5"/>
      <c r="BS77" s="5"/>
      <c r="BT77" s="5"/>
      <c r="BU77" s="5"/>
      <c r="BV77" s="5"/>
      <c r="BW77" s="5"/>
      <c r="BX77" s="5"/>
      <c r="BY77" s="5"/>
      <c r="BZ77" s="5"/>
      <c r="CA77" s="5"/>
    </row>
    <row r="78" spans="1:79" ht="15.75" customHeight="1">
      <c r="A78" s="3"/>
      <c r="B78" s="184" t="s">
        <v>189</v>
      </c>
      <c r="C78" s="185" t="str">
        <f ca="1">IFERROR(__xludf.DUMMYFUNCTION("GoogleFinance(B78,""name"")"),"AbbVie Inc")</f>
        <v>AbbVie Inc</v>
      </c>
      <c r="D78" s="186">
        <f ca="1">IFERROR(__xludf.DUMMYFUNCTION("GoogleFinance(B78,""marketcap"")/1000000"),300886.077052)</f>
        <v>300886.07705199998</v>
      </c>
      <c r="E78" s="187" t="s">
        <v>15</v>
      </c>
      <c r="F78" s="187" t="s">
        <v>190</v>
      </c>
      <c r="G78" s="188">
        <v>45184</v>
      </c>
      <c r="H78" s="51">
        <v>45300</v>
      </c>
      <c r="I78" s="190">
        <f t="shared" ca="1" si="12"/>
        <v>2.2812761250784679E-2</v>
      </c>
      <c r="J78" s="191">
        <v>162.69999999999999</v>
      </c>
      <c r="K78" s="192">
        <v>153</v>
      </c>
      <c r="L78" s="193">
        <v>16</v>
      </c>
      <c r="M78" s="194">
        <f t="shared" si="13"/>
        <v>2448</v>
      </c>
      <c r="N78" s="195">
        <f t="shared" si="14"/>
        <v>2603.1999999999998</v>
      </c>
      <c r="O78" s="195">
        <f t="shared" si="15"/>
        <v>155.19999999999982</v>
      </c>
      <c r="P78" s="189">
        <f t="shared" si="16"/>
        <v>6.3398692810457513E-2</v>
      </c>
      <c r="Q78" s="196">
        <f t="shared" si="17"/>
        <v>116</v>
      </c>
      <c r="R78" s="5" t="s">
        <v>188</v>
      </c>
      <c r="S78" s="3"/>
      <c r="T78" s="3"/>
      <c r="U78" s="3"/>
      <c r="V78" s="3"/>
      <c r="W78" s="3"/>
      <c r="X78" s="3"/>
      <c r="Y78" s="3"/>
      <c r="Z78" s="3"/>
      <c r="AA78" s="3"/>
      <c r="AB78" s="3"/>
      <c r="AC78" s="3"/>
      <c r="AD78" s="3"/>
      <c r="AE78" s="3"/>
      <c r="AF78" s="3"/>
      <c r="AG78" s="3"/>
      <c r="AJ78" s="5"/>
      <c r="AK78" s="5"/>
      <c r="AL78" s="3"/>
      <c r="AM78" s="3"/>
      <c r="AN78" s="141"/>
      <c r="AO78" s="141"/>
      <c r="AP78" s="141"/>
      <c r="AQ78" s="141"/>
      <c r="AR78" s="141"/>
      <c r="AS78" s="141"/>
      <c r="AT78" s="141"/>
      <c r="AU78" s="29"/>
      <c r="AV78" s="141"/>
      <c r="AW78" s="29"/>
      <c r="AX78" s="141"/>
      <c r="AY78" s="337">
        <v>45007</v>
      </c>
      <c r="AZ78" s="9">
        <v>0.03</v>
      </c>
      <c r="BA78" s="9">
        <v>-3.1E-2</v>
      </c>
      <c r="BD78" s="5"/>
      <c r="BE78" s="5"/>
      <c r="BF78" s="5"/>
      <c r="BG78" s="5"/>
      <c r="BH78" s="5"/>
      <c r="BI78" s="5"/>
      <c r="BJ78" s="5"/>
      <c r="BK78" s="5"/>
      <c r="BL78" s="5"/>
      <c r="BM78" s="5"/>
      <c r="BN78" s="5"/>
      <c r="BO78" s="5"/>
      <c r="BP78" s="5"/>
      <c r="BQ78" s="5"/>
      <c r="BR78" s="5"/>
      <c r="BS78" s="5"/>
      <c r="BT78" s="5"/>
      <c r="BU78" s="5"/>
      <c r="BV78" s="5"/>
      <c r="BW78" s="5"/>
      <c r="BX78" s="5"/>
      <c r="BY78" s="5"/>
      <c r="BZ78" s="5"/>
      <c r="CA78" s="5"/>
    </row>
    <row r="79" spans="1:79" ht="15.75" customHeight="1">
      <c r="A79" s="3"/>
      <c r="B79" s="184" t="s">
        <v>5</v>
      </c>
      <c r="C79" s="185" t="str">
        <f ca="1">IFERROR(__xludf.DUMMYFUNCTION("GoogleFinance(B79,""name"")"),"SPDR S&amp;P 500 ETF Trust")</f>
        <v>SPDR S&amp;P 500 ETF Trust</v>
      </c>
      <c r="D79" s="186">
        <f ca="1">IFERROR(__xludf.DUMMYFUNCTION("GoogleFinance(B79,""marketcap"")/1000000"),491475.224873)</f>
        <v>491475.224873</v>
      </c>
      <c r="E79" s="187" t="s">
        <v>65</v>
      </c>
      <c r="F79" s="187"/>
      <c r="G79" s="188">
        <v>45295</v>
      </c>
      <c r="H79" s="51">
        <v>45302</v>
      </c>
      <c r="I79" s="190">
        <f t="shared" ca="1" si="12"/>
        <v>0.18778989737364202</v>
      </c>
      <c r="J79" s="191">
        <v>476.2</v>
      </c>
      <c r="K79" s="192">
        <v>467.7</v>
      </c>
      <c r="L79" s="193">
        <v>45</v>
      </c>
      <c r="M79" s="194">
        <f t="shared" si="13"/>
        <v>21046.5</v>
      </c>
      <c r="N79" s="195">
        <f t="shared" si="14"/>
        <v>21429</v>
      </c>
      <c r="O79" s="195">
        <f t="shared" si="15"/>
        <v>382.5</v>
      </c>
      <c r="P79" s="189">
        <f t="shared" si="16"/>
        <v>1.8174043190079203E-2</v>
      </c>
      <c r="Q79" s="196">
        <f t="shared" si="17"/>
        <v>7</v>
      </c>
      <c r="R79" s="5" t="s">
        <v>191</v>
      </c>
      <c r="S79" s="3"/>
      <c r="T79" s="3"/>
      <c r="U79" s="3"/>
      <c r="V79" s="3"/>
      <c r="W79" s="3"/>
      <c r="X79" s="3"/>
      <c r="Y79" s="3"/>
      <c r="Z79" s="3"/>
      <c r="AA79" s="3"/>
      <c r="AB79" s="3"/>
      <c r="AC79" s="3"/>
      <c r="AD79" s="3"/>
      <c r="AE79" s="3"/>
      <c r="AF79" s="3"/>
      <c r="AG79" s="3"/>
      <c r="AJ79" s="5"/>
      <c r="AK79" s="5"/>
      <c r="AL79" s="3"/>
      <c r="AM79" s="3"/>
      <c r="AN79" s="141"/>
      <c r="AO79" s="141"/>
      <c r="AP79" s="141"/>
      <c r="AQ79" s="141"/>
      <c r="AR79" s="141"/>
      <c r="AS79" s="141"/>
      <c r="AT79" s="141"/>
      <c r="AU79" s="29"/>
      <c r="AV79" s="141"/>
      <c r="AW79" s="29"/>
      <c r="AX79" s="141"/>
      <c r="AY79" s="338" t="s">
        <v>192</v>
      </c>
      <c r="AZ79" s="9">
        <v>-9.0999999999999998E-2</v>
      </c>
      <c r="BA79" s="9">
        <v>-3.1E-2</v>
      </c>
      <c r="BD79" s="5"/>
      <c r="BE79" s="5"/>
      <c r="BF79" s="5"/>
      <c r="BG79" s="5"/>
      <c r="BH79" s="5"/>
      <c r="BI79" s="5"/>
      <c r="BJ79" s="5"/>
      <c r="BK79" s="5"/>
      <c r="BL79" s="5"/>
      <c r="BM79" s="5"/>
      <c r="BN79" s="5"/>
      <c r="BO79" s="5"/>
      <c r="BP79" s="5"/>
      <c r="BQ79" s="5"/>
      <c r="BR79" s="5"/>
      <c r="BS79" s="5"/>
      <c r="BT79" s="5"/>
      <c r="BU79" s="5"/>
      <c r="BV79" s="5"/>
      <c r="BW79" s="5"/>
      <c r="BX79" s="5"/>
      <c r="BY79" s="5"/>
      <c r="BZ79" s="5"/>
      <c r="CA79" s="5"/>
    </row>
    <row r="80" spans="1:79" ht="15.75" customHeight="1">
      <c r="A80" s="3"/>
      <c r="B80" s="8" t="s">
        <v>5</v>
      </c>
      <c r="C80" s="105" t="str">
        <f ca="1">IFERROR(__xludf.DUMMYFUNCTION("GoogleFinance(B80,""name"")"),"SPDR S&amp;P 500 ETF Trust")</f>
        <v>SPDR S&amp;P 500 ETF Trust</v>
      </c>
      <c r="D80" s="106">
        <f ca="1">IFERROR(__xludf.DUMMYFUNCTION("GoogleFinance(B80,""marketcap"")/1000000"),491475.224873)</f>
        <v>491475.224873</v>
      </c>
      <c r="E80" s="107" t="s">
        <v>65</v>
      </c>
      <c r="F80" s="107"/>
      <c r="G80" s="108">
        <v>45308</v>
      </c>
      <c r="H80" s="51">
        <v>45327</v>
      </c>
      <c r="I80" s="109">
        <f t="shared" ca="1" si="12"/>
        <v>0.17328654770014454</v>
      </c>
      <c r="J80" s="110">
        <v>494.35</v>
      </c>
      <c r="K80" s="111">
        <v>473.25</v>
      </c>
      <c r="L80" s="112">
        <v>40</v>
      </c>
      <c r="M80" s="113">
        <f t="shared" si="13"/>
        <v>18930</v>
      </c>
      <c r="N80" s="114">
        <f t="shared" si="14"/>
        <v>19774</v>
      </c>
      <c r="O80" s="114">
        <f t="shared" si="15"/>
        <v>844</v>
      </c>
      <c r="P80" s="57">
        <f t="shared" si="16"/>
        <v>4.4585314315900737E-2</v>
      </c>
      <c r="Q80" s="196">
        <f t="shared" si="17"/>
        <v>19</v>
      </c>
      <c r="R80" s="5" t="s">
        <v>191</v>
      </c>
      <c r="S80" s="3"/>
      <c r="T80" s="3"/>
      <c r="U80" s="3"/>
      <c r="V80" s="3"/>
      <c r="W80" s="3"/>
      <c r="X80" s="3"/>
      <c r="Y80" s="3"/>
      <c r="Z80" s="3"/>
      <c r="AA80" s="3"/>
      <c r="AB80" s="3"/>
      <c r="AC80" s="3"/>
      <c r="AD80" s="3"/>
      <c r="AE80" s="3"/>
      <c r="AF80" s="3"/>
      <c r="AG80" s="3"/>
      <c r="AJ80" s="5"/>
      <c r="AK80" s="5"/>
      <c r="AL80" s="3"/>
      <c r="AM80" s="3"/>
      <c r="AN80" s="141"/>
      <c r="AO80" s="141"/>
      <c r="AP80" s="141"/>
      <c r="AQ80" s="141"/>
      <c r="AR80" s="141"/>
      <c r="AS80" s="141"/>
      <c r="AT80" s="141"/>
      <c r="AU80" s="29"/>
      <c r="AV80" s="141"/>
      <c r="AW80" s="29"/>
      <c r="AX80" s="141"/>
      <c r="AY80" s="339">
        <v>45068</v>
      </c>
      <c r="AZ80" s="9">
        <v>1.52E-2</v>
      </c>
      <c r="BA80" s="9">
        <v>-3.1E-2</v>
      </c>
      <c r="BD80" s="5"/>
      <c r="BE80" s="5"/>
      <c r="BF80" s="5"/>
      <c r="BG80" s="5"/>
      <c r="BH80" s="5"/>
      <c r="BI80" s="5"/>
      <c r="BJ80" s="5"/>
      <c r="BK80" s="5"/>
      <c r="BL80" s="5"/>
      <c r="BM80" s="5"/>
      <c r="BN80" s="5"/>
      <c r="BO80" s="5"/>
      <c r="BP80" s="5"/>
      <c r="BQ80" s="5"/>
      <c r="BR80" s="5"/>
      <c r="BS80" s="5"/>
      <c r="BT80" s="5"/>
      <c r="BU80" s="5"/>
      <c r="BV80" s="5"/>
      <c r="BW80" s="5"/>
      <c r="BX80" s="5"/>
      <c r="BY80" s="5"/>
      <c r="BZ80" s="5"/>
      <c r="CA80" s="5"/>
    </row>
    <row r="81" spans="1:79" ht="15.75" customHeight="1">
      <c r="A81" s="3"/>
      <c r="B81" s="340" t="s">
        <v>6</v>
      </c>
      <c r="C81" s="341" t="str">
        <f ca="1">IFERROR(__xludf.DUMMYFUNCTION("GoogleFinance(B81,""name"")"),"Invesco QQQ Trust Series 1")</f>
        <v>Invesco QQQ Trust Series 1</v>
      </c>
      <c r="D81" s="342">
        <f ca="1">IFERROR(__xludf.DUMMYFUNCTION("GoogleFinance(B81,""marketcap"")/1000000"),187534.248121)</f>
        <v>187534.24812100001</v>
      </c>
      <c r="E81" s="343" t="s">
        <v>7</v>
      </c>
      <c r="F81" s="206"/>
      <c r="G81" s="188">
        <v>45295</v>
      </c>
      <c r="H81" s="51">
        <v>45327</v>
      </c>
      <c r="I81" s="215">
        <f t="shared" ca="1" si="12"/>
        <v>0.15038264757527867</v>
      </c>
      <c r="J81" s="173">
        <v>429.01</v>
      </c>
      <c r="K81" s="344">
        <v>399.3</v>
      </c>
      <c r="L81" s="193">
        <v>40</v>
      </c>
      <c r="M81" s="345">
        <f t="shared" si="13"/>
        <v>15972</v>
      </c>
      <c r="N81" s="345">
        <f t="shared" si="14"/>
        <v>17160.400000000001</v>
      </c>
      <c r="O81" s="345">
        <f t="shared" si="15"/>
        <v>1188.4000000000015</v>
      </c>
      <c r="P81" s="214">
        <f t="shared" si="16"/>
        <v>7.4405209115952831E-2</v>
      </c>
      <c r="Q81" s="196">
        <f t="shared" si="17"/>
        <v>32</v>
      </c>
      <c r="R81" s="5" t="s">
        <v>191</v>
      </c>
      <c r="S81" s="3"/>
      <c r="T81" s="3"/>
      <c r="U81" s="3"/>
      <c r="V81" s="3"/>
      <c r="W81" s="3"/>
      <c r="X81" s="3"/>
      <c r="Y81" s="3"/>
      <c r="Z81" s="3"/>
      <c r="AA81" s="3"/>
      <c r="AB81" s="3"/>
      <c r="AC81" s="3"/>
      <c r="AD81" s="3"/>
      <c r="AE81" s="3"/>
      <c r="AF81" s="3"/>
      <c r="AG81" s="3"/>
      <c r="AJ81" s="5"/>
      <c r="AK81" s="5"/>
      <c r="AL81" s="3"/>
      <c r="AM81" s="3"/>
      <c r="AN81" s="141"/>
      <c r="AO81" s="141"/>
      <c r="AP81" s="141"/>
      <c r="AQ81" s="141"/>
      <c r="AR81" s="141"/>
      <c r="AS81" s="141"/>
      <c r="AT81" s="141"/>
      <c r="AU81" s="29"/>
      <c r="AV81" s="141"/>
      <c r="AW81" s="29"/>
      <c r="AX81" s="141"/>
      <c r="AY81" s="324">
        <v>44734</v>
      </c>
      <c r="AZ81" s="9">
        <v>-9.6000000000000002E-2</v>
      </c>
      <c r="BA81" s="9">
        <v>-8.4000000000000005E-2</v>
      </c>
      <c r="BD81" s="5"/>
      <c r="BE81" s="5"/>
      <c r="BF81" s="5"/>
      <c r="BG81" s="5"/>
      <c r="BH81" s="5"/>
      <c r="BI81" s="5"/>
      <c r="BJ81" s="5"/>
      <c r="BK81" s="5"/>
      <c r="BL81" s="5"/>
      <c r="BM81" s="5"/>
      <c r="BN81" s="5"/>
      <c r="BO81" s="5"/>
      <c r="BP81" s="5"/>
      <c r="BQ81" s="5"/>
      <c r="BR81" s="5"/>
      <c r="BS81" s="5"/>
      <c r="BT81" s="5"/>
      <c r="BU81" s="5"/>
      <c r="BV81" s="5"/>
      <c r="BW81" s="5"/>
      <c r="BX81" s="5"/>
      <c r="BY81" s="5"/>
      <c r="BZ81" s="5"/>
      <c r="CA81" s="5"/>
    </row>
    <row r="82" spans="1:79" ht="15.75" customHeight="1">
      <c r="A82" s="3"/>
      <c r="B82" s="8" t="s">
        <v>21</v>
      </c>
      <c r="C82" s="105" t="str">
        <f ca="1">IFERROR(__xludf.DUMMYFUNCTION("GoogleFinance(B82,""name"")"),"VanEck Gold Miners ETF")</f>
        <v>VanEck Gold Miners ETF</v>
      </c>
      <c r="D82" s="106" t="str">
        <f ca="1">IFERROR(__xludf.DUMMYFUNCTION("GoogleFinance(B82,""marketcap"")/1000000"),"#N/A")</f>
        <v>#N/A</v>
      </c>
      <c r="E82" s="107" t="s">
        <v>11</v>
      </c>
      <c r="F82" s="107" t="s">
        <v>26</v>
      </c>
      <c r="G82" s="108">
        <v>45064</v>
      </c>
      <c r="H82" s="51">
        <v>45335</v>
      </c>
      <c r="I82" s="109">
        <f t="shared" ca="1" si="12"/>
        <v>1.1392359260149079E-2</v>
      </c>
      <c r="J82" s="110">
        <v>26</v>
      </c>
      <c r="K82" s="111">
        <v>31.43</v>
      </c>
      <c r="L82" s="112">
        <v>50</v>
      </c>
      <c r="M82" s="113">
        <f t="shared" si="13"/>
        <v>1571.5</v>
      </c>
      <c r="N82" s="114">
        <f t="shared" si="14"/>
        <v>1300</v>
      </c>
      <c r="O82" s="114">
        <f t="shared" si="15"/>
        <v>-271.5</v>
      </c>
      <c r="P82" s="57">
        <f t="shared" si="16"/>
        <v>-0.17276487432389431</v>
      </c>
      <c r="Q82" s="196">
        <f t="shared" si="17"/>
        <v>271</v>
      </c>
      <c r="R82" s="5" t="s">
        <v>47</v>
      </c>
      <c r="S82" s="3"/>
      <c r="T82" s="3"/>
      <c r="U82" s="3"/>
      <c r="V82" s="3"/>
      <c r="W82" s="3"/>
      <c r="X82" s="3"/>
      <c r="Y82" s="3"/>
      <c r="Z82" s="3"/>
      <c r="AA82" s="3"/>
      <c r="AB82" s="3"/>
      <c r="AC82" s="3"/>
      <c r="AD82" s="3"/>
      <c r="AE82" s="3"/>
      <c r="AF82" s="3"/>
      <c r="AG82" s="3"/>
      <c r="AJ82" s="5"/>
      <c r="AK82" s="5"/>
      <c r="AL82" s="3"/>
      <c r="AM82" s="3"/>
      <c r="AN82" s="141"/>
      <c r="AO82" s="141"/>
      <c r="AP82" s="141"/>
      <c r="AQ82" s="141"/>
      <c r="AR82" s="141"/>
      <c r="AS82" s="141"/>
      <c r="AT82" s="141"/>
      <c r="AU82" s="29"/>
      <c r="AV82" s="141"/>
      <c r="AW82" s="29"/>
      <c r="AX82" s="141"/>
      <c r="AY82" s="324">
        <v>44764</v>
      </c>
      <c r="AZ82" s="9">
        <v>5.2999999999999999E-2</v>
      </c>
      <c r="BA82" s="9">
        <v>9.1999999999999998E-2</v>
      </c>
      <c r="BD82" s="5"/>
      <c r="BE82" s="5"/>
      <c r="BF82" s="5"/>
      <c r="BG82" s="5"/>
      <c r="BH82" s="5"/>
      <c r="BI82" s="5"/>
      <c r="BJ82" s="5"/>
      <c r="BK82" s="5"/>
      <c r="BL82" s="5"/>
      <c r="BM82" s="5"/>
      <c r="BN82" s="5"/>
      <c r="BO82" s="5"/>
      <c r="BP82" s="5"/>
      <c r="BQ82" s="5"/>
      <c r="BR82" s="5"/>
      <c r="BS82" s="5"/>
      <c r="BT82" s="5"/>
      <c r="BU82" s="5"/>
      <c r="BV82" s="5"/>
      <c r="BW82" s="5"/>
      <c r="BX82" s="5"/>
      <c r="BY82" s="5"/>
      <c r="BZ82" s="5"/>
      <c r="CA82" s="5"/>
    </row>
    <row r="83" spans="1:79" ht="15.75" customHeight="1">
      <c r="A83" s="3"/>
      <c r="B83" s="184" t="s">
        <v>98</v>
      </c>
      <c r="C83" s="185" t="str">
        <f ca="1">IFERROR(__xludf.DUMMYFUNCTION("GoogleFinance(B83,""name"")"),"Walt Disney Co")</f>
        <v>Walt Disney Co</v>
      </c>
      <c r="D83" s="186">
        <f ca="1">IFERROR(__xludf.DUMMYFUNCTION("GoogleFinance(B83,""marketcap"")/1000000"),186442.60149)</f>
        <v>186442.60149</v>
      </c>
      <c r="E83" s="187" t="s">
        <v>12</v>
      </c>
      <c r="F83" s="187" t="s">
        <v>99</v>
      </c>
      <c r="G83" s="188">
        <v>45204</v>
      </c>
      <c r="H83" s="51">
        <v>45338</v>
      </c>
      <c r="I83" s="190">
        <f t="shared" ca="1" si="12"/>
        <v>2.9444867010846851E-2</v>
      </c>
      <c r="J83" s="191">
        <v>112</v>
      </c>
      <c r="K83" s="192">
        <v>86.66</v>
      </c>
      <c r="L83" s="193">
        <v>30</v>
      </c>
      <c r="M83" s="194">
        <f t="shared" si="13"/>
        <v>2599.7999999999997</v>
      </c>
      <c r="N83" s="195">
        <f t="shared" si="14"/>
        <v>3360</v>
      </c>
      <c r="O83" s="195">
        <f t="shared" si="15"/>
        <v>760.20000000000027</v>
      </c>
      <c r="P83" s="189">
        <f t="shared" si="16"/>
        <v>0.29240710823909533</v>
      </c>
      <c r="Q83" s="196">
        <f t="shared" si="17"/>
        <v>134</v>
      </c>
      <c r="R83" s="5" t="s">
        <v>191</v>
      </c>
      <c r="S83" s="3"/>
      <c r="T83" s="3"/>
      <c r="U83" s="3"/>
      <c r="V83" s="3"/>
      <c r="W83" s="3"/>
      <c r="X83" s="3"/>
      <c r="Y83" s="3"/>
      <c r="Z83" s="3"/>
      <c r="AA83" s="3"/>
      <c r="AB83" s="3"/>
      <c r="AC83" s="3"/>
      <c r="AD83" s="3"/>
      <c r="AE83" s="3"/>
      <c r="AF83" s="3"/>
      <c r="AG83" s="3"/>
      <c r="AH83" s="346"/>
      <c r="AI83" s="346"/>
      <c r="AJ83" s="346"/>
      <c r="AK83" s="346"/>
      <c r="AL83" s="3"/>
      <c r="AM83" s="3"/>
      <c r="AN83" s="141"/>
      <c r="AO83" s="141"/>
      <c r="AP83" s="141"/>
      <c r="AQ83" s="141"/>
      <c r="AR83" s="141"/>
      <c r="AS83" s="141"/>
      <c r="AT83" s="141"/>
      <c r="AU83" s="29"/>
      <c r="AV83" s="141"/>
      <c r="AW83" s="29"/>
      <c r="AX83" s="141"/>
      <c r="AY83" s="324">
        <v>44795</v>
      </c>
      <c r="AZ83" s="9">
        <v>-2.1000000000000001E-2</v>
      </c>
      <c r="BA83" s="9">
        <v>-4.1000000000000002E-2</v>
      </c>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row>
    <row r="84" spans="1:79" ht="15.75" customHeight="1">
      <c r="A84" s="3"/>
      <c r="B84" s="340" t="s">
        <v>6</v>
      </c>
      <c r="C84" s="341" t="str">
        <f ca="1">IFERROR(__xludf.DUMMYFUNCTION("GoogleFinance(B84,""name"")"),"Invesco QQQ Trust Series 1")</f>
        <v>Invesco QQQ Trust Series 1</v>
      </c>
      <c r="D84" s="342">
        <f ca="1">IFERROR(__xludf.DUMMYFUNCTION("GoogleFinance(B84,""marketcap"")/1000000"),187534.248121)</f>
        <v>187534.24812100001</v>
      </c>
      <c r="E84" s="343" t="s">
        <v>7</v>
      </c>
      <c r="F84" s="206"/>
      <c r="G84" s="188">
        <v>45295</v>
      </c>
      <c r="H84" s="51">
        <v>45338</v>
      </c>
      <c r="I84" s="215">
        <f t="shared" ca="1" si="12"/>
        <v>9.4468948326466989E-2</v>
      </c>
      <c r="J84" s="173">
        <v>431.2</v>
      </c>
      <c r="K84" s="344">
        <v>399.3</v>
      </c>
      <c r="L84" s="193">
        <v>25</v>
      </c>
      <c r="M84" s="345">
        <f t="shared" si="13"/>
        <v>9982.5</v>
      </c>
      <c r="N84" s="345">
        <f t="shared" si="14"/>
        <v>10780</v>
      </c>
      <c r="O84" s="345">
        <f t="shared" si="15"/>
        <v>797.5</v>
      </c>
      <c r="P84" s="214">
        <f t="shared" si="16"/>
        <v>7.9889807162534465E-2</v>
      </c>
      <c r="Q84" s="196">
        <f t="shared" si="17"/>
        <v>43</v>
      </c>
      <c r="R84" s="5" t="s">
        <v>191</v>
      </c>
      <c r="S84" s="3"/>
      <c r="T84" s="3"/>
      <c r="U84" s="3"/>
      <c r="V84" s="3"/>
      <c r="W84" s="3"/>
      <c r="X84" s="3"/>
      <c r="Y84" s="3"/>
      <c r="Z84" s="3"/>
      <c r="AA84" s="3"/>
      <c r="AB84" s="3"/>
      <c r="AC84" s="3"/>
      <c r="AD84" s="3"/>
      <c r="AE84" s="3"/>
      <c r="AF84" s="3"/>
      <c r="AG84" s="3"/>
      <c r="AL84" s="3"/>
      <c r="AM84" s="3"/>
      <c r="AN84" s="141"/>
      <c r="AO84" s="141"/>
      <c r="AP84" s="141"/>
      <c r="AQ84" s="141"/>
      <c r="AR84" s="141"/>
      <c r="AS84" s="141"/>
      <c r="AT84" s="141"/>
      <c r="AU84" s="29"/>
      <c r="AV84" s="141"/>
      <c r="AW84" s="29"/>
      <c r="AX84" s="141"/>
      <c r="AY84" s="324">
        <v>44826</v>
      </c>
      <c r="AZ84" s="9">
        <v>-2.5000000000000001E-2</v>
      </c>
      <c r="BA84" s="9">
        <v>-9.6000000000000002E-2</v>
      </c>
      <c r="BD84" s="5"/>
      <c r="BE84" s="5"/>
      <c r="BF84" s="5"/>
      <c r="BG84" s="5"/>
      <c r="BH84" s="5"/>
      <c r="BI84" s="5"/>
      <c r="BJ84" s="5"/>
      <c r="BK84" s="5"/>
      <c r="BL84" s="5"/>
      <c r="BM84" s="5"/>
      <c r="BN84" s="5"/>
      <c r="BO84" s="5"/>
      <c r="BP84" s="5"/>
      <c r="BQ84" s="5"/>
      <c r="BR84" s="5"/>
      <c r="BS84" s="5"/>
      <c r="BT84" s="5"/>
      <c r="BU84" s="5"/>
      <c r="BV84" s="5"/>
      <c r="BW84" s="5"/>
      <c r="BX84" s="5"/>
      <c r="BY84" s="5"/>
      <c r="BZ84" s="5"/>
      <c r="CA84" s="5"/>
    </row>
    <row r="85" spans="1:79" ht="15.75" customHeight="1">
      <c r="A85" s="3"/>
      <c r="B85" s="237" t="s">
        <v>6</v>
      </c>
      <c r="C85" s="238" t="str">
        <f ca="1">IFERROR(__xludf.DUMMYFUNCTION("GoogleFinance(B85,""name"")"),"Invesco QQQ Trust Series 1")</f>
        <v>Invesco QQQ Trust Series 1</v>
      </c>
      <c r="D85" s="239">
        <f ca="1">IFERROR(__xludf.DUMMYFUNCTION("GoogleFinance(B85,""marketcap"")/1000000"),187534.248121)</f>
        <v>187534.24812100001</v>
      </c>
      <c r="E85" s="240" t="s">
        <v>7</v>
      </c>
      <c r="F85" s="241"/>
      <c r="G85" s="108">
        <v>45295</v>
      </c>
      <c r="H85" s="51">
        <v>45345</v>
      </c>
      <c r="I85" s="243">
        <f t="shared" ca="1" si="12"/>
        <v>7.655490155754642E-2</v>
      </c>
      <c r="J85" s="244">
        <v>436.79</v>
      </c>
      <c r="K85" s="245">
        <v>399.3</v>
      </c>
      <c r="L85" s="112">
        <v>20</v>
      </c>
      <c r="M85" s="246">
        <f t="shared" si="13"/>
        <v>7986</v>
      </c>
      <c r="N85" s="246">
        <f t="shared" si="14"/>
        <v>8735.8000000000011</v>
      </c>
      <c r="O85" s="246">
        <f t="shared" si="15"/>
        <v>749.80000000000109</v>
      </c>
      <c r="P85" s="242">
        <f t="shared" si="16"/>
        <v>9.3889306286000451E-2</v>
      </c>
      <c r="Q85" s="196">
        <f t="shared" si="17"/>
        <v>50</v>
      </c>
      <c r="R85" s="5" t="s">
        <v>191</v>
      </c>
      <c r="S85" s="3"/>
      <c r="T85" s="3"/>
      <c r="U85" s="3"/>
      <c r="V85" s="3"/>
      <c r="W85" s="3"/>
      <c r="X85" s="3"/>
      <c r="Y85" s="3"/>
      <c r="Z85" s="3"/>
      <c r="AA85" s="3"/>
      <c r="AB85" s="3"/>
      <c r="AC85" s="3"/>
      <c r="AD85" s="3"/>
      <c r="AE85" s="3"/>
      <c r="AF85" s="3"/>
      <c r="AG85" s="3"/>
      <c r="AL85" s="3"/>
      <c r="AM85" s="3"/>
      <c r="AN85" s="141"/>
      <c r="AO85" s="141"/>
      <c r="AP85" s="141"/>
      <c r="AQ85" s="141"/>
      <c r="AR85" s="141"/>
      <c r="AS85" s="141"/>
      <c r="AT85" s="141"/>
      <c r="AU85" s="29"/>
      <c r="AV85" s="141"/>
      <c r="AW85" s="29"/>
      <c r="AX85" s="141"/>
      <c r="AY85" s="324">
        <v>44856</v>
      </c>
      <c r="AZ85" s="9">
        <v>4.8399999999999999E-2</v>
      </c>
      <c r="BA85" s="9">
        <v>8.1000000000000003E-2</v>
      </c>
      <c r="BD85" s="5"/>
      <c r="BE85" s="5"/>
      <c r="BF85" s="5"/>
      <c r="BG85" s="5"/>
      <c r="BH85" s="5"/>
      <c r="BI85" s="5"/>
      <c r="BJ85" s="5"/>
      <c r="BK85" s="5"/>
      <c r="BL85" s="5"/>
      <c r="BM85" s="5"/>
      <c r="BN85" s="5"/>
      <c r="BO85" s="5"/>
      <c r="BP85" s="5"/>
      <c r="BQ85" s="5"/>
      <c r="BR85" s="5"/>
      <c r="BS85" s="5"/>
      <c r="BT85" s="5"/>
      <c r="BU85" s="5"/>
      <c r="BV85" s="5"/>
      <c r="BW85" s="5"/>
      <c r="BX85" s="5"/>
      <c r="BY85" s="5"/>
      <c r="BZ85" s="5"/>
      <c r="CA85" s="5"/>
    </row>
    <row r="86" spans="1:79" ht="15.75" customHeight="1">
      <c r="A86" s="3"/>
      <c r="B86" s="1" t="s">
        <v>193</v>
      </c>
      <c r="C86" s="48" t="str">
        <f ca="1">IFERROR(__xludf.DUMMYFUNCTION("GoogleFinance(B86,""name"")"),"Paramount Global Class B")</f>
        <v>Paramount Global Class B</v>
      </c>
      <c r="D86" s="49">
        <f ca="1">IFERROR(__xludf.DUMMYFUNCTION("GoogleFinance(B86,""marketcap"")/1000000"),7076.866979)</f>
        <v>7076.8669790000004</v>
      </c>
      <c r="E86" s="50" t="s">
        <v>12</v>
      </c>
      <c r="F86" s="50" t="s">
        <v>99</v>
      </c>
      <c r="G86" s="51">
        <v>45204</v>
      </c>
      <c r="H86" s="51">
        <v>45355</v>
      </c>
      <c r="I86" s="10">
        <f t="shared" ca="1" si="12"/>
        <v>2.7771189962443585E-2</v>
      </c>
      <c r="J86" s="52">
        <v>10.5</v>
      </c>
      <c r="K86" s="53">
        <v>14.91</v>
      </c>
      <c r="L86" s="54">
        <f>4500/K86</f>
        <v>301.81086519114689</v>
      </c>
      <c r="M86" s="55">
        <v>5000</v>
      </c>
      <c r="N86" s="56">
        <f t="shared" si="14"/>
        <v>3169.0140845070423</v>
      </c>
      <c r="O86" s="56">
        <f t="shared" si="15"/>
        <v>-1830.9859154929577</v>
      </c>
      <c r="P86" s="57">
        <f t="shared" si="16"/>
        <v>-0.29577464788732399</v>
      </c>
      <c r="Q86" s="196">
        <f t="shared" si="17"/>
        <v>151</v>
      </c>
      <c r="R86" s="59" t="s">
        <v>47</v>
      </c>
      <c r="S86" s="57"/>
      <c r="T86" s="3"/>
      <c r="U86" s="3"/>
      <c r="V86" s="3"/>
      <c r="W86" s="3"/>
      <c r="X86" s="3"/>
      <c r="Y86" s="3"/>
      <c r="Z86" s="3"/>
      <c r="AA86" s="3"/>
      <c r="AB86" s="3"/>
      <c r="AC86" s="3"/>
      <c r="AD86" s="3"/>
      <c r="AE86" s="3"/>
      <c r="AF86" s="3"/>
      <c r="AG86" s="3"/>
      <c r="AH86" s="30"/>
      <c r="AI86" s="30"/>
      <c r="AJ86" s="30"/>
      <c r="AK86" s="30"/>
      <c r="AL86" s="3"/>
      <c r="AM86" s="3"/>
      <c r="AN86" s="141"/>
      <c r="AO86" s="141"/>
      <c r="AP86" s="141"/>
      <c r="AQ86" s="141"/>
      <c r="AR86" s="141"/>
      <c r="AS86" s="141"/>
      <c r="AT86" s="141"/>
      <c r="AU86" s="29"/>
      <c r="AV86" s="141"/>
      <c r="AW86" s="29"/>
      <c r="AX86" s="141"/>
      <c r="AY86" s="324">
        <v>44887</v>
      </c>
      <c r="AZ86" s="9">
        <v>2.1999999999999999E-2</v>
      </c>
      <c r="BA86" s="9">
        <v>5.5591517568162496E-2</v>
      </c>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row>
    <row r="87" spans="1:79" ht="15.75" customHeight="1">
      <c r="A87" s="3"/>
      <c r="B87" s="30" t="s">
        <v>86</v>
      </c>
      <c r="C87" s="48" t="str">
        <f ca="1">IFERROR(__xludf.DUMMYFUNCTION("GoogleFinance(B87,""name"")"),"Kroger Co")</f>
        <v>Kroger Co</v>
      </c>
      <c r="D87" s="49">
        <f ca="1">IFERROR(__xludf.DUMMYFUNCTION("GoogleFinance(B87,""marketcap"")/1000000"),36532.534241)</f>
        <v>36532.534241000001</v>
      </c>
      <c r="E87" s="50" t="s">
        <v>16</v>
      </c>
      <c r="F87" s="50" t="s">
        <v>87</v>
      </c>
      <c r="G87" s="51">
        <v>44916</v>
      </c>
      <c r="H87" s="51">
        <v>45362</v>
      </c>
      <c r="I87" s="10">
        <f t="shared" ca="1" si="12"/>
        <v>2.453738917570571E-2</v>
      </c>
      <c r="J87" s="52">
        <v>56</v>
      </c>
      <c r="K87" s="53">
        <v>44.39</v>
      </c>
      <c r="L87" s="54">
        <v>50</v>
      </c>
      <c r="M87" s="55">
        <f t="shared" ref="M87:M104" si="18">L87*K87</f>
        <v>2219.5</v>
      </c>
      <c r="N87" s="56">
        <f t="shared" si="14"/>
        <v>2800</v>
      </c>
      <c r="O87" s="56">
        <f t="shared" si="15"/>
        <v>580.5</v>
      </c>
      <c r="P87" s="57">
        <f t="shared" si="16"/>
        <v>0.26154539310655545</v>
      </c>
      <c r="Q87" s="196">
        <f t="shared" si="17"/>
        <v>446</v>
      </c>
      <c r="R87" s="5" t="s">
        <v>191</v>
      </c>
      <c r="S87" s="3"/>
      <c r="T87" s="3"/>
      <c r="U87" s="3"/>
      <c r="V87" s="3"/>
      <c r="W87" s="3"/>
      <c r="X87" s="3"/>
      <c r="Y87" s="3"/>
      <c r="Z87" s="3"/>
      <c r="AA87" s="3"/>
      <c r="AB87" s="3"/>
      <c r="AC87" s="3"/>
      <c r="AD87" s="3"/>
      <c r="AE87" s="3"/>
      <c r="AF87" s="3"/>
      <c r="AG87" s="3"/>
      <c r="AH87" s="30"/>
      <c r="AI87" s="30"/>
      <c r="AJ87" s="30"/>
      <c r="AK87" s="30"/>
      <c r="AL87" s="3"/>
      <c r="AM87" s="3"/>
      <c r="AN87" s="141"/>
      <c r="AO87" s="141"/>
      <c r="AP87" s="141"/>
      <c r="AQ87" s="141"/>
      <c r="AR87" s="141"/>
      <c r="AS87" s="141"/>
      <c r="AT87" s="141"/>
      <c r="AU87" s="29"/>
      <c r="AV87" s="141"/>
      <c r="AW87" s="29"/>
      <c r="AX87" s="141"/>
      <c r="AY87" s="324">
        <v>44917</v>
      </c>
      <c r="AZ87" s="9">
        <v>-0.01</v>
      </c>
      <c r="BA87" s="9">
        <v>-6.2E-2</v>
      </c>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row>
    <row r="88" spans="1:79" ht="15.75" customHeight="1">
      <c r="A88" s="3"/>
      <c r="B88" s="8" t="s">
        <v>189</v>
      </c>
      <c r="C88" s="105" t="str">
        <f ca="1">IFERROR(__xludf.DUMMYFUNCTION("GoogleFinance(B88,""name"")"),"AbbVie Inc")</f>
        <v>AbbVie Inc</v>
      </c>
      <c r="D88" s="106">
        <f ca="1">IFERROR(__xludf.DUMMYFUNCTION("GoogleFinance(B88,""marketcap"")/1000000"),300886.077052)</f>
        <v>300886.07705199998</v>
      </c>
      <c r="E88" s="107" t="s">
        <v>15</v>
      </c>
      <c r="F88" s="107" t="s">
        <v>190</v>
      </c>
      <c r="G88" s="108">
        <v>45184</v>
      </c>
      <c r="H88" s="51">
        <v>45362</v>
      </c>
      <c r="I88" s="109">
        <f t="shared" ca="1" si="12"/>
        <v>1.2605908421953268E-2</v>
      </c>
      <c r="J88" s="110">
        <v>179.81</v>
      </c>
      <c r="K88" s="111">
        <v>153</v>
      </c>
      <c r="L88" s="112">
        <v>8</v>
      </c>
      <c r="M88" s="113">
        <f t="shared" si="18"/>
        <v>1224</v>
      </c>
      <c r="N88" s="114">
        <f t="shared" si="14"/>
        <v>1438.48</v>
      </c>
      <c r="O88" s="114">
        <f t="shared" si="15"/>
        <v>214.48000000000002</v>
      </c>
      <c r="P88" s="57">
        <f t="shared" si="16"/>
        <v>0.17522875816993455</v>
      </c>
      <c r="Q88" s="196">
        <f t="shared" si="17"/>
        <v>178</v>
      </c>
      <c r="R88" s="5" t="s">
        <v>191</v>
      </c>
      <c r="S88" s="3"/>
      <c r="T88" s="3"/>
      <c r="U88" s="3"/>
      <c r="V88" s="3"/>
      <c r="W88" s="3"/>
      <c r="X88" s="3"/>
      <c r="Y88" s="3"/>
      <c r="Z88" s="3"/>
      <c r="AA88" s="3"/>
      <c r="AB88" s="3"/>
      <c r="AC88" s="3"/>
      <c r="AD88" s="3"/>
      <c r="AE88" s="3"/>
      <c r="AF88" s="3"/>
      <c r="AG88" s="3"/>
      <c r="AH88" s="30"/>
      <c r="AI88" s="30"/>
      <c r="AJ88" s="30"/>
      <c r="AK88" s="30"/>
      <c r="AL88" s="3"/>
      <c r="AM88" s="3"/>
      <c r="AN88" s="141"/>
      <c r="AO88" s="141"/>
      <c r="AP88" s="141"/>
      <c r="AQ88" s="141"/>
      <c r="AR88" s="141"/>
      <c r="AS88" s="141"/>
      <c r="AT88" s="141"/>
      <c r="AU88" s="29"/>
      <c r="AV88" s="141"/>
      <c r="AW88" s="29"/>
      <c r="AX88" s="141"/>
      <c r="AY88" s="324">
        <v>44584</v>
      </c>
      <c r="AZ88" s="9">
        <v>1.44E-2</v>
      </c>
      <c r="BA88" s="9">
        <v>6.4000000000000001E-2</v>
      </c>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row>
    <row r="89" spans="1:79" ht="15.75" customHeight="1">
      <c r="A89" s="3"/>
      <c r="B89" s="8" t="s">
        <v>189</v>
      </c>
      <c r="C89" s="105" t="str">
        <f ca="1">IFERROR(__xludf.DUMMYFUNCTION("GoogleFinance(B89,""name"")"),"AbbVie Inc")</f>
        <v>AbbVie Inc</v>
      </c>
      <c r="D89" s="106">
        <f ca="1">IFERROR(__xludf.DUMMYFUNCTION("GoogleFinance(B89,""marketcap"")/1000000"),300886.077052)</f>
        <v>300886.07705199998</v>
      </c>
      <c r="E89" s="107" t="s">
        <v>15</v>
      </c>
      <c r="F89" s="107" t="s">
        <v>190</v>
      </c>
      <c r="G89" s="108">
        <v>45184</v>
      </c>
      <c r="H89" s="51">
        <v>45372</v>
      </c>
      <c r="I89" s="109">
        <f t="shared" ca="1" si="12"/>
        <v>1.1467215823841538E-2</v>
      </c>
      <c r="J89" s="110">
        <v>176.83</v>
      </c>
      <c r="K89" s="111">
        <v>153</v>
      </c>
      <c r="L89" s="112">
        <v>7.4</v>
      </c>
      <c r="M89" s="113">
        <f t="shared" si="18"/>
        <v>1132.2</v>
      </c>
      <c r="N89" s="114">
        <f t="shared" si="14"/>
        <v>1308.5420000000001</v>
      </c>
      <c r="O89" s="114">
        <f t="shared" si="15"/>
        <v>176.3420000000001</v>
      </c>
      <c r="P89" s="57">
        <f t="shared" si="16"/>
        <v>0.15575163398692826</v>
      </c>
      <c r="Q89" s="196">
        <f t="shared" si="17"/>
        <v>188</v>
      </c>
      <c r="R89" s="5" t="s">
        <v>191</v>
      </c>
      <c r="S89" s="3"/>
      <c r="T89" s="3"/>
      <c r="U89" s="3"/>
      <c r="V89" s="3"/>
      <c r="W89" s="3"/>
      <c r="X89" s="3"/>
      <c r="Y89" s="3"/>
      <c r="Z89" s="3"/>
      <c r="AA89" s="3"/>
      <c r="AB89" s="3"/>
      <c r="AC89" s="3"/>
      <c r="AD89" s="3"/>
      <c r="AE89" s="3"/>
      <c r="AF89" s="3"/>
      <c r="AG89" s="3"/>
      <c r="AH89" s="30"/>
      <c r="AI89" s="30"/>
      <c r="AJ89" s="30"/>
      <c r="AK89" s="30"/>
      <c r="AL89" s="3"/>
      <c r="AM89" s="3"/>
      <c r="AN89" s="141"/>
      <c r="AO89" s="141"/>
      <c r="AP89" s="141"/>
      <c r="AQ89" s="141"/>
      <c r="AR89" s="141"/>
      <c r="AS89" s="141"/>
      <c r="AT89" s="141"/>
      <c r="AU89" s="29"/>
      <c r="AV89" s="141"/>
      <c r="AW89" s="29"/>
      <c r="AX89" s="141"/>
      <c r="AY89" s="324">
        <v>44615</v>
      </c>
      <c r="AZ89" s="9">
        <v>-5.0000000000000001E-3</v>
      </c>
      <c r="BA89" s="9">
        <v>-2.5000000000000001E-2</v>
      </c>
      <c r="BC89" s="347">
        <v>100000</v>
      </c>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row>
    <row r="90" spans="1:79" ht="15.75" customHeight="1">
      <c r="A90" s="3"/>
      <c r="B90" s="184" t="s">
        <v>128</v>
      </c>
      <c r="C90" s="185" t="str">
        <f ca="1">IFERROR(__xludf.DUMMYFUNCTION("GoogleFinance(B90,""name"")"),"First Trust NASDAQ Oil &amp; Gas ETF")</f>
        <v>First Trust NASDAQ Oil &amp; Gas ETF</v>
      </c>
      <c r="D90" s="186" t="str">
        <f ca="1">IFERROR(__xludf.DUMMYFUNCTION("GoogleFinance(B90,""marketcap"")/1000000"),"#N/A")</f>
        <v>#N/A</v>
      </c>
      <c r="E90" s="187" t="s">
        <v>14</v>
      </c>
      <c r="F90" s="187" t="s">
        <v>126</v>
      </c>
      <c r="G90" s="188">
        <v>45254</v>
      </c>
      <c r="H90" s="51">
        <v>45385</v>
      </c>
      <c r="I90" s="190">
        <f t="shared" ca="1" si="12"/>
        <v>1.4306174224764132E-2</v>
      </c>
      <c r="J90" s="191">
        <v>32.65</v>
      </c>
      <c r="K90" s="192">
        <v>28.6</v>
      </c>
      <c r="L90" s="193">
        <v>50</v>
      </c>
      <c r="M90" s="194">
        <f t="shared" si="18"/>
        <v>1430</v>
      </c>
      <c r="N90" s="195">
        <f t="shared" si="14"/>
        <v>1632.5</v>
      </c>
      <c r="O90" s="195">
        <f t="shared" si="15"/>
        <v>202.5</v>
      </c>
      <c r="P90" s="189">
        <f t="shared" si="16"/>
        <v>0.14160839160839145</v>
      </c>
      <c r="Q90" s="196">
        <f t="shared" si="17"/>
        <v>131</v>
      </c>
      <c r="R90" s="5" t="s">
        <v>191</v>
      </c>
      <c r="S90" s="3"/>
      <c r="T90" s="3"/>
      <c r="U90" s="3"/>
      <c r="V90" s="3"/>
      <c r="W90" s="3"/>
      <c r="X90" s="3"/>
      <c r="Y90" s="3"/>
      <c r="Z90" s="3"/>
      <c r="AA90" s="3"/>
      <c r="AB90" s="3"/>
      <c r="AC90" s="3"/>
      <c r="AD90" s="3"/>
      <c r="AE90" s="3"/>
      <c r="AF90" s="3"/>
      <c r="AG90" s="3"/>
      <c r="AH90" s="30"/>
      <c r="AI90" s="30"/>
      <c r="AJ90" s="30"/>
      <c r="AK90" s="30"/>
      <c r="AL90" s="3"/>
      <c r="AM90" s="3"/>
      <c r="AN90" s="141"/>
      <c r="AO90" s="141"/>
      <c r="AP90" s="141"/>
      <c r="AQ90" s="141"/>
      <c r="AR90" s="141"/>
      <c r="AS90" s="141"/>
      <c r="AT90" s="141"/>
      <c r="AU90" s="29"/>
      <c r="AV90" s="141"/>
      <c r="AW90" s="29"/>
      <c r="AX90" s="141"/>
      <c r="AY90" s="324">
        <v>44643</v>
      </c>
      <c r="AZ90" s="9">
        <v>3.2300000000000002E-2</v>
      </c>
      <c r="BA90" s="9">
        <v>3.3134810477968957E-2</v>
      </c>
      <c r="BB90" s="144"/>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row>
    <row r="91" spans="1:79" ht="15.75" customHeight="1">
      <c r="A91" s="3"/>
      <c r="B91" s="184" t="s">
        <v>128</v>
      </c>
      <c r="C91" s="185" t="str">
        <f ca="1">IFERROR(__xludf.DUMMYFUNCTION("GoogleFinance(B91,""name"")"),"First Trust NASDAQ Oil &amp; Gas ETF")</f>
        <v>First Trust NASDAQ Oil &amp; Gas ETF</v>
      </c>
      <c r="D91" s="186" t="str">
        <f ca="1">IFERROR(__xludf.DUMMYFUNCTION("GoogleFinance(B91,""marketcap"")/1000000"),"#N/A")</f>
        <v>#N/A</v>
      </c>
      <c r="E91" s="187" t="s">
        <v>14</v>
      </c>
      <c r="F91" s="187" t="s">
        <v>126</v>
      </c>
      <c r="G91" s="188">
        <v>45254</v>
      </c>
      <c r="H91" s="51">
        <v>45386</v>
      </c>
      <c r="I91" s="190">
        <f t="shared" ca="1" si="12"/>
        <v>2.9181966412535714E-2</v>
      </c>
      <c r="J91" s="191">
        <v>33.299999999999997</v>
      </c>
      <c r="K91" s="192">
        <v>28.6</v>
      </c>
      <c r="L91" s="193">
        <v>100</v>
      </c>
      <c r="M91" s="194">
        <f t="shared" si="18"/>
        <v>2860</v>
      </c>
      <c r="N91" s="195">
        <f t="shared" si="14"/>
        <v>3329.9999999999995</v>
      </c>
      <c r="O91" s="195">
        <f t="shared" si="15"/>
        <v>469.99999999999955</v>
      </c>
      <c r="P91" s="189">
        <f t="shared" si="16"/>
        <v>0.16433566433566416</v>
      </c>
      <c r="Q91" s="196">
        <f t="shared" si="17"/>
        <v>132</v>
      </c>
      <c r="R91" s="5" t="s">
        <v>191</v>
      </c>
      <c r="S91" s="3"/>
      <c r="T91" s="3"/>
      <c r="U91" s="3"/>
      <c r="V91" s="3"/>
      <c r="W91" s="3"/>
      <c r="X91" s="3"/>
      <c r="Y91" s="3"/>
      <c r="Z91" s="3"/>
      <c r="AA91" s="3"/>
      <c r="AB91" s="3"/>
      <c r="AC91" s="3"/>
      <c r="AD91" s="3"/>
      <c r="AE91" s="3"/>
      <c r="AF91" s="3"/>
      <c r="AG91" s="3"/>
      <c r="AH91" s="30"/>
      <c r="AI91" s="30"/>
      <c r="AJ91" s="30"/>
      <c r="AK91" s="30"/>
      <c r="AL91" s="3"/>
      <c r="AM91" s="3"/>
      <c r="AN91" s="141"/>
      <c r="AO91" s="141"/>
      <c r="AP91" s="141"/>
      <c r="AQ91" s="141"/>
      <c r="AR91" s="141"/>
      <c r="AS91" s="141"/>
      <c r="AT91" s="141"/>
      <c r="AU91" s="29"/>
      <c r="AV91" s="141"/>
      <c r="AW91" s="29"/>
      <c r="AX91" s="141"/>
      <c r="AY91" s="324">
        <v>44643</v>
      </c>
      <c r="AZ91" s="9">
        <v>3.2300000000000002E-2</v>
      </c>
      <c r="BA91" s="9">
        <v>3.3134810477968957E-2</v>
      </c>
      <c r="BB91" s="144"/>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row>
    <row r="92" spans="1:79" ht="15.75" customHeight="1">
      <c r="A92" s="3"/>
      <c r="B92" s="1" t="s">
        <v>194</v>
      </c>
      <c r="C92" s="48" t="str">
        <f ca="1">IFERROR(__xludf.DUMMYFUNCTION("GoogleFinance(B92,""name"")"),"UnitedHealth Group Inc")</f>
        <v>UnitedHealth Group Inc</v>
      </c>
      <c r="D92" s="49">
        <f ca="1">IFERROR(__xludf.DUMMYFUNCTION("GoogleFinance(B92,""marketcap"")/1000000"),444168.642038)</f>
        <v>444168.64203799999</v>
      </c>
      <c r="E92" s="50" t="s">
        <v>15</v>
      </c>
      <c r="F92" s="50" t="s">
        <v>195</v>
      </c>
      <c r="G92" s="51">
        <v>45309</v>
      </c>
      <c r="H92" s="51">
        <v>45385</v>
      </c>
      <c r="I92" s="10">
        <f t="shared" ca="1" si="12"/>
        <v>3.9785623877751398E-2</v>
      </c>
      <c r="J92" s="52">
        <v>454</v>
      </c>
      <c r="K92" s="53">
        <v>500</v>
      </c>
      <c r="L92" s="54">
        <f>5000/K92</f>
        <v>10</v>
      </c>
      <c r="M92" s="55">
        <f t="shared" si="18"/>
        <v>5000</v>
      </c>
      <c r="N92" s="56">
        <f t="shared" si="14"/>
        <v>4540</v>
      </c>
      <c r="O92" s="56">
        <f t="shared" si="15"/>
        <v>-460</v>
      </c>
      <c r="P92" s="57">
        <f t="shared" si="16"/>
        <v>-9.1999999999999971E-2</v>
      </c>
      <c r="Q92" s="58">
        <f ca="1">TODAY()-G92</f>
        <v>158</v>
      </c>
      <c r="R92" s="59" t="s">
        <v>47</v>
      </c>
      <c r="S92" s="3"/>
      <c r="T92" s="3"/>
      <c r="U92" s="3"/>
      <c r="V92" s="3"/>
      <c r="W92" s="3"/>
      <c r="X92" s="3"/>
      <c r="Y92" s="3"/>
      <c r="Z92" s="3"/>
      <c r="AA92" s="3"/>
      <c r="AB92" s="3"/>
      <c r="AC92" s="3"/>
      <c r="AD92" s="3"/>
      <c r="AE92" s="3"/>
      <c r="AF92" s="3"/>
      <c r="AG92" s="3"/>
      <c r="AH92" s="3"/>
      <c r="AI92" s="3"/>
      <c r="AJ92" s="3"/>
      <c r="AK92" s="3"/>
      <c r="AL92" s="3"/>
      <c r="AM92" s="3"/>
      <c r="AN92" s="3"/>
      <c r="AO92" s="3"/>
      <c r="AP92" s="141"/>
      <c r="AQ92" s="141"/>
      <c r="AR92" s="141"/>
      <c r="AS92" s="141"/>
      <c r="AT92" s="141"/>
      <c r="AU92" s="29"/>
      <c r="AV92" s="141"/>
      <c r="AW92" s="29"/>
      <c r="AX92" s="141"/>
      <c r="AY92" s="324">
        <v>44704</v>
      </c>
      <c r="AZ92" s="9">
        <v>-2.2599999999999999E-2</v>
      </c>
      <c r="BA92" s="9">
        <v>3.0000000000000001E-3</v>
      </c>
      <c r="BB92" s="144"/>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row>
    <row r="93" spans="1:79" ht="15.75" customHeight="1">
      <c r="A93" s="3"/>
      <c r="B93" s="184" t="s">
        <v>128</v>
      </c>
      <c r="C93" s="185" t="str">
        <f ca="1">IFERROR(__xludf.DUMMYFUNCTION("GoogleFinance(B93,""name"")"),"First Trust NASDAQ Oil &amp; Gas ETF")</f>
        <v>First Trust NASDAQ Oil &amp; Gas ETF</v>
      </c>
      <c r="D93" s="186" t="str">
        <f ca="1">IFERROR(__xludf.DUMMYFUNCTION("GoogleFinance(B93,""marketcap"")/1000000"),"#N/A")</f>
        <v>#N/A</v>
      </c>
      <c r="E93" s="187" t="s">
        <v>14</v>
      </c>
      <c r="F93" s="187" t="s">
        <v>126</v>
      </c>
      <c r="G93" s="188">
        <v>45254</v>
      </c>
      <c r="H93" s="51">
        <v>45391</v>
      </c>
      <c r="I93" s="190">
        <f t="shared" ca="1" si="12"/>
        <v>1.4547166439882672E-2</v>
      </c>
      <c r="J93" s="191">
        <v>33.200000000000003</v>
      </c>
      <c r="K93" s="192">
        <v>28.6</v>
      </c>
      <c r="L93" s="193">
        <v>50</v>
      </c>
      <c r="M93" s="194">
        <f t="shared" si="18"/>
        <v>1430</v>
      </c>
      <c r="N93" s="195">
        <f t="shared" si="14"/>
        <v>1660.0000000000002</v>
      </c>
      <c r="O93" s="195">
        <f t="shared" si="15"/>
        <v>230.00000000000023</v>
      </c>
      <c r="P93" s="189">
        <f t="shared" si="16"/>
        <v>0.16083916083916083</v>
      </c>
      <c r="Q93" s="196">
        <f t="shared" ref="Q93:Q101" si="19">H93-G93</f>
        <v>137</v>
      </c>
      <c r="R93" s="5" t="s">
        <v>191</v>
      </c>
      <c r="S93" s="3"/>
      <c r="T93" s="3"/>
      <c r="U93" s="3"/>
      <c r="V93" s="3"/>
      <c r="W93" s="3"/>
      <c r="X93" s="3"/>
      <c r="Y93" s="3"/>
      <c r="Z93" s="3"/>
      <c r="AA93" s="3"/>
      <c r="AB93" s="3"/>
      <c r="AC93" s="3"/>
      <c r="AD93" s="3"/>
      <c r="AE93" s="3"/>
      <c r="AF93" s="3"/>
      <c r="AG93" s="3"/>
      <c r="AH93" s="30"/>
      <c r="AI93" s="30"/>
      <c r="AJ93" s="30"/>
      <c r="AK93" s="30"/>
      <c r="AL93" s="30"/>
      <c r="AM93" s="30"/>
      <c r="AN93" s="30"/>
      <c r="AO93" s="30"/>
      <c r="AP93" s="30"/>
      <c r="AQ93" s="30"/>
      <c r="AR93" s="30"/>
      <c r="AS93" s="30"/>
      <c r="AT93" s="30"/>
      <c r="AU93" s="30"/>
      <c r="AV93" s="30"/>
      <c r="AW93" s="30"/>
      <c r="AX93" s="30"/>
      <c r="AY93" s="324">
        <v>44735</v>
      </c>
      <c r="AZ93" s="9">
        <v>1.9E-2</v>
      </c>
      <c r="BA93" s="9">
        <v>6.0999999999999999E-2</v>
      </c>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row>
    <row r="94" spans="1:79" ht="15.75" customHeight="1">
      <c r="A94" s="3"/>
      <c r="B94" s="184" t="s">
        <v>21</v>
      </c>
      <c r="C94" s="185" t="str">
        <f ca="1">IFERROR(__xludf.DUMMYFUNCTION("GoogleFinance(B94,""name"")"),"VanEck Gold Miners ETF")</f>
        <v>VanEck Gold Miners ETF</v>
      </c>
      <c r="D94" s="186" t="str">
        <f ca="1">IFERROR(__xludf.DUMMYFUNCTION("GoogleFinance(B94,""marketcap"")/1000000"),"#N/A")</f>
        <v>#N/A</v>
      </c>
      <c r="E94" s="187" t="s">
        <v>11</v>
      </c>
      <c r="F94" s="187" t="s">
        <v>142</v>
      </c>
      <c r="G94" s="188">
        <v>45372</v>
      </c>
      <c r="H94" s="51">
        <v>45393</v>
      </c>
      <c r="I94" s="190">
        <f t="shared" ca="1" si="12"/>
        <v>1.7877240685157017E-2</v>
      </c>
      <c r="J94" s="191">
        <v>34</v>
      </c>
      <c r="K94" s="192">
        <f>(30.06+30.7)/2</f>
        <v>30.38</v>
      </c>
      <c r="L94" s="193">
        <v>60</v>
      </c>
      <c r="M94" s="194">
        <f t="shared" si="18"/>
        <v>1822.8</v>
      </c>
      <c r="N94" s="195">
        <f t="shared" si="14"/>
        <v>2040</v>
      </c>
      <c r="O94" s="195">
        <f t="shared" si="15"/>
        <v>217.20000000000005</v>
      </c>
      <c r="P94" s="189">
        <f t="shared" si="16"/>
        <v>0.11915734035549708</v>
      </c>
      <c r="Q94" s="196">
        <f t="shared" si="19"/>
        <v>21</v>
      </c>
      <c r="R94" s="5" t="s">
        <v>191</v>
      </c>
      <c r="S94" s="3"/>
      <c r="T94" s="3"/>
      <c r="U94" s="3"/>
      <c r="V94" s="3"/>
      <c r="W94" s="3"/>
      <c r="X94" s="3"/>
      <c r="Y94" s="3"/>
      <c r="Z94" s="3"/>
      <c r="AA94" s="3"/>
      <c r="AB94" s="3"/>
      <c r="AC94" s="3"/>
      <c r="AD94" s="3"/>
      <c r="AE94" s="3"/>
      <c r="AF94" s="3"/>
      <c r="AG94" s="3"/>
      <c r="AH94" s="30"/>
      <c r="AI94" s="30"/>
      <c r="AJ94" s="30"/>
      <c r="AK94" s="30"/>
      <c r="AL94" s="30"/>
      <c r="AM94" s="30"/>
      <c r="AN94" s="30"/>
      <c r="AO94" s="30"/>
      <c r="AP94" s="30"/>
      <c r="AQ94" s="30"/>
      <c r="AR94" s="30"/>
      <c r="AS94" s="30"/>
      <c r="AT94" s="30"/>
      <c r="AU94" s="30"/>
      <c r="AV94" s="30"/>
      <c r="AW94" s="30"/>
      <c r="AX94" s="30"/>
      <c r="AY94" s="324">
        <v>44765</v>
      </c>
      <c r="AZ94" s="9">
        <v>1.84E-2</v>
      </c>
      <c r="BA94" s="9">
        <v>3.7999999999999999E-2</v>
      </c>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row>
    <row r="95" spans="1:79" ht="15.75" customHeight="1">
      <c r="A95" s="3"/>
      <c r="B95" s="184" t="s">
        <v>27</v>
      </c>
      <c r="C95" s="185" t="str">
        <f ca="1">IFERROR(__xludf.DUMMYFUNCTION("GoogleFinance(B95,""name"")"),"iShares Silver Trust")</f>
        <v>iShares Silver Trust</v>
      </c>
      <c r="D95" s="186">
        <f ca="1">IFERROR(__xludf.DUMMYFUNCTION("GoogleFinance(B95,""marketcap"")/1000000"),10816.281816)</f>
        <v>10816.281816000001</v>
      </c>
      <c r="E95" s="187" t="s">
        <v>25</v>
      </c>
      <c r="F95" s="187" t="s">
        <v>28</v>
      </c>
      <c r="G95" s="188">
        <v>45372</v>
      </c>
      <c r="H95" s="51">
        <v>45393</v>
      </c>
      <c r="I95" s="190">
        <f t="shared" ca="1" si="12"/>
        <v>1.8045497068076139E-2</v>
      </c>
      <c r="J95" s="191">
        <v>25.74</v>
      </c>
      <c r="K95" s="192">
        <f>(22.6+22.5)/2</f>
        <v>22.55</v>
      </c>
      <c r="L95" s="193">
        <v>80</v>
      </c>
      <c r="M95" s="194">
        <f t="shared" si="18"/>
        <v>1804</v>
      </c>
      <c r="N95" s="195">
        <f t="shared" si="14"/>
        <v>2059.1999999999998</v>
      </c>
      <c r="O95" s="195">
        <f t="shared" si="15"/>
        <v>255.19999999999982</v>
      </c>
      <c r="P95" s="189">
        <f t="shared" si="16"/>
        <v>0.14146341463414625</v>
      </c>
      <c r="Q95" s="196">
        <f t="shared" si="19"/>
        <v>21</v>
      </c>
      <c r="R95" s="5" t="s">
        <v>191</v>
      </c>
      <c r="S95" s="3"/>
      <c r="T95" s="3"/>
      <c r="U95" s="3"/>
      <c r="V95" s="3"/>
      <c r="W95" s="3"/>
      <c r="X95" s="3"/>
      <c r="Y95" s="3"/>
      <c r="Z95" s="3"/>
      <c r="AA95" s="3"/>
      <c r="AB95" s="3"/>
      <c r="AC95" s="3"/>
      <c r="AD95" s="3"/>
      <c r="AE95" s="3"/>
      <c r="AF95" s="3"/>
      <c r="AG95" s="3"/>
      <c r="AH95" s="30"/>
      <c r="AI95" s="30"/>
      <c r="AJ95" s="30"/>
      <c r="AK95" s="30"/>
      <c r="AL95" s="30"/>
      <c r="AM95" s="30"/>
      <c r="AN95" s="30"/>
      <c r="AO95" s="30"/>
      <c r="AP95" s="30"/>
      <c r="AQ95" s="30"/>
      <c r="AR95" s="30"/>
      <c r="AS95" s="30"/>
      <c r="AT95" s="30"/>
      <c r="AU95" s="30"/>
      <c r="AV95" s="30"/>
      <c r="AW95" s="30"/>
      <c r="AX95" s="30"/>
      <c r="AY95" s="324">
        <v>44796</v>
      </c>
      <c r="AZ95" s="9">
        <v>2.3999999999999998E-3</v>
      </c>
      <c r="BA95" s="9">
        <v>-1.6E-2</v>
      </c>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row>
    <row r="96" spans="1:79" ht="15.75" customHeight="1">
      <c r="A96" s="3"/>
      <c r="B96" s="8" t="s">
        <v>196</v>
      </c>
      <c r="C96" s="105" t="str">
        <f ca="1">IFERROR(__xludf.DUMMYFUNCTION("GoogleFinance(B96,""name"")"),"#N/A")</f>
        <v>#N/A</v>
      </c>
      <c r="D96" s="106" t="str">
        <f ca="1">IFERROR(__xludf.DUMMYFUNCTION("GoogleFinance(B96,""marketcap"")/1000000"),"#N/A")</f>
        <v>#N/A</v>
      </c>
      <c r="E96" s="107" t="s">
        <v>14</v>
      </c>
      <c r="F96" s="107" t="s">
        <v>121</v>
      </c>
      <c r="G96" s="51">
        <v>45093</v>
      </c>
      <c r="H96" s="51">
        <v>45393</v>
      </c>
      <c r="I96" s="109">
        <f t="shared" ca="1" si="12"/>
        <v>4.0960737195243312E-2</v>
      </c>
      <c r="J96" s="110">
        <v>272.7</v>
      </c>
      <c r="K96" s="111">
        <v>204.2</v>
      </c>
      <c r="L96" s="112">
        <f>3500/204.2-8+8</f>
        <v>17.140058765915771</v>
      </c>
      <c r="M96" s="113">
        <f t="shared" si="18"/>
        <v>3500.0000000000005</v>
      </c>
      <c r="N96" s="114">
        <f t="shared" si="14"/>
        <v>4674.0940254652305</v>
      </c>
      <c r="O96" s="114">
        <f t="shared" si="15"/>
        <v>1174.0940254652301</v>
      </c>
      <c r="P96" s="57">
        <f t="shared" si="16"/>
        <v>0.33545543584720861</v>
      </c>
      <c r="Q96" s="196">
        <f t="shared" si="19"/>
        <v>300</v>
      </c>
      <c r="R96" s="5" t="s">
        <v>184</v>
      </c>
      <c r="S96" s="3"/>
      <c r="T96" s="3"/>
      <c r="U96" s="3"/>
      <c r="V96" s="3"/>
      <c r="W96" s="3"/>
      <c r="X96" s="3"/>
      <c r="Y96" s="3"/>
      <c r="Z96" s="3"/>
      <c r="AA96" s="3"/>
      <c r="AB96" s="3"/>
      <c r="AC96" s="3"/>
      <c r="AD96" s="3"/>
      <c r="AE96" s="3"/>
      <c r="AF96" s="3"/>
      <c r="AG96" s="3"/>
      <c r="AH96" s="30"/>
      <c r="AI96" s="30"/>
      <c r="AJ96" s="30"/>
      <c r="AK96" s="30"/>
      <c r="AL96" s="30"/>
      <c r="AM96" s="30"/>
      <c r="AN96" s="30"/>
      <c r="AO96" s="30"/>
      <c r="AP96" s="30"/>
      <c r="AQ96" s="30"/>
      <c r="AR96" s="30"/>
      <c r="AS96" s="30"/>
      <c r="AT96" s="30"/>
      <c r="AU96" s="30"/>
      <c r="AV96" s="30"/>
      <c r="AW96" s="30"/>
      <c r="AX96" s="30"/>
      <c r="AY96" s="324">
        <v>44827</v>
      </c>
      <c r="AZ96" s="9">
        <v>-1.9E-2</v>
      </c>
      <c r="BA96" s="9">
        <v>-5.0999999999999997E-2</v>
      </c>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row>
    <row r="97" spans="1:79" ht="15.75" customHeight="1">
      <c r="A97" s="3"/>
      <c r="B97" s="8" t="s">
        <v>197</v>
      </c>
      <c r="C97" s="105" t="str">
        <f ca="1">IFERROR(__xludf.DUMMYFUNCTION("GoogleFinance(B97,""name"")"),"CF Industries Holdings, Inc.")</f>
        <v>CF Industries Holdings, Inc.</v>
      </c>
      <c r="D97" s="106">
        <f ca="1">IFERROR(__xludf.DUMMYFUNCTION("GoogleFinance(B97,""marketcap"")/1000000"),13363.199442)</f>
        <v>13363.199441999999</v>
      </c>
      <c r="E97" s="107" t="s">
        <v>11</v>
      </c>
      <c r="F97" s="107" t="s">
        <v>198</v>
      </c>
      <c r="G97" s="51">
        <v>45372</v>
      </c>
      <c r="H97" s="51">
        <v>45394</v>
      </c>
      <c r="I97" s="109">
        <f t="shared" ca="1" si="12"/>
        <v>2.48361124167179E-2</v>
      </c>
      <c r="J97" s="110">
        <v>80</v>
      </c>
      <c r="K97" s="111">
        <f>(85.25+86.3+82.5)/3</f>
        <v>84.683333333333337</v>
      </c>
      <c r="L97" s="112">
        <f>3000/K97</f>
        <v>35.426097224955718</v>
      </c>
      <c r="M97" s="113">
        <f t="shared" si="18"/>
        <v>3000</v>
      </c>
      <c r="N97" s="114">
        <f t="shared" si="14"/>
        <v>2834.0877779964576</v>
      </c>
      <c r="O97" s="114">
        <f t="shared" si="15"/>
        <v>-165.91222200354241</v>
      </c>
      <c r="P97" s="57">
        <f t="shared" si="16"/>
        <v>-5.530407400118087E-2</v>
      </c>
      <c r="Q97" s="196">
        <f t="shared" si="19"/>
        <v>22</v>
      </c>
      <c r="R97" s="59" t="s">
        <v>47</v>
      </c>
      <c r="S97" s="3"/>
      <c r="T97" s="154" t="s">
        <v>199</v>
      </c>
      <c r="U97" s="154" t="s">
        <v>200</v>
      </c>
      <c r="V97" s="3"/>
      <c r="W97" s="3"/>
      <c r="X97" s="3"/>
      <c r="Y97" s="3"/>
      <c r="Z97" s="3"/>
      <c r="AA97" s="3"/>
      <c r="AB97" s="3"/>
      <c r="AC97" s="3"/>
      <c r="AD97" s="3"/>
      <c r="AE97" s="3"/>
      <c r="AF97" s="3"/>
      <c r="AG97" s="3"/>
      <c r="AH97" s="30"/>
      <c r="AI97" s="30"/>
      <c r="AJ97" s="30"/>
      <c r="AK97" s="30"/>
      <c r="AL97" s="30"/>
      <c r="AM97" s="30"/>
      <c r="AN97" s="30"/>
      <c r="AO97" s="30"/>
      <c r="AP97" s="30"/>
      <c r="AQ97" s="30"/>
      <c r="AR97" s="30"/>
      <c r="AS97" s="30"/>
      <c r="AT97" s="30"/>
      <c r="AU97" s="30"/>
      <c r="AV97" s="30"/>
      <c r="AW97" s="30"/>
      <c r="AX97" s="30"/>
      <c r="AY97" s="324">
        <v>44857</v>
      </c>
      <c r="AZ97" s="9">
        <v>1.4999999999999999E-2</v>
      </c>
      <c r="BA97" s="9">
        <v>-2.1999999999999999E-2</v>
      </c>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row>
    <row r="98" spans="1:79" ht="15.75" customHeight="1">
      <c r="A98" s="3"/>
      <c r="B98" s="184" t="s">
        <v>21</v>
      </c>
      <c r="C98" s="185" t="str">
        <f ca="1">IFERROR(__xludf.DUMMYFUNCTION("GoogleFinance(B98,""name"")"),"VanEck Gold Miners ETF")</f>
        <v>VanEck Gold Miners ETF</v>
      </c>
      <c r="D98" s="186" t="str">
        <f ca="1">IFERROR(__xludf.DUMMYFUNCTION("GoogleFinance(B98,""marketcap"")/1000000"),"#N/A")</f>
        <v>#N/A</v>
      </c>
      <c r="E98" s="187" t="s">
        <v>11</v>
      </c>
      <c r="F98" s="187" t="s">
        <v>142</v>
      </c>
      <c r="G98" s="188">
        <v>45372</v>
      </c>
      <c r="H98" s="51">
        <v>45399</v>
      </c>
      <c r="I98" s="190">
        <f t="shared" ca="1" si="12"/>
        <v>1.4753105241893058E-2</v>
      </c>
      <c r="J98" s="191">
        <v>33.67</v>
      </c>
      <c r="K98" s="192">
        <f>(30.06+30.7)/2</f>
        <v>30.38</v>
      </c>
      <c r="L98" s="193">
        <v>50</v>
      </c>
      <c r="M98" s="194">
        <f t="shared" si="18"/>
        <v>1519</v>
      </c>
      <c r="N98" s="195">
        <f t="shared" si="14"/>
        <v>1683.5</v>
      </c>
      <c r="O98" s="195">
        <f t="shared" si="15"/>
        <v>164.5</v>
      </c>
      <c r="P98" s="189">
        <f t="shared" si="16"/>
        <v>0.10829493087557607</v>
      </c>
      <c r="Q98" s="196">
        <f t="shared" si="19"/>
        <v>27</v>
      </c>
      <c r="R98" s="5" t="s">
        <v>191</v>
      </c>
      <c r="S98" s="3"/>
      <c r="T98" s="3"/>
      <c r="U98" s="3"/>
      <c r="V98" s="3"/>
      <c r="W98" s="3"/>
      <c r="X98" s="3"/>
      <c r="Y98" s="3"/>
      <c r="Z98" s="3"/>
      <c r="AA98" s="3"/>
      <c r="AB98" s="3"/>
      <c r="AC98" s="3"/>
      <c r="AD98" s="3"/>
      <c r="AE98" s="3"/>
      <c r="AF98" s="3"/>
      <c r="AG98" s="3"/>
      <c r="AH98" s="30"/>
      <c r="AI98" s="30"/>
      <c r="AJ98" s="30"/>
      <c r="AK98" s="30"/>
      <c r="AL98" s="30"/>
      <c r="AM98" s="30"/>
      <c r="AN98" s="30"/>
      <c r="AO98" s="30"/>
      <c r="AP98" s="30"/>
      <c r="AQ98" s="30"/>
      <c r="AR98" s="30"/>
      <c r="AS98" s="30"/>
      <c r="AT98" s="30"/>
      <c r="AU98" s="30"/>
      <c r="AV98" s="30"/>
      <c r="AW98" s="30"/>
      <c r="AX98" s="30"/>
      <c r="AY98" s="324">
        <v>44888</v>
      </c>
      <c r="AZ98" s="9">
        <v>5.3400000000000003E-2</v>
      </c>
      <c r="BA98" s="9">
        <v>9.8000000000000004E-2</v>
      </c>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row>
    <row r="99" spans="1:79" ht="15.75" customHeight="1">
      <c r="A99" s="3"/>
      <c r="B99" s="184" t="s">
        <v>27</v>
      </c>
      <c r="C99" s="185" t="str">
        <f ca="1">IFERROR(__xludf.DUMMYFUNCTION("GoogleFinance(B99,""name"")"),"iShares Silver Trust")</f>
        <v>iShares Silver Trust</v>
      </c>
      <c r="D99" s="186">
        <f ca="1">IFERROR(__xludf.DUMMYFUNCTION("GoogleFinance(B99,""marketcap"")/1000000"),10816.281816)</f>
        <v>10816.281816000001</v>
      </c>
      <c r="E99" s="187" t="s">
        <v>25</v>
      </c>
      <c r="F99" s="187" t="s">
        <v>28</v>
      </c>
      <c r="G99" s="188">
        <v>45372</v>
      </c>
      <c r="H99" s="51">
        <v>45399</v>
      </c>
      <c r="I99" s="190">
        <f t="shared" ca="1" si="12"/>
        <v>1.6114930341144723E-2</v>
      </c>
      <c r="J99" s="191">
        <v>26.27</v>
      </c>
      <c r="K99" s="192">
        <f>(22.6+22.5)/2</f>
        <v>22.55</v>
      </c>
      <c r="L99" s="193">
        <v>70</v>
      </c>
      <c r="M99" s="194">
        <f t="shared" si="18"/>
        <v>1578.5</v>
      </c>
      <c r="N99" s="195">
        <f t="shared" si="14"/>
        <v>1838.8999999999999</v>
      </c>
      <c r="O99" s="195">
        <f t="shared" si="15"/>
        <v>260.39999999999986</v>
      </c>
      <c r="P99" s="189">
        <f t="shared" si="16"/>
        <v>0.16496674057649652</v>
      </c>
      <c r="Q99" s="196">
        <f t="shared" si="19"/>
        <v>27</v>
      </c>
      <c r="R99" s="5" t="s">
        <v>191</v>
      </c>
      <c r="S99" s="3"/>
      <c r="T99" s="3"/>
      <c r="U99" s="3"/>
      <c r="V99" s="3"/>
      <c r="W99" s="3"/>
      <c r="X99" s="3"/>
      <c r="Y99" s="3"/>
      <c r="Z99" s="3"/>
      <c r="AA99" s="3"/>
      <c r="AB99" s="3"/>
      <c r="AC99" s="3"/>
      <c r="AD99" s="3"/>
      <c r="AE99" s="3"/>
      <c r="AF99" s="3"/>
      <c r="AG99" s="3"/>
      <c r="AH99" s="30"/>
      <c r="AI99" s="30"/>
      <c r="AJ99" s="30"/>
      <c r="AK99" s="30"/>
      <c r="AL99" s="30"/>
      <c r="AM99" s="30"/>
      <c r="AN99" s="30"/>
      <c r="AO99" s="30"/>
      <c r="AP99" s="30"/>
      <c r="AQ99" s="30"/>
      <c r="AR99" s="30"/>
      <c r="AS99" s="30"/>
      <c r="AT99" s="30"/>
      <c r="AU99" s="30"/>
      <c r="AV99" s="30"/>
      <c r="AW99" s="30"/>
      <c r="AX99" s="30"/>
      <c r="AY99" s="324">
        <v>44918</v>
      </c>
      <c r="AZ99" s="348">
        <v>1.9E-2</v>
      </c>
      <c r="BA99" s="348">
        <v>4.1000000000000002E-2</v>
      </c>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row>
    <row r="100" spans="1:79" ht="15.75" customHeight="1">
      <c r="A100" s="3"/>
      <c r="B100" s="184" t="s">
        <v>21</v>
      </c>
      <c r="C100" s="185" t="str">
        <f ca="1">IFERROR(__xludf.DUMMYFUNCTION("GoogleFinance(B100,""name"")"),"VanEck Gold Miners ETF")</f>
        <v>VanEck Gold Miners ETF</v>
      </c>
      <c r="D100" s="186" t="str">
        <f ca="1">IFERROR(__xludf.DUMMYFUNCTION("GoogleFinance(B100,""marketcap"")/1000000"),"#N/A")</f>
        <v>#N/A</v>
      </c>
      <c r="E100" s="187" t="s">
        <v>11</v>
      </c>
      <c r="F100" s="187" t="s">
        <v>142</v>
      </c>
      <c r="G100" s="188">
        <v>45372</v>
      </c>
      <c r="H100" s="51">
        <v>45399</v>
      </c>
      <c r="I100" s="190">
        <f t="shared" ca="1" si="12"/>
        <v>6.311451752052639E-3</v>
      </c>
      <c r="J100" s="191">
        <v>33.76</v>
      </c>
      <c r="K100" s="192">
        <f>(30.06+30.7)/2</f>
        <v>30.38</v>
      </c>
      <c r="L100" s="112">
        <f>49.9+2500/30.7-60-50</f>
        <v>21.333224755700314</v>
      </c>
      <c r="M100" s="194">
        <f t="shared" si="18"/>
        <v>648.10336807817555</v>
      </c>
      <c r="N100" s="195">
        <f t="shared" si="14"/>
        <v>720.20966775244256</v>
      </c>
      <c r="O100" s="195">
        <f t="shared" si="15"/>
        <v>72.106299674267007</v>
      </c>
      <c r="P100" s="189">
        <f t="shared" si="16"/>
        <v>0.11125740618828184</v>
      </c>
      <c r="Q100" s="196">
        <f t="shared" si="19"/>
        <v>27</v>
      </c>
      <c r="R100" s="5" t="s">
        <v>191</v>
      </c>
      <c r="S100" s="3"/>
      <c r="T100" s="3"/>
      <c r="U100" s="3"/>
      <c r="V100" s="3"/>
      <c r="W100" s="3"/>
      <c r="X100" s="3"/>
      <c r="Y100" s="3"/>
      <c r="Z100" s="3"/>
      <c r="AA100" s="3"/>
      <c r="AB100" s="3"/>
      <c r="AC100" s="3"/>
      <c r="AD100" s="3"/>
      <c r="AE100" s="3"/>
      <c r="AF100" s="3"/>
      <c r="AG100" s="3"/>
      <c r="AH100" s="30"/>
      <c r="AI100" s="30"/>
      <c r="AJ100" s="30"/>
      <c r="AK100" s="30"/>
      <c r="AL100" s="30"/>
      <c r="AM100" s="30"/>
      <c r="AN100" s="30"/>
      <c r="AO100" s="30"/>
      <c r="AP100" s="30"/>
      <c r="AQ100" s="30"/>
      <c r="AR100" s="30"/>
      <c r="AS100" s="30"/>
      <c r="AT100" s="30"/>
      <c r="AU100" s="30"/>
      <c r="AV100" s="30"/>
      <c r="AW100" s="30"/>
      <c r="AX100" s="30"/>
      <c r="AY100" s="324">
        <v>44585</v>
      </c>
      <c r="AZ100" s="348">
        <v>3.3000000000000002E-2</v>
      </c>
      <c r="BA100" s="348">
        <v>1.6E-2</v>
      </c>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row>
    <row r="101" spans="1:79" ht="15.75" customHeight="1">
      <c r="A101" s="3"/>
      <c r="B101" s="184" t="s">
        <v>27</v>
      </c>
      <c r="C101" s="185" t="str">
        <f ca="1">IFERROR(__xludf.DUMMYFUNCTION("GoogleFinance(B101,""name"")"),"iShares Silver Trust")</f>
        <v>iShares Silver Trust</v>
      </c>
      <c r="D101" s="186">
        <f ca="1">IFERROR(__xludf.DUMMYFUNCTION("GoogleFinance(B101,""marketcap"")/1000000"),10816.281816)</f>
        <v>10816.281816000001</v>
      </c>
      <c r="E101" s="187" t="s">
        <v>25</v>
      </c>
      <c r="F101" s="187" t="s">
        <v>28</v>
      </c>
      <c r="G101" s="188">
        <v>45372</v>
      </c>
      <c r="H101" s="51">
        <v>45399</v>
      </c>
      <c r="I101" s="190">
        <f t="shared" ca="1" si="12"/>
        <v>5.9270939889244844E-3</v>
      </c>
      <c r="J101" s="191">
        <v>25.05</v>
      </c>
      <c r="K101" s="192">
        <f>(22.6+22.5)/2</f>
        <v>22.55</v>
      </c>
      <c r="L101" s="112">
        <f>177-80-70</f>
        <v>27</v>
      </c>
      <c r="M101" s="194">
        <f t="shared" si="18"/>
        <v>608.85</v>
      </c>
      <c r="N101" s="195">
        <f t="shared" si="14"/>
        <v>676.35</v>
      </c>
      <c r="O101" s="195">
        <f t="shared" si="15"/>
        <v>67.5</v>
      </c>
      <c r="P101" s="189">
        <f t="shared" si="16"/>
        <v>0.11086474501108645</v>
      </c>
      <c r="Q101" s="196">
        <f t="shared" si="19"/>
        <v>27</v>
      </c>
      <c r="R101" s="5" t="s">
        <v>191</v>
      </c>
      <c r="S101" s="3"/>
      <c r="T101" s="3"/>
      <c r="U101" s="3"/>
      <c r="V101" s="3"/>
      <c r="W101" s="3"/>
      <c r="X101" s="3"/>
      <c r="Y101" s="3"/>
      <c r="Z101" s="3"/>
      <c r="AA101" s="3"/>
      <c r="AB101" s="3"/>
      <c r="AC101" s="3"/>
      <c r="AD101" s="3"/>
      <c r="AE101" s="3"/>
      <c r="AF101" s="3"/>
      <c r="AG101" s="3"/>
      <c r="AH101" s="30"/>
      <c r="AI101" s="30"/>
      <c r="AJ101" s="30"/>
      <c r="AK101" s="30"/>
      <c r="AL101" s="30"/>
      <c r="AM101" s="30"/>
      <c r="AN101" s="30"/>
      <c r="AO101" s="30"/>
      <c r="AP101" s="30"/>
      <c r="AQ101" s="30"/>
      <c r="AR101" s="30"/>
      <c r="AS101" s="30"/>
      <c r="AT101" s="30"/>
      <c r="AU101" s="30"/>
      <c r="AV101" s="30"/>
      <c r="AW101" s="30"/>
      <c r="AX101" s="30"/>
      <c r="AY101" s="324">
        <v>44616</v>
      </c>
      <c r="AZ101" s="348">
        <v>2.9000000000000001E-2</v>
      </c>
      <c r="BA101" s="348">
        <v>5.2999999999999999E-2</v>
      </c>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row>
    <row r="102" spans="1:79" ht="15.75" customHeight="1">
      <c r="A102" s="3"/>
      <c r="B102" s="349" t="s">
        <v>201</v>
      </c>
      <c r="C102" s="71" t="str">
        <f ca="1">IFERROR(__xludf.DUMMYFUNCTION("GoogleFinance(B102,""name"")"),"McDonald's Corp")</f>
        <v>McDonald's Corp</v>
      </c>
      <c r="D102" s="72">
        <f ca="1">IFERROR(__xludf.DUMMYFUNCTION("GoogleFinance(B102,""marketcap"")/1000000"),186937.61078)</f>
        <v>186937.61077999999</v>
      </c>
      <c r="E102" s="25" t="s">
        <v>9</v>
      </c>
      <c r="F102" s="25" t="s">
        <v>202</v>
      </c>
      <c r="G102" s="74">
        <v>45399</v>
      </c>
      <c r="H102" s="51">
        <v>45441</v>
      </c>
      <c r="I102" s="75">
        <f t="shared" ca="1" si="12"/>
        <v>3.3157579726161103E-2</v>
      </c>
      <c r="J102" s="191">
        <v>255</v>
      </c>
      <c r="K102" s="192">
        <v>269.58</v>
      </c>
      <c r="L102" s="112">
        <f>4000/K102</f>
        <v>14.837895986349137</v>
      </c>
      <c r="M102" s="194">
        <f t="shared" si="18"/>
        <v>4000</v>
      </c>
      <c r="N102" s="195">
        <f t="shared" si="14"/>
        <v>3783.6634765190302</v>
      </c>
      <c r="O102" s="195">
        <f t="shared" si="15"/>
        <v>-216.33652348096984</v>
      </c>
      <c r="P102" s="189">
        <f t="shared" si="16"/>
        <v>-5.4084130870242553E-2</v>
      </c>
      <c r="Q102" s="196">
        <f t="shared" ref="Q102:Q114" ca="1" si="20">TODAY()-G102</f>
        <v>68</v>
      </c>
      <c r="R102" s="59" t="s">
        <v>47</v>
      </c>
      <c r="S102" s="3"/>
      <c r="T102" s="3"/>
      <c r="U102" s="3"/>
      <c r="V102" s="3"/>
      <c r="W102" s="3"/>
      <c r="X102" s="3"/>
      <c r="Y102" s="3"/>
      <c r="Z102" s="3"/>
      <c r="AA102" s="3"/>
      <c r="AB102" s="3"/>
      <c r="AC102" s="3"/>
      <c r="AD102" s="3"/>
      <c r="AE102" s="3"/>
      <c r="AF102" s="3"/>
      <c r="AG102" s="3"/>
      <c r="AH102" s="30"/>
      <c r="AI102" s="30"/>
      <c r="AJ102" s="30"/>
      <c r="AK102" s="30"/>
      <c r="AL102" s="30"/>
      <c r="AM102" s="30"/>
      <c r="AN102" s="30"/>
      <c r="AO102" s="30"/>
      <c r="AP102" s="30"/>
      <c r="AQ102" s="30"/>
      <c r="AR102" s="30"/>
      <c r="AS102" s="30"/>
      <c r="AT102" s="30"/>
      <c r="AU102" s="30"/>
      <c r="AV102" s="30"/>
      <c r="AW102" s="30"/>
      <c r="AX102" s="30"/>
      <c r="AY102" s="324">
        <v>44644</v>
      </c>
      <c r="AZ102" s="348">
        <v>3.3000000000000002E-2</v>
      </c>
      <c r="BA102" s="348">
        <v>0.03</v>
      </c>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row>
    <row r="103" spans="1:79" ht="15.75" customHeight="1">
      <c r="A103" s="3"/>
      <c r="B103" s="8" t="s">
        <v>203</v>
      </c>
      <c r="C103" s="105" t="str">
        <f ca="1">IFERROR(__xludf.DUMMYFUNCTION("GoogleFinance(B103,""name"")"),"JPMorgan Chase &amp; Co")</f>
        <v>JPMorgan Chase &amp; Co</v>
      </c>
      <c r="D103" s="106">
        <f ca="1">IFERROR(__xludf.DUMMYFUNCTION("GoogleFinance(B103,""marketcap"")/1000000"),563708.437163)</f>
        <v>563708.437163</v>
      </c>
      <c r="E103" s="107" t="s">
        <v>13</v>
      </c>
      <c r="F103" s="107" t="s">
        <v>18</v>
      </c>
      <c r="G103" s="108">
        <v>45000</v>
      </c>
      <c r="H103" s="51">
        <v>45442</v>
      </c>
      <c r="I103" s="109">
        <f t="shared" ca="1" si="12"/>
        <v>1.3926019959606234E-2</v>
      </c>
      <c r="J103" s="110">
        <v>198.64</v>
      </c>
      <c r="K103" s="111">
        <v>133.97999999999999</v>
      </c>
      <c r="L103" s="112">
        <v>8</v>
      </c>
      <c r="M103" s="113">
        <f t="shared" si="18"/>
        <v>1071.8399999999999</v>
      </c>
      <c r="N103" s="114">
        <f t="shared" si="14"/>
        <v>1589.12</v>
      </c>
      <c r="O103" s="114">
        <f t="shared" si="15"/>
        <v>517.28</v>
      </c>
      <c r="P103" s="57">
        <f t="shared" si="16"/>
        <v>0.48260934467831018</v>
      </c>
      <c r="Q103" s="115">
        <f t="shared" ca="1" si="20"/>
        <v>467</v>
      </c>
      <c r="R103" s="5" t="s">
        <v>191</v>
      </c>
      <c r="S103" s="3"/>
      <c r="T103" s="3"/>
      <c r="U103" s="3"/>
      <c r="V103" s="3"/>
      <c r="W103" s="3"/>
      <c r="X103" s="3"/>
      <c r="Y103" s="3"/>
      <c r="Z103" s="3"/>
      <c r="AA103" s="3"/>
      <c r="AB103" s="3"/>
      <c r="AC103" s="3"/>
      <c r="AD103" s="3"/>
      <c r="AE103" s="3"/>
      <c r="AF103" s="3"/>
      <c r="AG103" s="3"/>
      <c r="AH103" s="30"/>
      <c r="AI103" s="30"/>
      <c r="AJ103" s="30"/>
      <c r="AK103" s="30"/>
      <c r="AL103" s="30"/>
      <c r="AM103" s="30"/>
      <c r="AN103" s="30"/>
      <c r="AO103" s="30"/>
      <c r="AP103" s="30"/>
      <c r="AQ103" s="30"/>
      <c r="AR103" s="30"/>
      <c r="AS103" s="30"/>
      <c r="AT103" s="30"/>
      <c r="AU103" s="30"/>
      <c r="AV103" s="30"/>
      <c r="AW103" s="30"/>
      <c r="AX103" s="30"/>
      <c r="AY103" s="324">
        <v>44675</v>
      </c>
      <c r="AZ103" s="348">
        <v>8.9999999999999993E-3</v>
      </c>
      <c r="BA103" s="9">
        <v>-4.2000000000000003E-2</v>
      </c>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row>
    <row r="104" spans="1:79" ht="15.75" customHeight="1">
      <c r="A104" s="3"/>
      <c r="B104" s="8" t="s">
        <v>204</v>
      </c>
      <c r="C104" s="105" t="str">
        <f ca="1">IFERROR(__xludf.DUMMYFUNCTION("GoogleFinance(B104,""name"")"),"Schlumberger NV")</f>
        <v>Schlumberger NV</v>
      </c>
      <c r="D104" s="106">
        <f ca="1">IFERROR(__xludf.DUMMYFUNCTION("GoogleFinance(B104,""marketcap"")/1000000"),65263.527201)</f>
        <v>65263.527200999997</v>
      </c>
      <c r="E104" s="107" t="s">
        <v>14</v>
      </c>
      <c r="F104" s="107" t="s">
        <v>117</v>
      </c>
      <c r="G104" s="108">
        <v>45203</v>
      </c>
      <c r="H104" s="51">
        <v>45454</v>
      </c>
      <c r="I104" s="109">
        <f t="shared" ca="1" si="12"/>
        <v>6.8366585849230707E-3</v>
      </c>
      <c r="J104" s="110">
        <v>44</v>
      </c>
      <c r="K104" s="111">
        <v>56.4</v>
      </c>
      <c r="L104" s="112">
        <f>1000/K104-9+9</f>
        <v>17.730496453900709</v>
      </c>
      <c r="M104" s="113">
        <f t="shared" si="18"/>
        <v>1000</v>
      </c>
      <c r="N104" s="114">
        <f t="shared" si="14"/>
        <v>780.14184397163126</v>
      </c>
      <c r="O104" s="114">
        <f t="shared" si="15"/>
        <v>-219.85815602836874</v>
      </c>
      <c r="P104" s="57">
        <f t="shared" si="16"/>
        <v>-0.21985815602836878</v>
      </c>
      <c r="Q104" s="115">
        <f t="shared" ca="1" si="20"/>
        <v>264</v>
      </c>
      <c r="R104" s="5" t="s">
        <v>47</v>
      </c>
      <c r="S104" s="3"/>
      <c r="T104" s="3"/>
      <c r="U104" s="3"/>
      <c r="V104" s="3"/>
      <c r="W104" s="3"/>
      <c r="X104" s="3"/>
      <c r="Y104" s="3"/>
      <c r="Z104" s="3"/>
      <c r="AA104" s="3"/>
      <c r="AB104" s="3"/>
      <c r="AC104" s="3"/>
      <c r="AD104" s="3"/>
      <c r="AE104" s="3"/>
      <c r="AF104" s="3"/>
      <c r="AG104" s="3"/>
      <c r="AH104" s="30"/>
      <c r="AI104" s="30"/>
      <c r="AJ104" s="30"/>
      <c r="AK104" s="30"/>
      <c r="AL104" s="30"/>
      <c r="AM104" s="30"/>
      <c r="AN104" s="30"/>
      <c r="AO104" s="30"/>
      <c r="AP104" s="30"/>
      <c r="AQ104" s="30"/>
      <c r="AR104" s="30"/>
      <c r="AS104" s="30"/>
      <c r="AT104" s="30"/>
      <c r="AU104" s="30"/>
      <c r="AV104" s="30"/>
      <c r="AW104" s="30"/>
      <c r="AX104" s="30"/>
      <c r="AY104" s="324"/>
      <c r="AZ104" s="348"/>
      <c r="BA104" s="9"/>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row>
    <row r="105" spans="1:79" ht="15.75" customHeight="1">
      <c r="A105" s="3"/>
      <c r="B105" s="8" t="s">
        <v>105</v>
      </c>
      <c r="C105" s="105" t="str">
        <f ca="1">IFERROR(__xludf.DUMMYFUNCTION("GoogleFinance(B105,""name"")"),"Baidu Inc")</f>
        <v>Baidu Inc</v>
      </c>
      <c r="D105" s="106">
        <f ca="1">IFERROR(__xludf.DUMMYFUNCTION("GoogleFinance(B105,""marketcap"")/1000000"),240254.795704)</f>
        <v>240254.79570399999</v>
      </c>
      <c r="E105" s="107" t="s">
        <v>12</v>
      </c>
      <c r="F105" s="107" t="s">
        <v>20</v>
      </c>
      <c r="G105" s="108">
        <v>45383</v>
      </c>
      <c r="H105" s="51">
        <v>45455</v>
      </c>
      <c r="I105" s="109">
        <f t="shared" ca="1" si="12"/>
        <v>2.0681513733809099E-2</v>
      </c>
      <c r="J105" s="110">
        <v>94.4</v>
      </c>
      <c r="K105" s="111">
        <f>M105/L105</f>
        <v>200</v>
      </c>
      <c r="L105" s="112">
        <v>25</v>
      </c>
      <c r="M105" s="113">
        <v>5000</v>
      </c>
      <c r="N105" s="114">
        <f t="shared" si="14"/>
        <v>2360</v>
      </c>
      <c r="O105" s="114">
        <f t="shared" si="15"/>
        <v>-2640</v>
      </c>
      <c r="P105" s="57">
        <f t="shared" si="16"/>
        <v>-0.52800000000000002</v>
      </c>
      <c r="Q105" s="115">
        <f t="shared" ca="1" si="20"/>
        <v>84</v>
      </c>
      <c r="R105" s="5" t="s">
        <v>205</v>
      </c>
      <c r="S105" s="3"/>
      <c r="T105" s="3"/>
      <c r="U105" s="3"/>
      <c r="V105" s="3"/>
      <c r="W105" s="3"/>
      <c r="X105" s="3"/>
      <c r="Y105" s="3"/>
      <c r="Z105" s="3"/>
      <c r="AA105" s="3"/>
      <c r="AB105" s="3"/>
      <c r="AC105" s="3"/>
      <c r="AD105" s="3"/>
      <c r="AE105" s="3"/>
      <c r="AF105" s="3"/>
      <c r="AG105" s="3"/>
      <c r="AH105" s="30"/>
      <c r="AI105" s="30"/>
      <c r="AJ105" s="30"/>
      <c r="AK105" s="30"/>
      <c r="AL105" s="30"/>
      <c r="AM105" s="30"/>
      <c r="AN105" s="30"/>
      <c r="AO105" s="30"/>
      <c r="AP105" s="30"/>
      <c r="AQ105" s="30"/>
      <c r="AR105" s="30"/>
      <c r="AS105" s="30"/>
      <c r="AT105" s="30"/>
      <c r="AU105" s="30"/>
      <c r="AV105" s="30"/>
      <c r="AW105" s="30"/>
      <c r="AX105" s="30"/>
      <c r="AY105" s="324"/>
      <c r="AZ105" s="348"/>
      <c r="BA105" s="9"/>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row>
    <row r="106" spans="1:79" ht="15.75" customHeight="1">
      <c r="A106" s="3"/>
      <c r="B106" s="1" t="s">
        <v>112</v>
      </c>
      <c r="C106" s="48" t="str">
        <f ca="1">IFERROR(__xludf.DUMMYFUNCTION("GoogleFinance(B106,""name"")"),"Alibaba Group Holding Ltd - ADR")</f>
        <v>Alibaba Group Holding Ltd - ADR</v>
      </c>
      <c r="D106" s="49">
        <f ca="1">IFERROR(__xludf.DUMMYFUNCTION("GoogleFinance(B106,""marketcap"")/1000000"),1404126.310473)</f>
        <v>1404126.3104729999</v>
      </c>
      <c r="E106" s="50" t="s">
        <v>113</v>
      </c>
      <c r="F106" s="50" t="s">
        <v>20</v>
      </c>
      <c r="G106" s="51">
        <v>45267</v>
      </c>
      <c r="H106" s="51">
        <v>45455</v>
      </c>
      <c r="I106" s="10">
        <f t="shared" ca="1" si="12"/>
        <v>2.4077313128661227E-2</v>
      </c>
      <c r="J106" s="52">
        <v>78.5</v>
      </c>
      <c r="K106" s="53">
        <v>73.5</v>
      </c>
      <c r="L106" s="54">
        <v>35</v>
      </c>
      <c r="M106" s="55">
        <f t="shared" ref="M106:M114" si="21">L106*K106</f>
        <v>2572.5</v>
      </c>
      <c r="N106" s="56">
        <f t="shared" si="14"/>
        <v>2747.5</v>
      </c>
      <c r="O106" s="56">
        <f t="shared" si="15"/>
        <v>175</v>
      </c>
      <c r="P106" s="57">
        <f t="shared" si="16"/>
        <v>6.8027210884353817E-2</v>
      </c>
      <c r="Q106" s="58">
        <f t="shared" ca="1" si="20"/>
        <v>200</v>
      </c>
      <c r="R106" s="5" t="s">
        <v>205</v>
      </c>
      <c r="S106" s="3"/>
      <c r="T106" s="3"/>
      <c r="U106" s="3"/>
      <c r="V106" s="3"/>
      <c r="W106" s="3"/>
      <c r="X106" s="3"/>
      <c r="Y106" s="3"/>
      <c r="Z106" s="3"/>
      <c r="AA106" s="3"/>
      <c r="AB106" s="3"/>
      <c r="AC106" s="3"/>
      <c r="AD106" s="3"/>
      <c r="AE106" s="3"/>
      <c r="AF106" s="3"/>
      <c r="AG106" s="3"/>
      <c r="AH106" s="30"/>
      <c r="AI106" s="30"/>
      <c r="AJ106" s="30"/>
      <c r="AK106" s="30"/>
      <c r="AL106" s="30"/>
      <c r="AM106" s="30"/>
      <c r="AN106" s="30"/>
      <c r="AO106" s="30"/>
      <c r="AP106" s="30"/>
      <c r="AQ106" s="30"/>
      <c r="AR106" s="30"/>
      <c r="AS106" s="30"/>
      <c r="AT106" s="30"/>
      <c r="AU106" s="30"/>
      <c r="AV106" s="30"/>
      <c r="AW106" s="30"/>
      <c r="AX106" s="30"/>
      <c r="AY106" s="324"/>
      <c r="AZ106" s="348"/>
      <c r="BA106" s="9"/>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row>
    <row r="107" spans="1:79" ht="15.75" customHeight="1">
      <c r="A107" s="3"/>
      <c r="B107" s="8" t="s">
        <v>133</v>
      </c>
      <c r="C107" s="105" t="str">
        <f ca="1">IFERROR(__xludf.DUMMYFUNCTION("GoogleFinance(B107,""name"")"),"Lithium Americas (Argentina) Corp")</f>
        <v>Lithium Americas (Argentina) Corp</v>
      </c>
      <c r="D107" s="106">
        <f ca="1">IFERROR(__xludf.DUMMYFUNCTION("GoogleFinance(B107,""marketcap"")/1000000"),561.020895)</f>
        <v>561.020895</v>
      </c>
      <c r="E107" s="107" t="s">
        <v>11</v>
      </c>
      <c r="F107" s="107" t="s">
        <v>22</v>
      </c>
      <c r="G107" s="51">
        <v>45372</v>
      </c>
      <c r="H107" s="51">
        <v>45455</v>
      </c>
      <c r="I107" s="109">
        <f t="shared" ca="1" si="12"/>
        <v>6.7734690603256749E-3</v>
      </c>
      <c r="J107" s="110">
        <v>4.0999999999999996</v>
      </c>
      <c r="K107" s="111">
        <v>5.15</v>
      </c>
      <c r="L107" s="112">
        <f>190.5+1000/5.05-200</f>
        <v>188.51980198019805</v>
      </c>
      <c r="M107" s="55">
        <f t="shared" si="21"/>
        <v>970.87698019802008</v>
      </c>
      <c r="N107" s="114">
        <f t="shared" si="14"/>
        <v>772.93118811881197</v>
      </c>
      <c r="O107" s="114">
        <f t="shared" si="15"/>
        <v>-197.9457920792081</v>
      </c>
      <c r="P107" s="57">
        <f t="shared" si="16"/>
        <v>-0.2038834951456312</v>
      </c>
      <c r="Q107" s="115">
        <f t="shared" ca="1" si="20"/>
        <v>95</v>
      </c>
      <c r="R107" s="5" t="s">
        <v>205</v>
      </c>
      <c r="S107" s="3"/>
      <c r="T107" s="3"/>
      <c r="U107" s="3"/>
      <c r="V107" s="3"/>
      <c r="W107" s="3"/>
      <c r="X107" s="3"/>
      <c r="Y107" s="3"/>
      <c r="Z107" s="3"/>
      <c r="AA107" s="3"/>
      <c r="AB107" s="3"/>
      <c r="AC107" s="3"/>
      <c r="AD107" s="3"/>
      <c r="AE107" s="3"/>
      <c r="AF107" s="3"/>
      <c r="AG107" s="3"/>
      <c r="AH107" s="30"/>
      <c r="AI107" s="30"/>
      <c r="AJ107" s="30"/>
      <c r="AK107" s="30"/>
      <c r="AL107" s="30"/>
      <c r="AM107" s="30"/>
      <c r="AN107" s="30"/>
      <c r="AO107" s="30"/>
      <c r="AP107" s="30"/>
      <c r="AQ107" s="30"/>
      <c r="AR107" s="30"/>
      <c r="AS107" s="30"/>
      <c r="AT107" s="30"/>
      <c r="AU107" s="30"/>
      <c r="AV107" s="30"/>
      <c r="AW107" s="30"/>
      <c r="AX107" s="30"/>
      <c r="AY107" s="324"/>
      <c r="AZ107" s="348"/>
      <c r="BA107" s="9"/>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row>
    <row r="108" spans="1:79" ht="15.75" customHeight="1">
      <c r="A108" s="3"/>
      <c r="B108" s="8" t="s">
        <v>136</v>
      </c>
      <c r="C108" s="105" t="str">
        <f ca="1">IFERROR(__xludf.DUMMYFUNCTION("GoogleFinance(B108,""name"")"),"Albemarle Corporation")</f>
        <v>Albemarle Corporation</v>
      </c>
      <c r="D108" s="106">
        <f ca="1">IFERROR(__xludf.DUMMYFUNCTION("GoogleFinance(B108,""marketcap"")/1000000"),11125.144114)</f>
        <v>11125.144114000001</v>
      </c>
      <c r="E108" s="107" t="s">
        <v>11</v>
      </c>
      <c r="F108" s="107" t="s">
        <v>22</v>
      </c>
      <c r="G108" s="51">
        <v>45379</v>
      </c>
      <c r="H108" s="51">
        <v>45455</v>
      </c>
      <c r="I108" s="109">
        <f t="shared" ca="1" si="12"/>
        <v>7.3003007604201106E-3</v>
      </c>
      <c r="J108" s="110">
        <v>115</v>
      </c>
      <c r="K108" s="111">
        <v>131.19999999999999</v>
      </c>
      <c r="L108" s="112">
        <f>2000/K108-8</f>
        <v>7.2439024390243922</v>
      </c>
      <c r="M108" s="113">
        <f t="shared" si="21"/>
        <v>950.4000000000002</v>
      </c>
      <c r="N108" s="114">
        <f t="shared" si="14"/>
        <v>833.04878048780506</v>
      </c>
      <c r="O108" s="114">
        <f t="shared" si="15"/>
        <v>-117.35121951219514</v>
      </c>
      <c r="P108" s="57">
        <f t="shared" si="16"/>
        <v>-0.1234756097560975</v>
      </c>
      <c r="Q108" s="115">
        <f t="shared" ca="1" si="20"/>
        <v>88</v>
      </c>
      <c r="R108" s="5" t="s">
        <v>205</v>
      </c>
      <c r="S108" s="3"/>
      <c r="T108" s="3"/>
      <c r="U108" s="3"/>
      <c r="V108" s="3"/>
      <c r="W108" s="3"/>
      <c r="X108" s="3"/>
      <c r="Y108" s="3"/>
      <c r="Z108" s="3"/>
      <c r="AA108" s="3"/>
      <c r="AB108" s="3"/>
      <c r="AC108" s="3"/>
      <c r="AD108" s="3"/>
      <c r="AE108" s="3"/>
      <c r="AF108" s="3"/>
      <c r="AG108" s="3"/>
      <c r="AH108" s="30"/>
      <c r="AI108" s="30"/>
      <c r="AJ108" s="30"/>
      <c r="AK108" s="30"/>
      <c r="AL108" s="30"/>
      <c r="AM108" s="30"/>
      <c r="AN108" s="30"/>
      <c r="AO108" s="30"/>
      <c r="AP108" s="30"/>
      <c r="AQ108" s="30"/>
      <c r="AR108" s="30"/>
      <c r="AS108" s="30"/>
      <c r="AT108" s="30"/>
      <c r="AU108" s="30"/>
      <c r="AV108" s="30"/>
      <c r="AW108" s="30"/>
      <c r="AX108" s="30"/>
      <c r="AY108" s="324"/>
      <c r="AZ108" s="348"/>
      <c r="BA108" s="9"/>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row>
    <row r="109" spans="1:79" ht="15.75" customHeight="1">
      <c r="A109" s="3"/>
      <c r="B109" s="8" t="s">
        <v>138</v>
      </c>
      <c r="C109" s="105" t="str">
        <f ca="1">IFERROR(__xludf.DUMMYFUNCTION("GoogleFinance(B109,""name"")"),"Itau Unibanco Holding SA ADR")</f>
        <v>Itau Unibanco Holding SA ADR</v>
      </c>
      <c r="D109" s="106">
        <f ca="1">IFERROR(__xludf.DUMMYFUNCTION("GoogleFinance(B109,""marketcap"")/1000000"),292146.845829)</f>
        <v>292146.845829</v>
      </c>
      <c r="E109" s="107" t="s">
        <v>13</v>
      </c>
      <c r="F109" s="107" t="s">
        <v>139</v>
      </c>
      <c r="G109" s="51">
        <v>45427</v>
      </c>
      <c r="H109" s="51">
        <v>45455</v>
      </c>
      <c r="I109" s="109">
        <f t="shared" ca="1" si="12"/>
        <v>5.2285352324726161E-3</v>
      </c>
      <c r="J109" s="110">
        <v>5.9</v>
      </c>
      <c r="K109" s="111">
        <v>6.49</v>
      </c>
      <c r="L109" s="112">
        <f>1500/K109-130</f>
        <v>101.12480739599383</v>
      </c>
      <c r="M109" s="113">
        <f t="shared" si="21"/>
        <v>656.3</v>
      </c>
      <c r="N109" s="114">
        <f t="shared" si="14"/>
        <v>596.63636363636363</v>
      </c>
      <c r="O109" s="114">
        <f t="shared" si="15"/>
        <v>-59.663636363636328</v>
      </c>
      <c r="P109" s="57">
        <f t="shared" si="16"/>
        <v>-9.0909090909090939E-2</v>
      </c>
      <c r="Q109" s="115">
        <f t="shared" ca="1" si="20"/>
        <v>40</v>
      </c>
      <c r="R109" s="5" t="s">
        <v>205</v>
      </c>
      <c r="S109" s="3"/>
      <c r="T109" s="3"/>
      <c r="U109" s="3"/>
      <c r="V109" s="3"/>
      <c r="W109" s="3"/>
      <c r="X109" s="3"/>
      <c r="Y109" s="3"/>
      <c r="Z109" s="3"/>
      <c r="AA109" s="3"/>
      <c r="AB109" s="3"/>
      <c r="AC109" s="3"/>
      <c r="AD109" s="3"/>
      <c r="AE109" s="3"/>
      <c r="AF109" s="3"/>
      <c r="AG109" s="3"/>
      <c r="AH109" s="30"/>
      <c r="AI109" s="30"/>
      <c r="AJ109" s="30"/>
      <c r="AK109" s="30"/>
      <c r="AL109" s="30"/>
      <c r="AM109" s="30"/>
      <c r="AN109" s="30"/>
      <c r="AO109" s="30"/>
      <c r="AP109" s="30"/>
      <c r="AQ109" s="30"/>
      <c r="AR109" s="30"/>
      <c r="AS109" s="30"/>
      <c r="AT109" s="30"/>
      <c r="AU109" s="30"/>
      <c r="AV109" s="30"/>
      <c r="AW109" s="30"/>
      <c r="AX109" s="30"/>
      <c r="AY109" s="324"/>
      <c r="AZ109" s="348"/>
      <c r="BA109" s="9"/>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row>
    <row r="110" spans="1:79" ht="15.75" customHeight="1">
      <c r="A110" s="3"/>
      <c r="B110" s="1" t="s">
        <v>67</v>
      </c>
      <c r="C110" s="48" t="str">
        <f ca="1">IFERROR(__xludf.DUMMYFUNCTION("GoogleFinance(B110,""name"")"),"Procter &amp; Gamble Co")</f>
        <v>Procter &amp; Gamble Co</v>
      </c>
      <c r="D110" s="49">
        <f ca="1">IFERROR(__xludf.DUMMYFUNCTION("GoogleFinance(B110,""marketcap"")/1000000"),397116.302135)</f>
        <v>397116.30213500001</v>
      </c>
      <c r="E110" s="50" t="s">
        <v>16</v>
      </c>
      <c r="F110" s="50" t="s">
        <v>68</v>
      </c>
      <c r="G110" s="51">
        <v>45184</v>
      </c>
      <c r="H110" s="51">
        <v>45455</v>
      </c>
      <c r="I110" s="10">
        <f t="shared" ca="1" si="12"/>
        <v>2.9094332879765341E-2</v>
      </c>
      <c r="J110" s="52">
        <v>166</v>
      </c>
      <c r="K110" s="53">
        <v>154.91</v>
      </c>
      <c r="L110" s="54">
        <v>20</v>
      </c>
      <c r="M110" s="55">
        <f t="shared" si="21"/>
        <v>3098.2</v>
      </c>
      <c r="N110" s="56">
        <f t="shared" si="14"/>
        <v>3320</v>
      </c>
      <c r="O110" s="56">
        <f t="shared" si="15"/>
        <v>221.80000000000018</v>
      </c>
      <c r="P110" s="57">
        <f t="shared" si="16"/>
        <v>7.1589955458007948E-2</v>
      </c>
      <c r="Q110" s="58">
        <f t="shared" ca="1" si="20"/>
        <v>283</v>
      </c>
      <c r="R110" s="5" t="s">
        <v>205</v>
      </c>
      <c r="S110" s="3"/>
      <c r="T110" s="3"/>
      <c r="U110" s="3"/>
      <c r="V110" s="3"/>
      <c r="W110" s="3"/>
      <c r="X110" s="3"/>
      <c r="Y110" s="3"/>
      <c r="Z110" s="3"/>
      <c r="AA110" s="3"/>
      <c r="AB110" s="3"/>
      <c r="AC110" s="3"/>
      <c r="AD110" s="3"/>
      <c r="AE110" s="3"/>
      <c r="AF110" s="3"/>
      <c r="AG110" s="3"/>
      <c r="AH110" s="30"/>
      <c r="AI110" s="30"/>
      <c r="AJ110" s="30"/>
      <c r="AK110" s="30"/>
      <c r="AL110" s="30"/>
      <c r="AM110" s="30"/>
      <c r="AN110" s="30"/>
      <c r="AO110" s="30"/>
      <c r="AP110" s="30"/>
      <c r="AQ110" s="30"/>
      <c r="AR110" s="30"/>
      <c r="AS110" s="30"/>
      <c r="AT110" s="30"/>
      <c r="AU110" s="30"/>
      <c r="AV110" s="30"/>
      <c r="AW110" s="30"/>
      <c r="AX110" s="30"/>
      <c r="AY110" s="324"/>
      <c r="AZ110" s="348"/>
      <c r="BA110" s="9"/>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row>
    <row r="111" spans="1:79" ht="15.75" customHeight="1">
      <c r="A111" s="3"/>
      <c r="B111" s="1" t="s">
        <v>77</v>
      </c>
      <c r="C111" s="48" t="str">
        <f ca="1">IFERROR(__xludf.DUMMYFUNCTION("GoogleFinance(B111,""name"")"),"Target Corp")</f>
        <v>Target Corp</v>
      </c>
      <c r="D111" s="49">
        <f ca="1">IFERROR(__xludf.DUMMYFUNCTION("GoogleFinance(B111,""marketcap"")/1000000"),67605.074003)</f>
        <v>67605.074003000002</v>
      </c>
      <c r="E111" s="50" t="s">
        <v>16</v>
      </c>
      <c r="F111" s="50" t="s">
        <v>78</v>
      </c>
      <c r="G111" s="51">
        <v>45434</v>
      </c>
      <c r="H111" s="51">
        <v>45455</v>
      </c>
      <c r="I111" s="10">
        <f t="shared" ca="1" si="12"/>
        <v>2.5629302994024612E-2</v>
      </c>
      <c r="J111" s="52">
        <v>146.22999999999999</v>
      </c>
      <c r="K111" s="53">
        <v>144.16999999999999</v>
      </c>
      <c r="L111" s="54">
        <v>20</v>
      </c>
      <c r="M111" s="55">
        <f t="shared" si="21"/>
        <v>2883.3999999999996</v>
      </c>
      <c r="N111" s="56">
        <f t="shared" si="14"/>
        <v>2924.6</v>
      </c>
      <c r="O111" s="56">
        <f t="shared" si="15"/>
        <v>41.200000000000273</v>
      </c>
      <c r="P111" s="57">
        <f t="shared" si="16"/>
        <v>1.4288686966775321E-2</v>
      </c>
      <c r="Q111" s="58">
        <f t="shared" ca="1" si="20"/>
        <v>33</v>
      </c>
      <c r="R111" s="5" t="s">
        <v>205</v>
      </c>
      <c r="S111" s="3"/>
      <c r="T111" s="3"/>
      <c r="U111" s="3"/>
      <c r="V111" s="3"/>
      <c r="W111" s="3"/>
      <c r="X111" s="3"/>
      <c r="Y111" s="3"/>
      <c r="Z111" s="3"/>
      <c r="AA111" s="3"/>
      <c r="AB111" s="3"/>
      <c r="AC111" s="3"/>
      <c r="AD111" s="3"/>
      <c r="AE111" s="3"/>
      <c r="AF111" s="3"/>
      <c r="AG111" s="3"/>
      <c r="AH111" s="30"/>
      <c r="AI111" s="30"/>
      <c r="AJ111" s="30"/>
      <c r="AK111" s="30"/>
      <c r="AL111" s="30"/>
      <c r="AM111" s="30"/>
      <c r="AN111" s="30"/>
      <c r="AO111" s="30"/>
      <c r="AP111" s="30"/>
      <c r="AQ111" s="30"/>
      <c r="AR111" s="30"/>
      <c r="AS111" s="30"/>
      <c r="AT111" s="30"/>
      <c r="AU111" s="30"/>
      <c r="AV111" s="30"/>
      <c r="AW111" s="30"/>
      <c r="AX111" s="30"/>
      <c r="AY111" s="324"/>
      <c r="AZ111" s="348"/>
      <c r="BA111" s="9"/>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row>
    <row r="112" spans="1:79" ht="15.75" customHeight="1">
      <c r="A112" s="3"/>
      <c r="B112" s="70" t="s">
        <v>82</v>
      </c>
      <c r="C112" s="71" t="str">
        <f ca="1">IFERROR(__xludf.DUMMYFUNCTION("GoogleFinance(B112,""name"")"),"PepsiCo Inc")</f>
        <v>PepsiCo Inc</v>
      </c>
      <c r="D112" s="72">
        <f ca="1">IFERROR(__xludf.DUMMYFUNCTION("GoogleFinance(B112,""marketcap"")/1000000"),229974.2)</f>
        <v>229974.2</v>
      </c>
      <c r="E112" s="73" t="s">
        <v>16</v>
      </c>
      <c r="F112" s="73" t="s">
        <v>83</v>
      </c>
      <c r="G112" s="74">
        <v>45399</v>
      </c>
      <c r="H112" s="51">
        <v>45455</v>
      </c>
      <c r="I112" s="75">
        <f t="shared" ca="1" si="12"/>
        <v>2.882442159883258E-2</v>
      </c>
      <c r="J112" s="76">
        <v>164.46</v>
      </c>
      <c r="K112" s="77">
        <v>168.45</v>
      </c>
      <c r="L112" s="78">
        <v>20</v>
      </c>
      <c r="M112" s="79">
        <f t="shared" si="21"/>
        <v>3369</v>
      </c>
      <c r="N112" s="79">
        <f t="shared" si="14"/>
        <v>3289.2000000000003</v>
      </c>
      <c r="O112" s="80">
        <f t="shared" si="15"/>
        <v>-79.799999999999727</v>
      </c>
      <c r="P112" s="82">
        <f t="shared" si="16"/>
        <v>-2.3686553873552896E-2</v>
      </c>
      <c r="Q112" s="58">
        <f t="shared" ca="1" si="20"/>
        <v>68</v>
      </c>
      <c r="R112" s="5" t="s">
        <v>205</v>
      </c>
      <c r="S112" s="3"/>
      <c r="T112" s="3"/>
      <c r="U112" s="3"/>
      <c r="V112" s="3"/>
      <c r="W112" s="3"/>
      <c r="X112" s="3"/>
      <c r="Y112" s="3"/>
      <c r="Z112" s="3"/>
      <c r="AA112" s="3"/>
      <c r="AB112" s="3"/>
      <c r="AC112" s="3"/>
      <c r="AD112" s="3"/>
      <c r="AE112" s="3"/>
      <c r="AF112" s="3"/>
      <c r="AG112" s="3"/>
      <c r="AH112" s="30"/>
      <c r="AI112" s="30"/>
      <c r="AJ112" s="30"/>
      <c r="AK112" s="30"/>
      <c r="AL112" s="30"/>
      <c r="AM112" s="30"/>
      <c r="AN112" s="30"/>
      <c r="AO112" s="30"/>
      <c r="AP112" s="30"/>
      <c r="AQ112" s="30"/>
      <c r="AR112" s="30"/>
      <c r="AS112" s="30"/>
      <c r="AT112" s="30"/>
      <c r="AU112" s="30"/>
      <c r="AV112" s="30"/>
      <c r="AW112" s="30"/>
      <c r="AX112" s="30"/>
      <c r="AY112" s="324"/>
      <c r="AZ112" s="348"/>
      <c r="BA112" s="9"/>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row>
    <row r="113" spans="1:79" ht="15.75" customHeight="1">
      <c r="A113" s="3"/>
      <c r="B113" s="104" t="s">
        <v>86</v>
      </c>
      <c r="C113" s="105" t="str">
        <f ca="1">IFERROR(__xludf.DUMMYFUNCTION("GoogleFinance(B113,""name"")"),"Kroger Co")</f>
        <v>Kroger Co</v>
      </c>
      <c r="D113" s="106">
        <f ca="1">IFERROR(__xludf.DUMMYFUNCTION("GoogleFinance(B113,""marketcap"")/1000000"),36532.534241)</f>
        <v>36532.534241000001</v>
      </c>
      <c r="E113" s="107" t="s">
        <v>16</v>
      </c>
      <c r="F113" s="107" t="s">
        <v>87</v>
      </c>
      <c r="G113" s="108">
        <v>44916</v>
      </c>
      <c r="H113" s="51">
        <v>45455</v>
      </c>
      <c r="I113" s="109">
        <f t="shared" ca="1" si="12"/>
        <v>8.8579974924297613E-3</v>
      </c>
      <c r="J113" s="110">
        <v>50.54</v>
      </c>
      <c r="K113" s="111">
        <v>44.39</v>
      </c>
      <c r="L113" s="112">
        <v>20</v>
      </c>
      <c r="M113" s="113">
        <f t="shared" si="21"/>
        <v>887.8</v>
      </c>
      <c r="N113" s="114">
        <f t="shared" si="14"/>
        <v>1010.8</v>
      </c>
      <c r="O113" s="114">
        <f t="shared" si="15"/>
        <v>123</v>
      </c>
      <c r="P113" s="57">
        <f t="shared" si="16"/>
        <v>0.13854471727866624</v>
      </c>
      <c r="Q113" s="115">
        <f t="shared" ca="1" si="20"/>
        <v>551</v>
      </c>
      <c r="R113" s="5" t="s">
        <v>205</v>
      </c>
      <c r="S113" s="3"/>
      <c r="T113" s="3"/>
      <c r="U113" s="3"/>
      <c r="V113" s="3"/>
      <c r="W113" s="3"/>
      <c r="X113" s="3"/>
      <c r="Y113" s="3"/>
      <c r="Z113" s="3"/>
      <c r="AA113" s="3"/>
      <c r="AB113" s="3"/>
      <c r="AC113" s="3"/>
      <c r="AD113" s="3"/>
      <c r="AE113" s="3"/>
      <c r="AF113" s="3"/>
      <c r="AG113" s="3"/>
      <c r="AH113" s="30"/>
      <c r="AI113" s="30"/>
      <c r="AJ113" s="30"/>
      <c r="AK113" s="30"/>
      <c r="AL113" s="30"/>
      <c r="AM113" s="30"/>
      <c r="AN113" s="30"/>
      <c r="AO113" s="30"/>
      <c r="AP113" s="30"/>
      <c r="AQ113" s="30"/>
      <c r="AR113" s="30"/>
      <c r="AS113" s="30"/>
      <c r="AT113" s="30"/>
      <c r="AU113" s="30"/>
      <c r="AV113" s="30"/>
      <c r="AW113" s="30"/>
      <c r="AX113" s="30"/>
      <c r="AY113" s="324"/>
      <c r="AZ113" s="348"/>
      <c r="BA113" s="9"/>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row>
    <row r="114" spans="1:79" ht="15.75" customHeight="1">
      <c r="A114" s="3"/>
      <c r="B114" s="8" t="s">
        <v>92</v>
      </c>
      <c r="C114" s="105" t="str">
        <f ca="1">IFERROR(__xludf.DUMMYFUNCTION("GoogleFinance(B114,""name"")"),"T-Mobile Us Inc")</f>
        <v>T-Mobile Us Inc</v>
      </c>
      <c r="D114" s="106">
        <f ca="1">IFERROR(__xludf.DUMMYFUNCTION("GoogleFinance(B114,""marketcap"")/1000000"),207101.752413)</f>
        <v>207101.75241300001</v>
      </c>
      <c r="E114" s="107" t="s">
        <v>12</v>
      </c>
      <c r="F114" s="107" t="s">
        <v>93</v>
      </c>
      <c r="G114" s="108">
        <v>45191</v>
      </c>
      <c r="H114" s="51">
        <v>45455</v>
      </c>
      <c r="I114" s="109">
        <f t="shared" ca="1" si="12"/>
        <v>3.0368524446246631E-2</v>
      </c>
      <c r="J114" s="110">
        <v>173.27</v>
      </c>
      <c r="K114" s="111">
        <v>139.5</v>
      </c>
      <c r="L114" s="112">
        <v>20</v>
      </c>
      <c r="M114" s="113">
        <f t="shared" si="21"/>
        <v>2790</v>
      </c>
      <c r="N114" s="114">
        <f t="shared" si="14"/>
        <v>3465.4</v>
      </c>
      <c r="O114" s="114">
        <f t="shared" si="15"/>
        <v>675.40000000000009</v>
      </c>
      <c r="P114" s="57">
        <f t="shared" si="16"/>
        <v>0.24207885304659515</v>
      </c>
      <c r="Q114" s="115">
        <f t="shared" ca="1" si="20"/>
        <v>276</v>
      </c>
      <c r="R114" s="5" t="s">
        <v>205</v>
      </c>
      <c r="S114" s="3"/>
      <c r="T114" s="3"/>
      <c r="U114" s="3"/>
      <c r="V114" s="3"/>
      <c r="W114" s="3"/>
      <c r="X114" s="3"/>
      <c r="Y114" s="3"/>
      <c r="Z114" s="3"/>
      <c r="AA114" s="3"/>
      <c r="AB114" s="3"/>
      <c r="AC114" s="3"/>
      <c r="AD114" s="3"/>
      <c r="AE114" s="3"/>
      <c r="AF114" s="3"/>
      <c r="AG114" s="3"/>
      <c r="AH114" s="30"/>
      <c r="AI114" s="30"/>
      <c r="AJ114" s="30"/>
      <c r="AK114" s="30"/>
      <c r="AL114" s="30"/>
      <c r="AM114" s="30"/>
      <c r="AN114" s="30"/>
      <c r="AO114" s="30"/>
      <c r="AP114" s="30"/>
      <c r="AQ114" s="30"/>
      <c r="AR114" s="30"/>
      <c r="AS114" s="30"/>
      <c r="AT114" s="30"/>
      <c r="AU114" s="30"/>
      <c r="AV114" s="30"/>
      <c r="AW114" s="30"/>
      <c r="AX114" s="30"/>
      <c r="AY114" s="324">
        <v>44706</v>
      </c>
      <c r="AZ114" s="348">
        <v>1.0999999999999999E-2</v>
      </c>
      <c r="BA114" s="9">
        <v>5.0999999999999997E-2</v>
      </c>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row>
    <row r="115" spans="1:79"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0"/>
      <c r="AI115" s="30"/>
      <c r="AJ115" s="30"/>
      <c r="AK115" s="30"/>
      <c r="AL115" s="30"/>
      <c r="AM115" s="30"/>
      <c r="AN115" s="30"/>
      <c r="AO115" s="30"/>
      <c r="AP115" s="30"/>
      <c r="AQ115" s="30"/>
      <c r="AR115" s="30"/>
      <c r="AS115" s="30"/>
      <c r="AT115" s="30"/>
      <c r="AU115" s="30"/>
      <c r="AV115" s="30"/>
      <c r="AW115" s="30"/>
      <c r="AX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row>
    <row r="116" spans="1:79"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row>
    <row r="117" spans="1:79"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row>
    <row r="118" spans="1:79"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row>
    <row r="119" spans="1:7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row>
    <row r="120" spans="1:79"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row>
    <row r="121" spans="1:79"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row>
    <row r="122" spans="1:79"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row>
    <row r="123" spans="1:79"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row>
    <row r="124" spans="1:79"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row>
    <row r="125" spans="1:79"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row>
    <row r="126" spans="1:79"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row>
    <row r="127" spans="1:79"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row>
    <row r="128" spans="1:79"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row>
    <row r="129" spans="1:7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row>
    <row r="130" spans="1:79"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row>
    <row r="131" spans="1:79"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row>
    <row r="132" spans="1:79"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row>
    <row r="133" spans="1:79"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row>
    <row r="134" spans="1:79"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row>
    <row r="135" spans="1:79"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row>
    <row r="136" spans="1:79"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row>
    <row r="137" spans="1:79" ht="15.75" customHeight="1">
      <c r="A137" s="30"/>
      <c r="B137" s="30"/>
      <c r="C137" s="350"/>
      <c r="D137" s="30"/>
      <c r="E137" s="30"/>
      <c r="F137" s="30"/>
      <c r="G137" s="31"/>
      <c r="H137" s="31"/>
      <c r="I137" s="30"/>
      <c r="J137" s="31"/>
      <c r="K137" s="30"/>
      <c r="L137" s="30"/>
      <c r="M137" s="30"/>
      <c r="N137" s="31"/>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row>
    <row r="138" spans="1:79" ht="15.75" customHeight="1">
      <c r="A138" s="30"/>
      <c r="B138" s="30"/>
      <c r="C138" s="350"/>
      <c r="D138" s="30"/>
      <c r="E138" s="30"/>
      <c r="F138" s="30"/>
      <c r="G138" s="31"/>
      <c r="H138" s="31"/>
      <c r="I138" s="30"/>
      <c r="J138" s="31"/>
      <c r="K138" s="30"/>
      <c r="L138" s="30"/>
      <c r="M138" s="30"/>
      <c r="N138" s="31"/>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row>
    <row r="139" spans="1:79" ht="15.75" customHeight="1">
      <c r="A139" s="30"/>
      <c r="B139" s="30"/>
      <c r="C139" s="350"/>
      <c r="D139" s="30"/>
      <c r="E139" s="30"/>
      <c r="F139" s="30"/>
      <c r="G139" s="31"/>
      <c r="H139" s="31"/>
      <c r="I139" s="30"/>
      <c r="J139" s="31"/>
      <c r="K139" s="30"/>
      <c r="L139" s="30"/>
      <c r="M139" s="30"/>
      <c r="N139" s="31"/>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row>
    <row r="140" spans="1:79" ht="15.75" customHeight="1">
      <c r="A140" s="30"/>
      <c r="B140" s="30"/>
      <c r="C140" s="350"/>
      <c r="D140" s="30"/>
      <c r="E140" s="30"/>
      <c r="F140" s="30"/>
      <c r="G140" s="31"/>
      <c r="H140" s="31"/>
      <c r="I140" s="30"/>
      <c r="J140" s="31"/>
      <c r="K140" s="30"/>
      <c r="L140" s="30"/>
      <c r="M140" s="30"/>
      <c r="N140" s="31"/>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row>
    <row r="141" spans="1:79" ht="15.75" customHeight="1">
      <c r="A141" s="30"/>
      <c r="B141" s="30"/>
      <c r="C141" s="350"/>
      <c r="D141" s="30"/>
      <c r="E141" s="30"/>
      <c r="F141" s="30"/>
      <c r="G141" s="31"/>
      <c r="H141" s="31"/>
      <c r="I141" s="30"/>
      <c r="J141" s="31"/>
      <c r="K141" s="30"/>
      <c r="L141" s="30"/>
      <c r="M141" s="30"/>
      <c r="N141" s="31"/>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row>
    <row r="142" spans="1:79" ht="15.75" customHeight="1">
      <c r="A142" s="30"/>
      <c r="B142" s="30"/>
      <c r="C142" s="350"/>
      <c r="D142" s="30"/>
      <c r="E142" s="30"/>
      <c r="F142" s="30"/>
      <c r="G142" s="31"/>
      <c r="H142" s="31"/>
      <c r="I142" s="30"/>
      <c r="J142" s="31"/>
      <c r="K142" s="30"/>
      <c r="L142" s="30"/>
      <c r="M142" s="30"/>
      <c r="N142" s="31"/>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row>
    <row r="143" spans="1:79" ht="15.75" customHeight="1">
      <c r="A143" s="30"/>
      <c r="B143" s="30"/>
      <c r="C143" s="350"/>
      <c r="D143" s="30"/>
      <c r="E143" s="30"/>
      <c r="F143" s="30"/>
      <c r="G143" s="31"/>
      <c r="H143" s="31"/>
      <c r="I143" s="30"/>
      <c r="J143" s="31"/>
      <c r="K143" s="30"/>
      <c r="L143" s="30"/>
      <c r="M143" s="30"/>
      <c r="N143" s="31"/>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row>
    <row r="144" spans="1:79" ht="15.75" customHeight="1">
      <c r="A144" s="30"/>
      <c r="B144" s="30"/>
      <c r="C144" s="350"/>
      <c r="D144" s="30"/>
      <c r="E144" s="30"/>
      <c r="F144" s="30"/>
      <c r="G144" s="31"/>
      <c r="H144" s="31"/>
      <c r="I144" s="30"/>
      <c r="J144" s="31"/>
      <c r="K144" s="30"/>
      <c r="L144" s="30"/>
      <c r="M144" s="30"/>
      <c r="N144" s="31"/>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row>
    <row r="145" spans="1:79" ht="15.75" customHeight="1">
      <c r="A145" s="30"/>
      <c r="B145" s="30"/>
      <c r="C145" s="350"/>
      <c r="D145" s="30"/>
      <c r="E145" s="30"/>
      <c r="F145" s="30"/>
      <c r="G145" s="31"/>
      <c r="H145" s="31"/>
      <c r="I145" s="30"/>
      <c r="J145" s="31"/>
      <c r="K145" s="30"/>
      <c r="L145" s="30"/>
      <c r="M145" s="30"/>
      <c r="N145" s="31"/>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row>
    <row r="146" spans="1:79" ht="15.75" customHeight="1">
      <c r="A146" s="30"/>
      <c r="B146" s="30"/>
      <c r="C146" s="350"/>
      <c r="D146" s="30"/>
      <c r="E146" s="30"/>
      <c r="F146" s="30"/>
      <c r="G146" s="31"/>
      <c r="H146" s="31"/>
      <c r="I146" s="30"/>
      <c r="J146" s="31"/>
      <c r="K146" s="30"/>
      <c r="L146" s="30"/>
      <c r="M146" s="30"/>
      <c r="N146" s="31"/>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row>
    <row r="147" spans="1:79" ht="15.75" customHeight="1">
      <c r="A147" s="30"/>
      <c r="B147" s="30"/>
      <c r="C147" s="350"/>
      <c r="D147" s="30"/>
      <c r="E147" s="30"/>
      <c r="F147" s="30"/>
      <c r="G147" s="31"/>
      <c r="H147" s="31"/>
      <c r="I147" s="30"/>
      <c r="J147" s="31"/>
      <c r="K147" s="30"/>
      <c r="L147" s="30"/>
      <c r="M147" s="30"/>
      <c r="N147" s="31"/>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row>
    <row r="148" spans="1:79" ht="15.75" customHeight="1">
      <c r="A148" s="30"/>
      <c r="B148" s="30"/>
      <c r="C148" s="350"/>
      <c r="D148" s="30"/>
      <c r="E148" s="30"/>
      <c r="F148" s="30"/>
      <c r="G148" s="31"/>
      <c r="H148" s="31"/>
      <c r="I148" s="30"/>
      <c r="J148" s="31"/>
      <c r="K148" s="30"/>
      <c r="L148" s="30"/>
      <c r="M148" s="30"/>
      <c r="N148" s="31"/>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row>
    <row r="149" spans="1:79" ht="15.75" customHeight="1">
      <c r="A149" s="30"/>
      <c r="B149" s="30"/>
      <c r="C149" s="350"/>
      <c r="D149" s="30"/>
      <c r="E149" s="30"/>
      <c r="F149" s="30"/>
      <c r="G149" s="31"/>
      <c r="H149" s="31"/>
      <c r="I149" s="30"/>
      <c r="J149" s="31"/>
      <c r="K149" s="30"/>
      <c r="L149" s="30"/>
      <c r="M149" s="30"/>
      <c r="N149" s="31"/>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row>
    <row r="150" spans="1:79" ht="15.75" customHeight="1">
      <c r="A150" s="30"/>
      <c r="B150" s="30"/>
      <c r="C150" s="350"/>
      <c r="D150" s="30"/>
      <c r="E150" s="30"/>
      <c r="F150" s="30"/>
      <c r="G150" s="31"/>
      <c r="H150" s="31"/>
      <c r="I150" s="30"/>
      <c r="J150" s="31"/>
      <c r="K150" s="30"/>
      <c r="L150" s="30"/>
      <c r="M150" s="30"/>
      <c r="N150" s="31"/>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row>
    <row r="151" spans="1:79" ht="15.75" customHeight="1">
      <c r="A151" s="30"/>
      <c r="B151" s="30"/>
      <c r="C151" s="350"/>
      <c r="D151" s="30"/>
      <c r="E151" s="30"/>
      <c r="F151" s="30"/>
      <c r="G151" s="31"/>
      <c r="H151" s="31"/>
      <c r="I151" s="30"/>
      <c r="J151" s="31"/>
      <c r="K151" s="30"/>
      <c r="L151" s="30"/>
      <c r="M151" s="30"/>
      <c r="N151" s="31"/>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row>
    <row r="152" spans="1:79" ht="15.75" customHeight="1">
      <c r="A152" s="30"/>
      <c r="B152" s="30"/>
      <c r="C152" s="350"/>
      <c r="D152" s="30"/>
      <c r="E152" s="30"/>
      <c r="F152" s="30"/>
      <c r="G152" s="31"/>
      <c r="H152" s="31"/>
      <c r="I152" s="30"/>
      <c r="J152" s="31"/>
      <c r="K152" s="30"/>
      <c r="L152" s="30"/>
      <c r="M152" s="30"/>
      <c r="N152" s="31"/>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row>
    <row r="153" spans="1:79" ht="15.75" customHeight="1">
      <c r="A153" s="30"/>
      <c r="B153" s="30"/>
      <c r="C153" s="350"/>
      <c r="D153" s="30"/>
      <c r="E153" s="30"/>
      <c r="F153" s="30"/>
      <c r="G153" s="31"/>
      <c r="H153" s="31"/>
      <c r="I153" s="30"/>
      <c r="J153" s="31"/>
      <c r="K153" s="30"/>
      <c r="L153" s="30"/>
      <c r="M153" s="30"/>
      <c r="N153" s="31"/>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row>
    <row r="154" spans="1:79" ht="15.75" customHeight="1">
      <c r="A154" s="30"/>
      <c r="B154" s="30"/>
      <c r="C154" s="350"/>
      <c r="D154" s="30"/>
      <c r="E154" s="30"/>
      <c r="F154" s="30"/>
      <c r="G154" s="31"/>
      <c r="H154" s="31"/>
      <c r="I154" s="30"/>
      <c r="J154" s="31"/>
      <c r="K154" s="30"/>
      <c r="L154" s="30"/>
      <c r="M154" s="30"/>
      <c r="N154" s="31"/>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row>
    <row r="155" spans="1:79" ht="15.75" customHeight="1">
      <c r="A155" s="30"/>
      <c r="B155" s="30"/>
      <c r="C155" s="350"/>
      <c r="D155" s="30"/>
      <c r="E155" s="30"/>
      <c r="F155" s="30"/>
      <c r="G155" s="31"/>
      <c r="H155" s="31"/>
      <c r="I155" s="30"/>
      <c r="J155" s="31"/>
      <c r="K155" s="30"/>
      <c r="L155" s="30"/>
      <c r="M155" s="30"/>
      <c r="N155" s="31"/>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row>
    <row r="156" spans="1:79" ht="15.75" customHeight="1">
      <c r="A156" s="30"/>
      <c r="B156" s="30"/>
      <c r="C156" s="350"/>
      <c r="D156" s="30"/>
      <c r="E156" s="30"/>
      <c r="F156" s="30"/>
      <c r="G156" s="31"/>
      <c r="H156" s="31"/>
      <c r="I156" s="30"/>
      <c r="J156" s="31"/>
      <c r="K156" s="30"/>
      <c r="L156" s="30"/>
      <c r="M156" s="30"/>
      <c r="N156" s="31"/>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row>
    <row r="157" spans="1:79" ht="15.75" customHeight="1">
      <c r="A157" s="30"/>
      <c r="B157" s="30"/>
      <c r="C157" s="350"/>
      <c r="D157" s="30"/>
      <c r="E157" s="30"/>
      <c r="F157" s="30"/>
      <c r="G157" s="31"/>
      <c r="H157" s="31"/>
      <c r="I157" s="30"/>
      <c r="J157" s="31"/>
      <c r="K157" s="30"/>
      <c r="L157" s="30"/>
      <c r="M157" s="30"/>
      <c r="N157" s="31"/>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row>
    <row r="158" spans="1:79" ht="15.75" customHeight="1">
      <c r="A158" s="30"/>
      <c r="B158" s="30"/>
      <c r="C158" s="350"/>
      <c r="D158" s="30"/>
      <c r="E158" s="30"/>
      <c r="F158" s="30"/>
      <c r="G158" s="31"/>
      <c r="H158" s="31"/>
      <c r="I158" s="30"/>
      <c r="J158" s="31"/>
      <c r="K158" s="30"/>
      <c r="L158" s="30"/>
      <c r="M158" s="30"/>
      <c r="N158" s="31"/>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row>
    <row r="159" spans="1:79" ht="15.75" customHeight="1">
      <c r="A159" s="30"/>
      <c r="B159" s="30"/>
      <c r="C159" s="350"/>
      <c r="D159" s="30"/>
      <c r="E159" s="30"/>
      <c r="F159" s="30"/>
      <c r="G159" s="31"/>
      <c r="H159" s="31"/>
      <c r="I159" s="30"/>
      <c r="J159" s="31"/>
      <c r="K159" s="30"/>
      <c r="L159" s="30"/>
      <c r="M159" s="30"/>
      <c r="N159" s="31"/>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row>
    <row r="160" spans="1:79" ht="15.75" customHeight="1">
      <c r="A160" s="30"/>
      <c r="B160" s="30"/>
      <c r="C160" s="350"/>
      <c r="D160" s="30"/>
      <c r="E160" s="30"/>
      <c r="F160" s="30"/>
      <c r="G160" s="31"/>
      <c r="H160" s="31"/>
      <c r="I160" s="30"/>
      <c r="J160" s="31"/>
      <c r="K160" s="30"/>
      <c r="L160" s="30"/>
      <c r="M160" s="30"/>
      <c r="N160" s="31"/>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row>
    <row r="161" spans="1:79" ht="15.75" customHeight="1">
      <c r="A161" s="30"/>
      <c r="B161" s="30"/>
      <c r="C161" s="350"/>
      <c r="D161" s="30"/>
      <c r="E161" s="30"/>
      <c r="F161" s="30"/>
      <c r="G161" s="31"/>
      <c r="H161" s="31"/>
      <c r="I161" s="30"/>
      <c r="J161" s="31"/>
      <c r="K161" s="30"/>
      <c r="L161" s="30"/>
      <c r="M161" s="30"/>
      <c r="N161" s="31"/>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row>
    <row r="162" spans="1:79" ht="15.75" customHeight="1">
      <c r="A162" s="30"/>
      <c r="B162" s="30"/>
      <c r="C162" s="350"/>
      <c r="D162" s="30"/>
      <c r="E162" s="30"/>
      <c r="F162" s="30"/>
      <c r="G162" s="31"/>
      <c r="H162" s="31"/>
      <c r="I162" s="30"/>
      <c r="J162" s="31"/>
      <c r="K162" s="30"/>
      <c r="L162" s="30"/>
      <c r="M162" s="30"/>
      <c r="N162" s="31"/>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row>
    <row r="163" spans="1:79" ht="15.75" customHeight="1">
      <c r="A163" s="30"/>
      <c r="B163" s="30"/>
      <c r="C163" s="350"/>
      <c r="D163" s="30"/>
      <c r="E163" s="30"/>
      <c r="F163" s="30"/>
      <c r="G163" s="31"/>
      <c r="H163" s="31"/>
      <c r="I163" s="30"/>
      <c r="J163" s="31"/>
      <c r="K163" s="30"/>
      <c r="L163" s="30"/>
      <c r="M163" s="30"/>
      <c r="N163" s="31"/>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row>
    <row r="164" spans="1:79" ht="15.75" customHeight="1">
      <c r="A164" s="30"/>
      <c r="B164" s="30"/>
      <c r="C164" s="350"/>
      <c r="D164" s="30"/>
      <c r="E164" s="30"/>
      <c r="F164" s="30"/>
      <c r="G164" s="31"/>
      <c r="H164" s="31"/>
      <c r="I164" s="30"/>
      <c r="J164" s="31"/>
      <c r="K164" s="30"/>
      <c r="L164" s="30"/>
      <c r="M164" s="30"/>
      <c r="N164" s="31"/>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row>
    <row r="165" spans="1:79" ht="15.75" customHeight="1">
      <c r="A165" s="30"/>
      <c r="B165" s="30"/>
      <c r="C165" s="350"/>
      <c r="D165" s="30"/>
      <c r="E165" s="30"/>
      <c r="F165" s="30"/>
      <c r="G165" s="31"/>
      <c r="H165" s="31"/>
      <c r="I165" s="30"/>
      <c r="J165" s="31"/>
      <c r="K165" s="30"/>
      <c r="L165" s="30"/>
      <c r="M165" s="30"/>
      <c r="N165" s="31"/>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row>
    <row r="166" spans="1:79" ht="15.75" customHeight="1">
      <c r="A166" s="30"/>
      <c r="B166" s="30"/>
      <c r="C166" s="350"/>
      <c r="D166" s="30"/>
      <c r="E166" s="30"/>
      <c r="F166" s="30"/>
      <c r="G166" s="31"/>
      <c r="H166" s="31"/>
      <c r="I166" s="30"/>
      <c r="J166" s="31"/>
      <c r="K166" s="30"/>
      <c r="L166" s="30"/>
      <c r="M166" s="30"/>
      <c r="N166" s="31"/>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row>
    <row r="167" spans="1:79" ht="15.75" customHeight="1">
      <c r="A167" s="30"/>
      <c r="B167" s="30"/>
      <c r="C167" s="350"/>
      <c r="D167" s="30"/>
      <c r="E167" s="30"/>
      <c r="F167" s="30"/>
      <c r="G167" s="31"/>
      <c r="H167" s="31"/>
      <c r="I167" s="30"/>
      <c r="J167" s="31"/>
      <c r="K167" s="30"/>
      <c r="L167" s="30"/>
      <c r="M167" s="30"/>
      <c r="N167" s="31"/>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row>
    <row r="168" spans="1:79" ht="15.75" customHeight="1">
      <c r="A168" s="30"/>
      <c r="B168" s="30"/>
      <c r="C168" s="350"/>
      <c r="D168" s="30"/>
      <c r="E168" s="30"/>
      <c r="F168" s="30"/>
      <c r="G168" s="31"/>
      <c r="H168" s="31"/>
      <c r="I168" s="30"/>
      <c r="J168" s="31"/>
      <c r="K168" s="30"/>
      <c r="L168" s="30"/>
      <c r="M168" s="30"/>
      <c r="N168" s="31"/>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row>
    <row r="169" spans="1:79" ht="15.75" customHeight="1">
      <c r="A169" s="30"/>
      <c r="B169" s="30"/>
      <c r="C169" s="350"/>
      <c r="D169" s="30"/>
      <c r="E169" s="30"/>
      <c r="F169" s="30"/>
      <c r="G169" s="31"/>
      <c r="H169" s="31"/>
      <c r="I169" s="30"/>
      <c r="J169" s="31"/>
      <c r="K169" s="30"/>
      <c r="L169" s="30"/>
      <c r="M169" s="30"/>
      <c r="N169" s="31"/>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row>
    <row r="170" spans="1:79" ht="15.75" customHeight="1">
      <c r="A170" s="30"/>
      <c r="B170" s="30"/>
      <c r="C170" s="350"/>
      <c r="D170" s="30"/>
      <c r="E170" s="30"/>
      <c r="F170" s="30"/>
      <c r="G170" s="31"/>
      <c r="H170" s="31"/>
      <c r="I170" s="30"/>
      <c r="J170" s="31"/>
      <c r="K170" s="30"/>
      <c r="L170" s="30"/>
      <c r="M170" s="30"/>
      <c r="N170" s="31"/>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row>
    <row r="171" spans="1:79" ht="15.75" customHeight="1">
      <c r="A171" s="30"/>
      <c r="B171" s="30"/>
      <c r="C171" s="350"/>
      <c r="D171" s="30"/>
      <c r="E171" s="30"/>
      <c r="F171" s="30"/>
      <c r="G171" s="31"/>
      <c r="H171" s="31"/>
      <c r="I171" s="30"/>
      <c r="J171" s="31"/>
      <c r="K171" s="30"/>
      <c r="L171" s="30"/>
      <c r="M171" s="30"/>
      <c r="N171" s="31"/>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row>
    <row r="172" spans="1:79" ht="15.75" customHeight="1">
      <c r="A172" s="30"/>
      <c r="B172" s="30"/>
      <c r="C172" s="350"/>
      <c r="D172" s="30"/>
      <c r="E172" s="30"/>
      <c r="F172" s="30"/>
      <c r="G172" s="31"/>
      <c r="H172" s="31"/>
      <c r="I172" s="30"/>
      <c r="J172" s="31"/>
      <c r="K172" s="30"/>
      <c r="L172" s="30"/>
      <c r="M172" s="30"/>
      <c r="N172" s="31"/>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row>
    <row r="173" spans="1:79" ht="15.75" customHeight="1">
      <c r="A173" s="30"/>
      <c r="B173" s="30"/>
      <c r="C173" s="350"/>
      <c r="D173" s="30"/>
      <c r="E173" s="30"/>
      <c r="F173" s="30"/>
      <c r="G173" s="31"/>
      <c r="H173" s="31"/>
      <c r="I173" s="30"/>
      <c r="J173" s="31"/>
      <c r="K173" s="30"/>
      <c r="L173" s="30"/>
      <c r="M173" s="30"/>
      <c r="N173" s="31"/>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row>
    <row r="174" spans="1:79" ht="15.75" customHeight="1">
      <c r="A174" s="30"/>
      <c r="B174" s="30"/>
      <c r="C174" s="350"/>
      <c r="D174" s="30"/>
      <c r="E174" s="30"/>
      <c r="F174" s="30"/>
      <c r="G174" s="31"/>
      <c r="H174" s="31"/>
      <c r="I174" s="30"/>
      <c r="J174" s="31"/>
      <c r="K174" s="30"/>
      <c r="L174" s="30"/>
      <c r="M174" s="30"/>
      <c r="N174" s="31"/>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row>
    <row r="175" spans="1:79" ht="15.75" customHeight="1">
      <c r="A175" s="30"/>
      <c r="B175" s="30"/>
      <c r="C175" s="350"/>
      <c r="D175" s="30"/>
      <c r="E175" s="30"/>
      <c r="F175" s="30"/>
      <c r="G175" s="31"/>
      <c r="H175" s="31"/>
      <c r="I175" s="30"/>
      <c r="J175" s="31"/>
      <c r="K175" s="30"/>
      <c r="L175" s="30"/>
      <c r="M175" s="30"/>
      <c r="N175" s="31"/>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row>
    <row r="176" spans="1:79" ht="15.75" customHeight="1">
      <c r="A176" s="30"/>
      <c r="B176" s="30"/>
      <c r="C176" s="350"/>
      <c r="D176" s="30"/>
      <c r="E176" s="30"/>
      <c r="F176" s="30"/>
      <c r="G176" s="31"/>
      <c r="H176" s="31"/>
      <c r="I176" s="30"/>
      <c r="J176" s="31"/>
      <c r="K176" s="30"/>
      <c r="L176" s="30"/>
      <c r="M176" s="30"/>
      <c r="N176" s="31"/>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row>
    <row r="177" spans="1:79" ht="15.75" customHeight="1">
      <c r="A177" s="30"/>
      <c r="B177" s="30"/>
      <c r="C177" s="350"/>
      <c r="D177" s="30"/>
      <c r="E177" s="30"/>
      <c r="F177" s="30"/>
      <c r="G177" s="31"/>
      <c r="H177" s="31"/>
      <c r="I177" s="30"/>
      <c r="J177" s="31"/>
      <c r="K177" s="30"/>
      <c r="L177" s="30"/>
      <c r="M177" s="30"/>
      <c r="N177" s="31"/>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row>
    <row r="178" spans="1:79" ht="15.75" customHeight="1">
      <c r="A178" s="30"/>
      <c r="B178" s="30"/>
      <c r="C178" s="350"/>
      <c r="D178" s="30"/>
      <c r="E178" s="30"/>
      <c r="F178" s="30"/>
      <c r="G178" s="31"/>
      <c r="H178" s="31"/>
      <c r="I178" s="30"/>
      <c r="J178" s="31"/>
      <c r="K178" s="30"/>
      <c r="L178" s="30"/>
      <c r="M178" s="30"/>
      <c r="N178" s="31"/>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row>
    <row r="179" spans="1:79" ht="15.75" customHeight="1">
      <c r="A179" s="30"/>
      <c r="B179" s="30"/>
      <c r="C179" s="350"/>
      <c r="D179" s="30"/>
      <c r="E179" s="30"/>
      <c r="F179" s="30"/>
      <c r="G179" s="31"/>
      <c r="H179" s="31"/>
      <c r="I179" s="30"/>
      <c r="J179" s="31"/>
      <c r="K179" s="30"/>
      <c r="L179" s="30"/>
      <c r="M179" s="30"/>
      <c r="N179" s="31"/>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row>
    <row r="180" spans="1:79" ht="15.75" customHeight="1">
      <c r="A180" s="30"/>
      <c r="B180" s="30"/>
      <c r="C180" s="350"/>
      <c r="D180" s="30"/>
      <c r="E180" s="30"/>
      <c r="F180" s="30"/>
      <c r="G180" s="31"/>
      <c r="H180" s="31"/>
      <c r="I180" s="30"/>
      <c r="J180" s="31"/>
      <c r="K180" s="30"/>
      <c r="L180" s="30"/>
      <c r="M180" s="30"/>
      <c r="N180" s="31"/>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row>
    <row r="181" spans="1:79" ht="15.75" customHeight="1">
      <c r="A181" s="30"/>
      <c r="B181" s="30"/>
      <c r="C181" s="350"/>
      <c r="D181" s="30"/>
      <c r="E181" s="30"/>
      <c r="F181" s="30"/>
      <c r="G181" s="31"/>
      <c r="H181" s="31"/>
      <c r="I181" s="30"/>
      <c r="J181" s="31"/>
      <c r="K181" s="30"/>
      <c r="L181" s="30"/>
      <c r="M181" s="30"/>
      <c r="N181" s="31"/>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row>
    <row r="182" spans="1:79" ht="15.75" customHeight="1">
      <c r="A182" s="30"/>
      <c r="B182" s="30"/>
      <c r="C182" s="350"/>
      <c r="D182" s="30"/>
      <c r="E182" s="30"/>
      <c r="F182" s="30"/>
      <c r="G182" s="31"/>
      <c r="H182" s="31"/>
      <c r="I182" s="30"/>
      <c r="J182" s="31"/>
      <c r="K182" s="30"/>
      <c r="L182" s="30"/>
      <c r="M182" s="30"/>
      <c r="N182" s="31"/>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row>
    <row r="183" spans="1:79" ht="15.75" customHeight="1">
      <c r="C183" s="351"/>
    </row>
    <row r="184" spans="1:79" ht="15.75" customHeight="1">
      <c r="C184" s="351"/>
    </row>
    <row r="185" spans="1:79" ht="15.75" customHeight="1">
      <c r="C185" s="351"/>
    </row>
    <row r="186" spans="1:79" ht="15.75" customHeight="1">
      <c r="C186" s="351"/>
    </row>
    <row r="187" spans="1:79" ht="15.75" customHeight="1">
      <c r="C187" s="351"/>
    </row>
    <row r="188" spans="1:79" ht="15.75" customHeight="1">
      <c r="C188" s="351"/>
    </row>
    <row r="189" spans="1:79" ht="15.75" customHeight="1">
      <c r="C189" s="351"/>
    </row>
    <row r="190" spans="1:79" ht="15.75" customHeight="1">
      <c r="C190" s="351"/>
    </row>
    <row r="191" spans="1:79" ht="15.75" customHeight="1">
      <c r="C191" s="351"/>
    </row>
    <row r="192" spans="1:79" ht="15.75" customHeight="1">
      <c r="C192" s="351"/>
    </row>
    <row r="193" spans="3:3" ht="15.75" customHeight="1">
      <c r="C193" s="351"/>
    </row>
    <row r="194" spans="3:3" ht="15.75" customHeight="1">
      <c r="C194" s="351"/>
    </row>
    <row r="195" spans="3:3" ht="15.75" customHeight="1">
      <c r="C195" s="351"/>
    </row>
    <row r="196" spans="3:3" ht="15.75" customHeight="1">
      <c r="C196" s="351"/>
    </row>
    <row r="197" spans="3:3" ht="15.75" customHeight="1">
      <c r="C197" s="351"/>
    </row>
    <row r="198" spans="3:3" ht="15.75" customHeight="1">
      <c r="C198" s="351"/>
    </row>
    <row r="199" spans="3:3" ht="15.75" customHeight="1">
      <c r="C199" s="351"/>
    </row>
    <row r="200" spans="3:3" ht="15.75" customHeight="1">
      <c r="C200" s="351"/>
    </row>
    <row r="201" spans="3:3" ht="15.75" customHeight="1">
      <c r="C201" s="351"/>
    </row>
    <row r="202" spans="3:3" ht="15.75" customHeight="1">
      <c r="C202" s="351"/>
    </row>
    <row r="203" spans="3:3" ht="15.75" customHeight="1">
      <c r="C203" s="351"/>
    </row>
    <row r="204" spans="3:3" ht="15.75" customHeight="1">
      <c r="C204" s="351"/>
    </row>
    <row r="205" spans="3:3" ht="15.75" customHeight="1">
      <c r="C205" s="351"/>
    </row>
    <row r="206" spans="3:3" ht="15.75" customHeight="1">
      <c r="C206" s="351"/>
    </row>
    <row r="207" spans="3:3" ht="15.75" customHeight="1">
      <c r="C207" s="351"/>
    </row>
    <row r="208" spans="3:3" ht="15.75" customHeight="1">
      <c r="C208" s="351"/>
    </row>
    <row r="209" spans="3:3" ht="15.75" customHeight="1">
      <c r="C209" s="351"/>
    </row>
    <row r="210" spans="3:3" ht="15.75" customHeight="1">
      <c r="C210" s="351"/>
    </row>
    <row r="211" spans="3:3" ht="15.75" customHeight="1">
      <c r="C211" s="351"/>
    </row>
    <row r="212" spans="3:3" ht="15.75" customHeight="1">
      <c r="C212" s="351"/>
    </row>
    <row r="213" spans="3:3" ht="15.75" customHeight="1">
      <c r="C213" s="351"/>
    </row>
    <row r="214" spans="3:3" ht="15.75" customHeight="1">
      <c r="C214" s="351"/>
    </row>
    <row r="215" spans="3:3" ht="15.75" customHeight="1">
      <c r="C215" s="351"/>
    </row>
    <row r="216" spans="3:3" ht="15.75" customHeight="1">
      <c r="C216" s="351"/>
    </row>
    <row r="217" spans="3:3" ht="15.75" customHeight="1">
      <c r="C217" s="351"/>
    </row>
    <row r="218" spans="3:3" ht="15.75" customHeight="1">
      <c r="C218" s="351"/>
    </row>
    <row r="219" spans="3:3" ht="15.75" customHeight="1">
      <c r="C219" s="351"/>
    </row>
    <row r="220" spans="3:3" ht="15.75" customHeight="1">
      <c r="C220" s="351"/>
    </row>
    <row r="221" spans="3:3" ht="15.75" customHeight="1">
      <c r="C221" s="351"/>
    </row>
    <row r="222" spans="3:3" ht="15.75" customHeight="1">
      <c r="C222" s="351"/>
    </row>
    <row r="223" spans="3:3" ht="15.75" customHeight="1">
      <c r="C223" s="351"/>
    </row>
    <row r="224" spans="3:3" ht="15.75" customHeight="1">
      <c r="C224" s="351"/>
    </row>
    <row r="225" spans="3:3" ht="15.75" customHeight="1">
      <c r="C225" s="351"/>
    </row>
    <row r="226" spans="3:3" ht="15.75" customHeight="1">
      <c r="C226" s="351"/>
    </row>
    <row r="227" spans="3:3" ht="15.75" customHeight="1">
      <c r="C227" s="351"/>
    </row>
    <row r="228" spans="3:3" ht="15.75" customHeight="1">
      <c r="C228" s="351"/>
    </row>
    <row r="229" spans="3:3" ht="15.75" customHeight="1">
      <c r="C229" s="351"/>
    </row>
    <row r="230" spans="3:3" ht="15.75" customHeight="1">
      <c r="C230" s="351"/>
    </row>
    <row r="231" spans="3:3" ht="15.75" customHeight="1">
      <c r="C231" s="351"/>
    </row>
    <row r="232" spans="3:3" ht="15.75" customHeight="1">
      <c r="C232" s="351"/>
    </row>
    <row r="233" spans="3:3" ht="15.75" customHeight="1">
      <c r="C233" s="351"/>
    </row>
    <row r="234" spans="3:3" ht="15.75" customHeight="1">
      <c r="C234" s="351"/>
    </row>
    <row r="235" spans="3:3" ht="15.75" customHeight="1">
      <c r="C235" s="351"/>
    </row>
    <row r="236" spans="3:3" ht="15.75" customHeight="1">
      <c r="C236" s="351"/>
    </row>
    <row r="237" spans="3:3" ht="15.75" customHeight="1">
      <c r="C237" s="351"/>
    </row>
    <row r="238" spans="3:3" ht="15.75" customHeight="1">
      <c r="C238" s="351"/>
    </row>
    <row r="239" spans="3:3" ht="15.75" customHeight="1">
      <c r="C239" s="351"/>
    </row>
    <row r="240" spans="3:3" ht="15.75" customHeight="1">
      <c r="C240" s="351"/>
    </row>
    <row r="241" spans="3:3" ht="15.75" customHeight="1">
      <c r="C241" s="351"/>
    </row>
    <row r="242" spans="3:3" ht="15.75" customHeight="1">
      <c r="C242" s="351"/>
    </row>
    <row r="243" spans="3:3" ht="15.75" customHeight="1">
      <c r="C243" s="351"/>
    </row>
    <row r="244" spans="3:3" ht="15.75" customHeight="1">
      <c r="C244" s="351"/>
    </row>
    <row r="245" spans="3:3" ht="15.75" customHeight="1">
      <c r="C245" s="351"/>
    </row>
    <row r="246" spans="3:3" ht="15.75" customHeight="1">
      <c r="C246" s="351"/>
    </row>
    <row r="247" spans="3:3" ht="15.75" customHeight="1">
      <c r="C247" s="351"/>
    </row>
    <row r="248" spans="3:3" ht="15.75" customHeight="1">
      <c r="C248" s="351"/>
    </row>
    <row r="249" spans="3:3" ht="15.75" customHeight="1">
      <c r="C249" s="351"/>
    </row>
    <row r="250" spans="3:3" ht="15.75" customHeight="1">
      <c r="C250" s="351"/>
    </row>
    <row r="251" spans="3:3" ht="15.75" customHeight="1">
      <c r="C251" s="351"/>
    </row>
    <row r="252" spans="3:3" ht="15.75" customHeight="1">
      <c r="C252" s="351"/>
    </row>
    <row r="253" spans="3:3" ht="15.75" customHeight="1">
      <c r="C253" s="351"/>
    </row>
    <row r="254" spans="3:3" ht="15.75" customHeight="1">
      <c r="C254" s="351"/>
    </row>
    <row r="255" spans="3:3" ht="15.75" customHeight="1">
      <c r="C255" s="351"/>
    </row>
    <row r="256" spans="3:3" ht="15.75" customHeight="1">
      <c r="C256" s="351"/>
    </row>
    <row r="257" spans="3:3" ht="15.75" customHeight="1">
      <c r="C257" s="351"/>
    </row>
    <row r="258" spans="3:3" ht="15.75" customHeight="1">
      <c r="C258" s="351"/>
    </row>
    <row r="259" spans="3:3" ht="15.75" customHeight="1">
      <c r="C259" s="351"/>
    </row>
    <row r="260" spans="3:3" ht="15.75" customHeight="1">
      <c r="C260" s="351"/>
    </row>
    <row r="261" spans="3:3" ht="15.75" customHeight="1">
      <c r="C261" s="351"/>
    </row>
    <row r="262" spans="3:3" ht="15.75" customHeight="1">
      <c r="C262" s="351"/>
    </row>
    <row r="263" spans="3:3" ht="15.75" customHeight="1">
      <c r="C263" s="351"/>
    </row>
    <row r="264" spans="3:3" ht="15.75" customHeight="1">
      <c r="C264" s="351"/>
    </row>
    <row r="265" spans="3:3" ht="15.75" customHeight="1">
      <c r="C265" s="351"/>
    </row>
    <row r="266" spans="3:3" ht="15.75" customHeight="1">
      <c r="C266" s="351"/>
    </row>
    <row r="267" spans="3:3" ht="15.75" customHeight="1">
      <c r="C267" s="351"/>
    </row>
    <row r="268" spans="3:3" ht="15.75" customHeight="1">
      <c r="C268" s="351"/>
    </row>
    <row r="269" spans="3:3" ht="15.75" customHeight="1">
      <c r="C269" s="351"/>
    </row>
    <row r="270" spans="3:3" ht="15.75" customHeight="1">
      <c r="C270" s="351"/>
    </row>
    <row r="271" spans="3:3" ht="15.75" customHeight="1">
      <c r="C271" s="351"/>
    </row>
    <row r="272" spans="3:3" ht="15.75" customHeight="1">
      <c r="C272" s="351"/>
    </row>
    <row r="273" spans="3:3" ht="15.75" customHeight="1">
      <c r="C273" s="351"/>
    </row>
    <row r="274" spans="3:3" ht="15.75" customHeight="1">
      <c r="C274" s="351"/>
    </row>
    <row r="275" spans="3:3" ht="15.75" customHeight="1">
      <c r="C275" s="351"/>
    </row>
    <row r="276" spans="3:3" ht="15.75" customHeight="1">
      <c r="C276" s="351"/>
    </row>
    <row r="277" spans="3:3" ht="15.75" customHeight="1">
      <c r="C277" s="351"/>
    </row>
    <row r="278" spans="3:3" ht="15.75" customHeight="1">
      <c r="C278" s="351"/>
    </row>
    <row r="279" spans="3:3" ht="15.75" customHeight="1">
      <c r="C279" s="351"/>
    </row>
    <row r="280" spans="3:3" ht="15.75" customHeight="1">
      <c r="C280" s="351"/>
    </row>
    <row r="281" spans="3:3" ht="15.75" customHeight="1">
      <c r="C281" s="351"/>
    </row>
    <row r="282" spans="3:3" ht="15.75" customHeight="1">
      <c r="C282" s="351"/>
    </row>
    <row r="283" spans="3:3" ht="15.75" customHeight="1">
      <c r="C283" s="351"/>
    </row>
    <row r="284" spans="3:3" ht="15.75" customHeight="1">
      <c r="C284" s="351"/>
    </row>
    <row r="285" spans="3:3" ht="15.75" customHeight="1">
      <c r="C285" s="351"/>
    </row>
    <row r="286" spans="3:3" ht="15.75" customHeight="1">
      <c r="C286" s="351"/>
    </row>
    <row r="287" spans="3:3" ht="15.75" customHeight="1">
      <c r="C287" s="351"/>
    </row>
    <row r="288" spans="3:3" ht="15.75" customHeight="1">
      <c r="C288" s="351"/>
    </row>
    <row r="289" spans="3:3" ht="15.75" customHeight="1">
      <c r="C289" s="351"/>
    </row>
    <row r="290" spans="3:3" ht="15.75" customHeight="1">
      <c r="C290" s="351"/>
    </row>
    <row r="291" spans="3:3" ht="15.75" customHeight="1">
      <c r="C291" s="351"/>
    </row>
    <row r="292" spans="3:3" ht="15.75" customHeight="1">
      <c r="C292" s="351"/>
    </row>
    <row r="293" spans="3:3" ht="15.75" customHeight="1">
      <c r="C293" s="351"/>
    </row>
    <row r="294" spans="3:3" ht="15.75" customHeight="1">
      <c r="C294" s="351"/>
    </row>
    <row r="295" spans="3:3" ht="15.75" customHeight="1">
      <c r="C295" s="351"/>
    </row>
    <row r="296" spans="3:3" ht="15.75" customHeight="1">
      <c r="C296" s="351"/>
    </row>
    <row r="297" spans="3:3" ht="15.75" customHeight="1">
      <c r="C297" s="351"/>
    </row>
    <row r="298" spans="3:3" ht="15.75" customHeight="1">
      <c r="C298" s="351"/>
    </row>
    <row r="299" spans="3:3" ht="15.75" customHeight="1">
      <c r="C299" s="351"/>
    </row>
    <row r="300" spans="3:3" ht="15.75" customHeight="1">
      <c r="C300" s="351"/>
    </row>
    <row r="301" spans="3:3" ht="15.75" customHeight="1">
      <c r="C301" s="351"/>
    </row>
    <row r="302" spans="3:3" ht="15.75" customHeight="1">
      <c r="C302" s="351"/>
    </row>
    <row r="303" spans="3:3" ht="15.75" customHeight="1">
      <c r="C303" s="351"/>
    </row>
    <row r="304" spans="3:3" ht="15.75" customHeight="1">
      <c r="C304" s="351"/>
    </row>
    <row r="305" spans="3:3" ht="15.75" customHeight="1">
      <c r="C305" s="351"/>
    </row>
    <row r="306" spans="3:3" ht="15.75" customHeight="1">
      <c r="C306" s="351"/>
    </row>
    <row r="307" spans="3:3" ht="15.75" customHeight="1">
      <c r="C307" s="351"/>
    </row>
    <row r="308" spans="3:3" ht="15.75" customHeight="1">
      <c r="C308" s="351"/>
    </row>
    <row r="309" spans="3:3" ht="15.75" customHeight="1">
      <c r="C309" s="351"/>
    </row>
    <row r="310" spans="3:3" ht="15.75" customHeight="1">
      <c r="C310" s="351"/>
    </row>
    <row r="311" spans="3:3" ht="15.75" customHeight="1">
      <c r="C311" s="351"/>
    </row>
    <row r="312" spans="3:3" ht="15.75" customHeight="1">
      <c r="C312" s="351"/>
    </row>
    <row r="313" spans="3:3" ht="15.75" customHeight="1">
      <c r="C313" s="351"/>
    </row>
    <row r="314" spans="3:3" ht="15.75" customHeight="1">
      <c r="C314" s="351"/>
    </row>
    <row r="315" spans="3:3" ht="15.75" customHeight="1">
      <c r="C315" s="351"/>
    </row>
    <row r="316" spans="3:3" ht="15.75" customHeight="1">
      <c r="C316" s="351"/>
    </row>
    <row r="317" spans="3:3" ht="15.75" customHeight="1">
      <c r="C317" s="351"/>
    </row>
    <row r="318" spans="3:3" ht="15.75" customHeight="1">
      <c r="C318" s="351"/>
    </row>
    <row r="319" spans="3:3" ht="15.75" customHeight="1">
      <c r="C319" s="351"/>
    </row>
    <row r="320" spans="3:3" ht="15.75" customHeight="1">
      <c r="C320" s="351"/>
    </row>
    <row r="321" spans="3:3" ht="15.75" customHeight="1">
      <c r="C321" s="351"/>
    </row>
    <row r="322" spans="3:3" ht="15.75" customHeight="1">
      <c r="C322" s="351"/>
    </row>
    <row r="323" spans="3:3" ht="15.75" customHeight="1">
      <c r="C323" s="351"/>
    </row>
    <row r="324" spans="3:3" ht="15.75" customHeight="1">
      <c r="C324" s="351"/>
    </row>
    <row r="325" spans="3:3" ht="15.75" customHeight="1">
      <c r="C325" s="351"/>
    </row>
    <row r="326" spans="3:3" ht="15.75" customHeight="1">
      <c r="C326" s="351"/>
    </row>
    <row r="327" spans="3:3" ht="15.75" customHeight="1">
      <c r="C327" s="351"/>
    </row>
    <row r="328" spans="3:3" ht="15.75" customHeight="1">
      <c r="C328" s="351"/>
    </row>
    <row r="329" spans="3:3" ht="15.75" customHeight="1">
      <c r="C329" s="351"/>
    </row>
    <row r="330" spans="3:3" ht="15.75" customHeight="1">
      <c r="C330" s="351"/>
    </row>
    <row r="331" spans="3:3" ht="15.75" customHeight="1">
      <c r="C331" s="351"/>
    </row>
    <row r="332" spans="3:3" ht="15.75" customHeight="1">
      <c r="C332" s="351"/>
    </row>
    <row r="333" spans="3:3" ht="15.75" customHeight="1">
      <c r="C333" s="351"/>
    </row>
    <row r="334" spans="3:3" ht="15.75" customHeight="1">
      <c r="C334" s="351"/>
    </row>
    <row r="335" spans="3:3" ht="15.75" customHeight="1">
      <c r="C335" s="351"/>
    </row>
    <row r="336" spans="3:3" ht="15.75" customHeight="1">
      <c r="C336" s="351"/>
    </row>
    <row r="337" spans="3:3" ht="15.75" customHeight="1">
      <c r="C337" s="351"/>
    </row>
    <row r="338" spans="3:3" ht="15.75" customHeight="1">
      <c r="C338" s="351"/>
    </row>
    <row r="339" spans="3:3" ht="15.75" customHeight="1">
      <c r="C339" s="351"/>
    </row>
    <row r="340" spans="3:3" ht="15.75" customHeight="1">
      <c r="C340" s="351"/>
    </row>
    <row r="341" spans="3:3" ht="15.75" customHeight="1">
      <c r="C341" s="351"/>
    </row>
    <row r="342" spans="3:3" ht="15.75" customHeight="1">
      <c r="C342" s="351"/>
    </row>
    <row r="343" spans="3:3" ht="15.75" customHeight="1">
      <c r="C343" s="351"/>
    </row>
    <row r="344" spans="3:3" ht="15.75" customHeight="1">
      <c r="C344" s="351"/>
    </row>
    <row r="345" spans="3:3" ht="15.75" customHeight="1">
      <c r="C345" s="351"/>
    </row>
    <row r="346" spans="3:3" ht="15.75" customHeight="1">
      <c r="C346" s="351"/>
    </row>
    <row r="347" spans="3:3" ht="15.75" customHeight="1">
      <c r="C347" s="351"/>
    </row>
    <row r="348" spans="3:3" ht="15.75" customHeight="1">
      <c r="C348" s="351"/>
    </row>
    <row r="349" spans="3:3" ht="15.75" customHeight="1">
      <c r="C349" s="351"/>
    </row>
    <row r="350" spans="3:3" ht="15.75" customHeight="1">
      <c r="C350" s="351"/>
    </row>
    <row r="351" spans="3:3" ht="15.75" customHeight="1">
      <c r="C351" s="351"/>
    </row>
    <row r="352" spans="3:3" ht="15.75" customHeight="1">
      <c r="C352" s="351"/>
    </row>
    <row r="353" spans="3:3" ht="15.75" customHeight="1">
      <c r="C353" s="351"/>
    </row>
    <row r="354" spans="3:3" ht="15.75" customHeight="1">
      <c r="C354" s="351"/>
    </row>
    <row r="355" spans="3:3" ht="15.75" customHeight="1">
      <c r="C355" s="351"/>
    </row>
    <row r="356" spans="3:3" ht="15.75" customHeight="1">
      <c r="C356" s="351"/>
    </row>
    <row r="357" spans="3:3" ht="15.75" customHeight="1">
      <c r="C357" s="351"/>
    </row>
    <row r="358" spans="3:3" ht="15.75" customHeight="1">
      <c r="C358" s="351"/>
    </row>
    <row r="359" spans="3:3" ht="15.75" customHeight="1">
      <c r="C359" s="351"/>
    </row>
    <row r="360" spans="3:3" ht="15.75" customHeight="1">
      <c r="C360" s="351"/>
    </row>
    <row r="361" spans="3:3" ht="15.75" customHeight="1">
      <c r="C361" s="351"/>
    </row>
    <row r="362" spans="3:3" ht="15.75" customHeight="1">
      <c r="C362" s="351"/>
    </row>
    <row r="363" spans="3:3" ht="15.75" customHeight="1">
      <c r="C363" s="351"/>
    </row>
    <row r="364" spans="3:3" ht="15.75" customHeight="1">
      <c r="C364" s="351"/>
    </row>
    <row r="365" spans="3:3" ht="15.75" customHeight="1">
      <c r="C365" s="351"/>
    </row>
    <row r="366" spans="3:3" ht="15.75" customHeight="1">
      <c r="C366" s="351"/>
    </row>
    <row r="367" spans="3:3" ht="15.75" customHeight="1">
      <c r="C367" s="351"/>
    </row>
    <row r="368" spans="3:3" ht="15.75" customHeight="1">
      <c r="C368" s="351"/>
    </row>
    <row r="369" spans="3:3" ht="15.75" customHeight="1">
      <c r="C369" s="351"/>
    </row>
    <row r="370" spans="3:3" ht="15.75" customHeight="1">
      <c r="C370" s="351"/>
    </row>
    <row r="371" spans="3:3" ht="15.75" customHeight="1">
      <c r="C371" s="351"/>
    </row>
    <row r="372" spans="3:3" ht="15.75" customHeight="1">
      <c r="C372" s="351"/>
    </row>
    <row r="373" spans="3:3" ht="15.75" customHeight="1">
      <c r="C373" s="351"/>
    </row>
    <row r="374" spans="3:3" ht="15.75" customHeight="1">
      <c r="C374" s="351"/>
    </row>
    <row r="375" spans="3:3" ht="15.75" customHeight="1">
      <c r="C375" s="351"/>
    </row>
    <row r="376" spans="3:3" ht="15.75" customHeight="1">
      <c r="C376" s="351"/>
    </row>
    <row r="377" spans="3:3" ht="15.75" customHeight="1">
      <c r="C377" s="351"/>
    </row>
    <row r="378" spans="3:3" ht="15.75" customHeight="1">
      <c r="C378" s="351"/>
    </row>
    <row r="379" spans="3:3" ht="15.75" customHeight="1">
      <c r="C379" s="351"/>
    </row>
    <row r="380" spans="3:3" ht="15.75" customHeight="1">
      <c r="C380" s="351"/>
    </row>
    <row r="381" spans="3:3" ht="15.75" customHeight="1">
      <c r="C381" s="351"/>
    </row>
    <row r="382" spans="3:3" ht="15.75" customHeight="1">
      <c r="C382" s="351"/>
    </row>
    <row r="383" spans="3:3" ht="15.75" customHeight="1">
      <c r="C383" s="351"/>
    </row>
    <row r="384" spans="3:3" ht="15.75" customHeight="1">
      <c r="C384" s="351"/>
    </row>
    <row r="385" spans="3:3" ht="15.75" customHeight="1">
      <c r="C385" s="351"/>
    </row>
    <row r="386" spans="3:3" ht="15.75" customHeight="1">
      <c r="C386" s="351"/>
    </row>
    <row r="387" spans="3:3" ht="15.75" customHeight="1">
      <c r="C387" s="351"/>
    </row>
    <row r="388" spans="3:3" ht="15.75" customHeight="1">
      <c r="C388" s="351"/>
    </row>
    <row r="389" spans="3:3" ht="15.75" customHeight="1">
      <c r="C389" s="351"/>
    </row>
    <row r="390" spans="3:3" ht="15.75" customHeight="1">
      <c r="C390" s="351"/>
    </row>
    <row r="391" spans="3:3" ht="15.75" customHeight="1">
      <c r="C391" s="351"/>
    </row>
    <row r="392" spans="3:3" ht="15.75" customHeight="1">
      <c r="C392" s="351"/>
    </row>
    <row r="393" spans="3:3" ht="15.75" customHeight="1">
      <c r="C393" s="351"/>
    </row>
    <row r="394" spans="3:3" ht="15.75" customHeight="1">
      <c r="C394" s="351"/>
    </row>
    <row r="395" spans="3:3" ht="15.75" customHeight="1">
      <c r="C395" s="351"/>
    </row>
    <row r="396" spans="3:3" ht="15.75" customHeight="1">
      <c r="C396" s="351"/>
    </row>
    <row r="397" spans="3:3" ht="15.75" customHeight="1">
      <c r="C397" s="351"/>
    </row>
    <row r="398" spans="3:3" ht="15.75" customHeight="1">
      <c r="C398" s="351"/>
    </row>
    <row r="399" spans="3:3" ht="15.75" customHeight="1">
      <c r="C399" s="351"/>
    </row>
    <row r="400" spans="3:3" ht="15.75" customHeight="1">
      <c r="C400" s="351"/>
    </row>
    <row r="401" spans="3:3" ht="15.75" customHeight="1">
      <c r="C401" s="351"/>
    </row>
    <row r="402" spans="3:3" ht="15.75" customHeight="1">
      <c r="C402" s="351"/>
    </row>
    <row r="403" spans="3:3" ht="15.75" customHeight="1">
      <c r="C403" s="351"/>
    </row>
    <row r="404" spans="3:3" ht="15.75" customHeight="1">
      <c r="C404" s="351"/>
    </row>
    <row r="405" spans="3:3" ht="15.75" customHeight="1">
      <c r="C405" s="351"/>
    </row>
    <row r="406" spans="3:3" ht="15.75" customHeight="1">
      <c r="C406" s="351"/>
    </row>
    <row r="407" spans="3:3" ht="15.75" customHeight="1">
      <c r="C407" s="351"/>
    </row>
    <row r="408" spans="3:3" ht="15.75" customHeight="1">
      <c r="C408" s="351"/>
    </row>
    <row r="409" spans="3:3" ht="15.75" customHeight="1">
      <c r="C409" s="351"/>
    </row>
    <row r="410" spans="3:3" ht="15.75" customHeight="1">
      <c r="C410" s="351"/>
    </row>
    <row r="411" spans="3:3" ht="15.75" customHeight="1">
      <c r="C411" s="351"/>
    </row>
    <row r="412" spans="3:3" ht="15.75" customHeight="1">
      <c r="C412" s="351"/>
    </row>
    <row r="413" spans="3:3" ht="15.75" customHeight="1">
      <c r="C413" s="351"/>
    </row>
    <row r="414" spans="3:3" ht="15.75" customHeight="1">
      <c r="C414" s="351"/>
    </row>
    <row r="415" spans="3:3" ht="15.75" customHeight="1">
      <c r="C415" s="351"/>
    </row>
    <row r="416" spans="3:3" ht="15.75" customHeight="1">
      <c r="C416" s="351"/>
    </row>
    <row r="417" spans="3:3" ht="15.75" customHeight="1">
      <c r="C417" s="351"/>
    </row>
    <row r="418" spans="3:3" ht="15.75" customHeight="1">
      <c r="C418" s="351"/>
    </row>
    <row r="419" spans="3:3" ht="15.75" customHeight="1">
      <c r="C419" s="351"/>
    </row>
    <row r="420" spans="3:3" ht="15.75" customHeight="1">
      <c r="C420" s="351"/>
    </row>
    <row r="421" spans="3:3" ht="15.75" customHeight="1">
      <c r="C421" s="351"/>
    </row>
    <row r="422" spans="3:3" ht="15.75" customHeight="1">
      <c r="C422" s="351"/>
    </row>
    <row r="423" spans="3:3" ht="15.75" customHeight="1">
      <c r="C423" s="351"/>
    </row>
    <row r="424" spans="3:3" ht="15.75" customHeight="1">
      <c r="C424" s="351"/>
    </row>
    <row r="425" spans="3:3" ht="15.75" customHeight="1">
      <c r="C425" s="351"/>
    </row>
    <row r="426" spans="3:3" ht="15.75" customHeight="1">
      <c r="C426" s="351"/>
    </row>
    <row r="427" spans="3:3" ht="15.75" customHeight="1">
      <c r="C427" s="351"/>
    </row>
    <row r="428" spans="3:3" ht="15.75" customHeight="1">
      <c r="C428" s="351"/>
    </row>
    <row r="429" spans="3:3" ht="15.75" customHeight="1">
      <c r="C429" s="351"/>
    </row>
    <row r="430" spans="3:3" ht="15.75" customHeight="1">
      <c r="C430" s="351"/>
    </row>
    <row r="431" spans="3:3" ht="15.75" customHeight="1">
      <c r="C431" s="351"/>
    </row>
    <row r="432" spans="3:3" ht="15.75" customHeight="1">
      <c r="C432" s="351"/>
    </row>
    <row r="433" spans="3:3" ht="15.75" customHeight="1">
      <c r="C433" s="351"/>
    </row>
    <row r="434" spans="3:3" ht="15.75" customHeight="1">
      <c r="C434" s="351"/>
    </row>
    <row r="435" spans="3:3" ht="15.75" customHeight="1">
      <c r="C435" s="351"/>
    </row>
    <row r="436" spans="3:3" ht="15.75" customHeight="1">
      <c r="C436" s="351"/>
    </row>
    <row r="437" spans="3:3" ht="15.75" customHeight="1">
      <c r="C437" s="351"/>
    </row>
    <row r="438" spans="3:3" ht="15.75" customHeight="1">
      <c r="C438" s="351"/>
    </row>
    <row r="439" spans="3:3" ht="15.75" customHeight="1">
      <c r="C439" s="351"/>
    </row>
    <row r="440" spans="3:3" ht="15.75" customHeight="1">
      <c r="C440" s="351"/>
    </row>
    <row r="441" spans="3:3" ht="15.75" customHeight="1">
      <c r="C441" s="351"/>
    </row>
    <row r="442" spans="3:3" ht="15.75" customHeight="1">
      <c r="C442" s="351"/>
    </row>
    <row r="443" spans="3:3" ht="15.75" customHeight="1">
      <c r="C443" s="351"/>
    </row>
    <row r="444" spans="3:3" ht="15.75" customHeight="1">
      <c r="C444" s="351"/>
    </row>
    <row r="445" spans="3:3" ht="15.75" customHeight="1">
      <c r="C445" s="351"/>
    </row>
    <row r="446" spans="3:3" ht="15.75" customHeight="1">
      <c r="C446" s="351"/>
    </row>
    <row r="447" spans="3:3" ht="15.75" customHeight="1">
      <c r="C447" s="351"/>
    </row>
    <row r="448" spans="3:3" ht="15.75" customHeight="1">
      <c r="C448" s="351"/>
    </row>
    <row r="449" spans="3:3" ht="15.75" customHeight="1">
      <c r="C449" s="351"/>
    </row>
    <row r="450" spans="3:3" ht="15.75" customHeight="1">
      <c r="C450" s="351"/>
    </row>
    <row r="451" spans="3:3" ht="15.75" customHeight="1">
      <c r="C451" s="351"/>
    </row>
    <row r="452" spans="3:3" ht="15.75" customHeight="1">
      <c r="C452" s="351"/>
    </row>
    <row r="453" spans="3:3" ht="15.75" customHeight="1">
      <c r="C453" s="351"/>
    </row>
    <row r="454" spans="3:3" ht="15.75" customHeight="1">
      <c r="C454" s="351"/>
    </row>
    <row r="455" spans="3:3" ht="15.75" customHeight="1">
      <c r="C455" s="351"/>
    </row>
    <row r="456" spans="3:3" ht="15.75" customHeight="1">
      <c r="C456" s="351"/>
    </row>
    <row r="457" spans="3:3" ht="15.75" customHeight="1">
      <c r="C457" s="351"/>
    </row>
    <row r="458" spans="3:3" ht="15.75" customHeight="1">
      <c r="C458" s="351"/>
    </row>
    <row r="459" spans="3:3" ht="15.75" customHeight="1">
      <c r="C459" s="351"/>
    </row>
    <row r="460" spans="3:3" ht="15.75" customHeight="1">
      <c r="C460" s="351"/>
    </row>
    <row r="461" spans="3:3" ht="15.75" customHeight="1">
      <c r="C461" s="351"/>
    </row>
    <row r="462" spans="3:3" ht="15.75" customHeight="1">
      <c r="C462" s="351"/>
    </row>
    <row r="463" spans="3:3" ht="15.75" customHeight="1">
      <c r="C463" s="351"/>
    </row>
    <row r="464" spans="3:3" ht="15.75" customHeight="1">
      <c r="C464" s="351"/>
    </row>
    <row r="465" spans="3:3" ht="15.75" customHeight="1">
      <c r="C465" s="351"/>
    </row>
    <row r="466" spans="3:3" ht="15.75" customHeight="1">
      <c r="C466" s="351"/>
    </row>
    <row r="467" spans="3:3" ht="15.75" customHeight="1">
      <c r="C467" s="351"/>
    </row>
    <row r="468" spans="3:3" ht="15.75" customHeight="1">
      <c r="C468" s="351"/>
    </row>
    <row r="469" spans="3:3" ht="15.75" customHeight="1">
      <c r="C469" s="351"/>
    </row>
    <row r="470" spans="3:3" ht="15.75" customHeight="1">
      <c r="C470" s="351"/>
    </row>
    <row r="471" spans="3:3" ht="15.75" customHeight="1">
      <c r="C471" s="351"/>
    </row>
    <row r="472" spans="3:3" ht="15.75" customHeight="1">
      <c r="C472" s="351"/>
    </row>
    <row r="473" spans="3:3" ht="15.75" customHeight="1">
      <c r="C473" s="351"/>
    </row>
    <row r="474" spans="3:3" ht="15.75" customHeight="1">
      <c r="C474" s="351"/>
    </row>
    <row r="475" spans="3:3" ht="15.75" customHeight="1">
      <c r="C475" s="351"/>
    </row>
    <row r="476" spans="3:3" ht="15.75" customHeight="1">
      <c r="C476" s="351"/>
    </row>
    <row r="477" spans="3:3" ht="15.75" customHeight="1">
      <c r="C477" s="351"/>
    </row>
    <row r="478" spans="3:3" ht="15.75" customHeight="1">
      <c r="C478" s="351"/>
    </row>
    <row r="479" spans="3:3" ht="15.75" customHeight="1">
      <c r="C479" s="351"/>
    </row>
    <row r="480" spans="3:3" ht="15.75" customHeight="1">
      <c r="C480" s="351"/>
    </row>
    <row r="481" spans="3:3" ht="15.75" customHeight="1">
      <c r="C481" s="351"/>
    </row>
    <row r="482" spans="3:3" ht="15.75" customHeight="1">
      <c r="C482" s="351"/>
    </row>
    <row r="483" spans="3:3" ht="15.75" customHeight="1">
      <c r="C483" s="351"/>
    </row>
    <row r="484" spans="3:3" ht="15.75" customHeight="1">
      <c r="C484" s="351"/>
    </row>
    <row r="485" spans="3:3" ht="15.75" customHeight="1">
      <c r="C485" s="351"/>
    </row>
    <row r="486" spans="3:3" ht="15.75" customHeight="1">
      <c r="C486" s="351"/>
    </row>
    <row r="487" spans="3:3" ht="15.75" customHeight="1">
      <c r="C487" s="351"/>
    </row>
    <row r="488" spans="3:3" ht="15.75" customHeight="1">
      <c r="C488" s="351"/>
    </row>
    <row r="489" spans="3:3" ht="15.75" customHeight="1">
      <c r="C489" s="351"/>
    </row>
    <row r="490" spans="3:3" ht="15.75" customHeight="1">
      <c r="C490" s="351"/>
    </row>
    <row r="491" spans="3:3" ht="15.75" customHeight="1">
      <c r="C491" s="351"/>
    </row>
    <row r="492" spans="3:3" ht="15.75" customHeight="1">
      <c r="C492" s="351"/>
    </row>
    <row r="493" spans="3:3" ht="15.75" customHeight="1">
      <c r="C493" s="351"/>
    </row>
    <row r="494" spans="3:3" ht="15.75" customHeight="1">
      <c r="C494" s="351"/>
    </row>
    <row r="495" spans="3:3" ht="15.75" customHeight="1">
      <c r="C495" s="351"/>
    </row>
    <row r="496" spans="3:3" ht="15.75" customHeight="1">
      <c r="C496" s="351"/>
    </row>
    <row r="497" spans="3:3" ht="15.75" customHeight="1">
      <c r="C497" s="351"/>
    </row>
    <row r="498" spans="3:3" ht="15.75" customHeight="1">
      <c r="C498" s="351"/>
    </row>
    <row r="499" spans="3:3" ht="15.75" customHeight="1">
      <c r="C499" s="351"/>
    </row>
    <row r="500" spans="3:3" ht="15.75" customHeight="1">
      <c r="C500" s="351"/>
    </row>
    <row r="501" spans="3:3" ht="15.75" customHeight="1">
      <c r="C501" s="351"/>
    </row>
    <row r="502" spans="3:3" ht="15.75" customHeight="1">
      <c r="C502" s="351"/>
    </row>
    <row r="503" spans="3:3" ht="15.75" customHeight="1">
      <c r="C503" s="351"/>
    </row>
    <row r="504" spans="3:3" ht="15.75" customHeight="1">
      <c r="C504" s="351"/>
    </row>
    <row r="505" spans="3:3" ht="15.75" customHeight="1">
      <c r="C505" s="351"/>
    </row>
    <row r="506" spans="3:3" ht="15.75" customHeight="1">
      <c r="C506" s="351"/>
    </row>
    <row r="507" spans="3:3" ht="15.75" customHeight="1">
      <c r="C507" s="351"/>
    </row>
    <row r="508" spans="3:3" ht="15.75" customHeight="1">
      <c r="C508" s="351"/>
    </row>
    <row r="509" spans="3:3" ht="15.75" customHeight="1">
      <c r="C509" s="351"/>
    </row>
    <row r="510" spans="3:3" ht="15.75" customHeight="1">
      <c r="C510" s="351"/>
    </row>
    <row r="511" spans="3:3" ht="15.75" customHeight="1">
      <c r="C511" s="351"/>
    </row>
    <row r="512" spans="3:3" ht="15.75" customHeight="1">
      <c r="C512" s="351"/>
    </row>
    <row r="513" spans="3:3" ht="15.75" customHeight="1">
      <c r="C513" s="351"/>
    </row>
    <row r="514" spans="3:3" ht="15.75" customHeight="1">
      <c r="C514" s="351"/>
    </row>
    <row r="515" spans="3:3" ht="15.75" customHeight="1">
      <c r="C515" s="351"/>
    </row>
    <row r="516" spans="3:3" ht="15.75" customHeight="1">
      <c r="C516" s="351"/>
    </row>
    <row r="517" spans="3:3" ht="15.75" customHeight="1">
      <c r="C517" s="351"/>
    </row>
    <row r="518" spans="3:3" ht="15.75" customHeight="1">
      <c r="C518" s="351"/>
    </row>
    <row r="519" spans="3:3" ht="15.75" customHeight="1">
      <c r="C519" s="351"/>
    </row>
    <row r="520" spans="3:3" ht="15.75" customHeight="1">
      <c r="C520" s="351"/>
    </row>
    <row r="521" spans="3:3" ht="15.75" customHeight="1">
      <c r="C521" s="351"/>
    </row>
    <row r="522" spans="3:3" ht="15.75" customHeight="1">
      <c r="C522" s="351"/>
    </row>
    <row r="523" spans="3:3" ht="15.75" customHeight="1">
      <c r="C523" s="351"/>
    </row>
    <row r="524" spans="3:3" ht="15.75" customHeight="1">
      <c r="C524" s="351"/>
    </row>
    <row r="525" spans="3:3" ht="15.75" customHeight="1">
      <c r="C525" s="351"/>
    </row>
    <row r="526" spans="3:3" ht="15.75" customHeight="1">
      <c r="C526" s="351"/>
    </row>
    <row r="527" spans="3:3" ht="15.75" customHeight="1">
      <c r="C527" s="351"/>
    </row>
    <row r="528" spans="3:3" ht="15.75" customHeight="1">
      <c r="C528" s="351"/>
    </row>
    <row r="529" spans="3:3" ht="15.75" customHeight="1">
      <c r="C529" s="351"/>
    </row>
    <row r="530" spans="3:3" ht="15.75" customHeight="1">
      <c r="C530" s="351"/>
    </row>
    <row r="531" spans="3:3" ht="15.75" customHeight="1">
      <c r="C531" s="351"/>
    </row>
    <row r="532" spans="3:3" ht="15.75" customHeight="1">
      <c r="C532" s="351"/>
    </row>
    <row r="533" spans="3:3" ht="15.75" customHeight="1">
      <c r="C533" s="351"/>
    </row>
    <row r="534" spans="3:3" ht="15.75" customHeight="1">
      <c r="C534" s="351"/>
    </row>
    <row r="535" spans="3:3" ht="15.75" customHeight="1">
      <c r="C535" s="351"/>
    </row>
    <row r="536" spans="3:3" ht="15.75" customHeight="1">
      <c r="C536" s="351"/>
    </row>
    <row r="537" spans="3:3" ht="15.75" customHeight="1">
      <c r="C537" s="351"/>
    </row>
    <row r="538" spans="3:3" ht="15.75" customHeight="1">
      <c r="C538" s="351"/>
    </row>
    <row r="539" spans="3:3" ht="15.75" customHeight="1">
      <c r="C539" s="351"/>
    </row>
    <row r="540" spans="3:3" ht="15.75" customHeight="1">
      <c r="C540" s="351"/>
    </row>
    <row r="541" spans="3:3" ht="15.75" customHeight="1">
      <c r="C541" s="351"/>
    </row>
    <row r="542" spans="3:3" ht="15.75" customHeight="1">
      <c r="C542" s="351"/>
    </row>
    <row r="543" spans="3:3" ht="15.75" customHeight="1">
      <c r="C543" s="351"/>
    </row>
    <row r="544" spans="3:3" ht="15.75" customHeight="1">
      <c r="C544" s="351"/>
    </row>
    <row r="545" spans="3:3" ht="15.75" customHeight="1">
      <c r="C545" s="351"/>
    </row>
    <row r="546" spans="3:3" ht="15.75" customHeight="1">
      <c r="C546" s="351"/>
    </row>
    <row r="547" spans="3:3" ht="15.75" customHeight="1">
      <c r="C547" s="351"/>
    </row>
    <row r="548" spans="3:3" ht="15.75" customHeight="1">
      <c r="C548" s="351"/>
    </row>
    <row r="549" spans="3:3" ht="15.75" customHeight="1">
      <c r="C549" s="351"/>
    </row>
    <row r="550" spans="3:3" ht="15.75" customHeight="1">
      <c r="C550" s="351"/>
    </row>
    <row r="551" spans="3:3" ht="15.75" customHeight="1">
      <c r="C551" s="351"/>
    </row>
    <row r="552" spans="3:3" ht="15.75" customHeight="1">
      <c r="C552" s="351"/>
    </row>
    <row r="553" spans="3:3" ht="15.75" customHeight="1">
      <c r="C553" s="351"/>
    </row>
    <row r="554" spans="3:3" ht="15.75" customHeight="1">
      <c r="C554" s="351"/>
    </row>
    <row r="555" spans="3:3" ht="15.75" customHeight="1">
      <c r="C555" s="351"/>
    </row>
    <row r="556" spans="3:3" ht="15.75" customHeight="1">
      <c r="C556" s="351"/>
    </row>
    <row r="557" spans="3:3" ht="15.75" customHeight="1">
      <c r="C557" s="351"/>
    </row>
    <row r="558" spans="3:3" ht="15.75" customHeight="1">
      <c r="C558" s="351"/>
    </row>
    <row r="559" spans="3:3" ht="15.75" customHeight="1">
      <c r="C559" s="351"/>
    </row>
    <row r="560" spans="3:3" ht="15.75" customHeight="1">
      <c r="C560" s="351"/>
    </row>
    <row r="561" spans="3:3" ht="15.75" customHeight="1">
      <c r="C561" s="351"/>
    </row>
    <row r="562" spans="3:3" ht="15.75" customHeight="1">
      <c r="C562" s="351"/>
    </row>
    <row r="563" spans="3:3" ht="15.75" customHeight="1">
      <c r="C563" s="351"/>
    </row>
    <row r="564" spans="3:3" ht="15.75" customHeight="1">
      <c r="C564" s="351"/>
    </row>
    <row r="565" spans="3:3" ht="15.75" customHeight="1">
      <c r="C565" s="351"/>
    </row>
    <row r="566" spans="3:3" ht="15.75" customHeight="1">
      <c r="C566" s="351"/>
    </row>
    <row r="567" spans="3:3" ht="15.75" customHeight="1">
      <c r="C567" s="351"/>
    </row>
    <row r="568" spans="3:3" ht="15.75" customHeight="1">
      <c r="C568" s="351"/>
    </row>
    <row r="569" spans="3:3" ht="15.75" customHeight="1">
      <c r="C569" s="351"/>
    </row>
    <row r="570" spans="3:3" ht="15.75" customHeight="1">
      <c r="C570" s="351"/>
    </row>
    <row r="571" spans="3:3" ht="15.75" customHeight="1">
      <c r="C571" s="351"/>
    </row>
    <row r="572" spans="3:3" ht="15.75" customHeight="1">
      <c r="C572" s="351"/>
    </row>
    <row r="573" spans="3:3" ht="15.75" customHeight="1">
      <c r="C573" s="351"/>
    </row>
    <row r="574" spans="3:3" ht="15.75" customHeight="1">
      <c r="C574" s="351"/>
    </row>
    <row r="575" spans="3:3" ht="15.75" customHeight="1">
      <c r="C575" s="351"/>
    </row>
    <row r="576" spans="3:3" ht="15.75" customHeight="1">
      <c r="C576" s="351"/>
    </row>
    <row r="577" spans="3:3" ht="15.75" customHeight="1">
      <c r="C577" s="351"/>
    </row>
    <row r="578" spans="3:3" ht="15.75" customHeight="1">
      <c r="C578" s="351"/>
    </row>
    <row r="579" spans="3:3" ht="15.75" customHeight="1">
      <c r="C579" s="351"/>
    </row>
    <row r="580" spans="3:3" ht="15.75" customHeight="1">
      <c r="C580" s="351"/>
    </row>
    <row r="581" spans="3:3" ht="15.75" customHeight="1">
      <c r="C581" s="351"/>
    </row>
    <row r="582" spans="3:3" ht="15.75" customHeight="1">
      <c r="C582" s="351"/>
    </row>
    <row r="583" spans="3:3" ht="15.75" customHeight="1">
      <c r="C583" s="351"/>
    </row>
    <row r="584" spans="3:3" ht="15.75" customHeight="1">
      <c r="C584" s="351"/>
    </row>
    <row r="585" spans="3:3" ht="15.75" customHeight="1">
      <c r="C585" s="351"/>
    </row>
    <row r="586" spans="3:3" ht="15.75" customHeight="1">
      <c r="C586" s="351"/>
    </row>
    <row r="587" spans="3:3" ht="15.75" customHeight="1">
      <c r="C587" s="351"/>
    </row>
    <row r="588" spans="3:3" ht="15.75" customHeight="1">
      <c r="C588" s="351"/>
    </row>
    <row r="589" spans="3:3" ht="15.75" customHeight="1">
      <c r="C589" s="351"/>
    </row>
    <row r="590" spans="3:3" ht="15.75" customHeight="1">
      <c r="C590" s="351"/>
    </row>
    <row r="591" spans="3:3" ht="15.75" customHeight="1">
      <c r="C591" s="351"/>
    </row>
    <row r="592" spans="3:3" ht="15.75" customHeight="1">
      <c r="C592" s="351"/>
    </row>
    <row r="593" spans="3:3" ht="15.75" customHeight="1">
      <c r="C593" s="351"/>
    </row>
    <row r="594" spans="3:3" ht="15.75" customHeight="1">
      <c r="C594" s="351"/>
    </row>
    <row r="595" spans="3:3" ht="15.75" customHeight="1">
      <c r="C595" s="351"/>
    </row>
    <row r="596" spans="3:3" ht="15.75" customHeight="1">
      <c r="C596" s="351"/>
    </row>
    <row r="597" spans="3:3" ht="15.75" customHeight="1">
      <c r="C597" s="351"/>
    </row>
    <row r="598" spans="3:3" ht="15.75" customHeight="1">
      <c r="C598" s="351"/>
    </row>
    <row r="599" spans="3:3" ht="15.75" customHeight="1">
      <c r="C599" s="351"/>
    </row>
    <row r="600" spans="3:3" ht="15.75" customHeight="1">
      <c r="C600" s="351"/>
    </row>
    <row r="601" spans="3:3" ht="15.75" customHeight="1">
      <c r="C601" s="351"/>
    </row>
    <row r="602" spans="3:3" ht="15.75" customHeight="1">
      <c r="C602" s="351"/>
    </row>
    <row r="603" spans="3:3" ht="15.75" customHeight="1">
      <c r="C603" s="351"/>
    </row>
    <row r="604" spans="3:3" ht="15.75" customHeight="1">
      <c r="C604" s="351"/>
    </row>
    <row r="605" spans="3:3" ht="15.75" customHeight="1">
      <c r="C605" s="351"/>
    </row>
    <row r="606" spans="3:3" ht="15.75" customHeight="1">
      <c r="C606" s="351"/>
    </row>
    <row r="607" spans="3:3" ht="15.75" customHeight="1">
      <c r="C607" s="351"/>
    </row>
    <row r="608" spans="3:3" ht="15.75" customHeight="1">
      <c r="C608" s="351"/>
    </row>
    <row r="609" spans="3:3" ht="15.75" customHeight="1">
      <c r="C609" s="351"/>
    </row>
    <row r="610" spans="3:3" ht="15.75" customHeight="1">
      <c r="C610" s="351"/>
    </row>
    <row r="611" spans="3:3" ht="15.75" customHeight="1">
      <c r="C611" s="351"/>
    </row>
    <row r="612" spans="3:3" ht="15.75" customHeight="1">
      <c r="C612" s="351"/>
    </row>
    <row r="613" spans="3:3" ht="15.75" customHeight="1">
      <c r="C613" s="351"/>
    </row>
    <row r="614" spans="3:3" ht="15.75" customHeight="1">
      <c r="C614" s="351"/>
    </row>
    <row r="615" spans="3:3" ht="15.75" customHeight="1">
      <c r="C615" s="351"/>
    </row>
    <row r="616" spans="3:3" ht="15.75" customHeight="1">
      <c r="C616" s="351"/>
    </row>
    <row r="617" spans="3:3" ht="15.75" customHeight="1">
      <c r="C617" s="351"/>
    </row>
    <row r="618" spans="3:3" ht="15.75" customHeight="1">
      <c r="C618" s="351"/>
    </row>
    <row r="619" spans="3:3" ht="15.75" customHeight="1">
      <c r="C619" s="351"/>
    </row>
    <row r="620" spans="3:3" ht="15.75" customHeight="1">
      <c r="C620" s="351"/>
    </row>
    <row r="621" spans="3:3" ht="15.75" customHeight="1">
      <c r="C621" s="351"/>
    </row>
    <row r="622" spans="3:3" ht="15.75" customHeight="1">
      <c r="C622" s="351"/>
    </row>
    <row r="623" spans="3:3" ht="15.75" customHeight="1">
      <c r="C623" s="351"/>
    </row>
    <row r="624" spans="3:3" ht="15.75" customHeight="1">
      <c r="C624" s="351"/>
    </row>
    <row r="625" spans="3:3" ht="15.75" customHeight="1">
      <c r="C625" s="351"/>
    </row>
    <row r="626" spans="3:3" ht="15.75" customHeight="1">
      <c r="C626" s="351"/>
    </row>
    <row r="627" spans="3:3" ht="15.75" customHeight="1">
      <c r="C627" s="351"/>
    </row>
    <row r="628" spans="3:3" ht="15.75" customHeight="1">
      <c r="C628" s="351"/>
    </row>
    <row r="629" spans="3:3" ht="15.75" customHeight="1">
      <c r="C629" s="351"/>
    </row>
    <row r="630" spans="3:3" ht="15.75" customHeight="1">
      <c r="C630" s="351"/>
    </row>
    <row r="631" spans="3:3" ht="15.75" customHeight="1">
      <c r="C631" s="351"/>
    </row>
    <row r="632" spans="3:3" ht="15.75" customHeight="1">
      <c r="C632" s="351"/>
    </row>
    <row r="633" spans="3:3" ht="15.75" customHeight="1">
      <c r="C633" s="351"/>
    </row>
    <row r="634" spans="3:3" ht="15.75" customHeight="1">
      <c r="C634" s="351"/>
    </row>
    <row r="635" spans="3:3" ht="15.75" customHeight="1">
      <c r="C635" s="351"/>
    </row>
    <row r="636" spans="3:3" ht="15.75" customHeight="1">
      <c r="C636" s="351"/>
    </row>
    <row r="637" spans="3:3" ht="15.75" customHeight="1">
      <c r="C637" s="351"/>
    </row>
    <row r="638" spans="3:3" ht="15.75" customHeight="1">
      <c r="C638" s="351"/>
    </row>
    <row r="639" spans="3:3" ht="15.75" customHeight="1">
      <c r="C639" s="351"/>
    </row>
    <row r="640" spans="3:3" ht="15.75" customHeight="1">
      <c r="C640" s="351"/>
    </row>
    <row r="641" spans="3:3" ht="15.75" customHeight="1">
      <c r="C641" s="351"/>
    </row>
    <row r="642" spans="3:3" ht="15.75" customHeight="1">
      <c r="C642" s="351"/>
    </row>
    <row r="643" spans="3:3" ht="15.75" customHeight="1">
      <c r="C643" s="351"/>
    </row>
    <row r="644" spans="3:3" ht="15.75" customHeight="1">
      <c r="C644" s="351"/>
    </row>
    <row r="645" spans="3:3" ht="15.75" customHeight="1">
      <c r="C645" s="351"/>
    </row>
    <row r="646" spans="3:3" ht="15.75" customHeight="1">
      <c r="C646" s="351"/>
    </row>
    <row r="647" spans="3:3" ht="15.75" customHeight="1">
      <c r="C647" s="351"/>
    </row>
    <row r="648" spans="3:3" ht="15.75" customHeight="1">
      <c r="C648" s="351"/>
    </row>
    <row r="649" spans="3:3" ht="15.75" customHeight="1">
      <c r="C649" s="351"/>
    </row>
    <row r="650" spans="3:3" ht="15.75" customHeight="1">
      <c r="C650" s="351"/>
    </row>
    <row r="651" spans="3:3" ht="15.75" customHeight="1">
      <c r="C651" s="351"/>
    </row>
    <row r="652" spans="3:3" ht="15.75" customHeight="1">
      <c r="C652" s="351"/>
    </row>
    <row r="653" spans="3:3" ht="15.75" customHeight="1">
      <c r="C653" s="351"/>
    </row>
    <row r="654" spans="3:3" ht="15.75" customHeight="1">
      <c r="C654" s="351"/>
    </row>
    <row r="655" spans="3:3" ht="15.75" customHeight="1">
      <c r="C655" s="351"/>
    </row>
    <row r="656" spans="3:3" ht="15.75" customHeight="1">
      <c r="C656" s="351"/>
    </row>
    <row r="657" spans="3:3" ht="15.75" customHeight="1">
      <c r="C657" s="351"/>
    </row>
    <row r="658" spans="3:3" ht="15.75" customHeight="1">
      <c r="C658" s="351"/>
    </row>
    <row r="659" spans="3:3" ht="15.75" customHeight="1">
      <c r="C659" s="351"/>
    </row>
    <row r="660" spans="3:3" ht="15.75" customHeight="1">
      <c r="C660" s="351"/>
    </row>
    <row r="661" spans="3:3" ht="15.75" customHeight="1">
      <c r="C661" s="351"/>
    </row>
    <row r="662" spans="3:3" ht="15.75" customHeight="1">
      <c r="C662" s="351"/>
    </row>
    <row r="663" spans="3:3" ht="15.75" customHeight="1">
      <c r="C663" s="351"/>
    </row>
    <row r="664" spans="3:3" ht="15.75" customHeight="1">
      <c r="C664" s="351"/>
    </row>
    <row r="665" spans="3:3" ht="15.75" customHeight="1">
      <c r="C665" s="351"/>
    </row>
    <row r="666" spans="3:3" ht="15.75" customHeight="1">
      <c r="C666" s="351"/>
    </row>
    <row r="667" spans="3:3" ht="15.75" customHeight="1">
      <c r="C667" s="351"/>
    </row>
    <row r="668" spans="3:3" ht="15.75" customHeight="1">
      <c r="C668" s="351"/>
    </row>
    <row r="669" spans="3:3" ht="15.75" customHeight="1">
      <c r="C669" s="351"/>
    </row>
    <row r="670" spans="3:3" ht="15.75" customHeight="1">
      <c r="C670" s="351"/>
    </row>
    <row r="671" spans="3:3" ht="15.75" customHeight="1">
      <c r="C671" s="351"/>
    </row>
    <row r="672" spans="3:3" ht="15.75" customHeight="1">
      <c r="C672" s="351"/>
    </row>
    <row r="673" spans="3:3" ht="15.75" customHeight="1">
      <c r="C673" s="351"/>
    </row>
    <row r="674" spans="3:3" ht="15.75" customHeight="1">
      <c r="C674" s="351"/>
    </row>
    <row r="675" spans="3:3" ht="15.75" customHeight="1">
      <c r="C675" s="351"/>
    </row>
    <row r="676" spans="3:3" ht="15.75" customHeight="1">
      <c r="C676" s="351"/>
    </row>
    <row r="677" spans="3:3" ht="15.75" customHeight="1">
      <c r="C677" s="351"/>
    </row>
    <row r="678" spans="3:3" ht="15.75" customHeight="1">
      <c r="C678" s="351"/>
    </row>
    <row r="679" spans="3:3" ht="15.75" customHeight="1">
      <c r="C679" s="351"/>
    </row>
    <row r="680" spans="3:3" ht="15.75" customHeight="1">
      <c r="C680" s="351"/>
    </row>
    <row r="681" spans="3:3" ht="15.75" customHeight="1">
      <c r="C681" s="351"/>
    </row>
    <row r="682" spans="3:3" ht="15.75" customHeight="1">
      <c r="C682" s="351"/>
    </row>
    <row r="683" spans="3:3" ht="15.75" customHeight="1">
      <c r="C683" s="351"/>
    </row>
    <row r="684" spans="3:3" ht="15.75" customHeight="1">
      <c r="C684" s="351"/>
    </row>
    <row r="685" spans="3:3" ht="15.75" customHeight="1">
      <c r="C685" s="351"/>
    </row>
    <row r="686" spans="3:3" ht="15.75" customHeight="1">
      <c r="C686" s="351"/>
    </row>
    <row r="687" spans="3:3" ht="15.75" customHeight="1">
      <c r="C687" s="351"/>
    </row>
    <row r="688" spans="3:3" ht="15.75" customHeight="1">
      <c r="C688" s="351"/>
    </row>
    <row r="689" spans="3:3" ht="15.75" customHeight="1">
      <c r="C689" s="351"/>
    </row>
    <row r="690" spans="3:3" ht="15.75" customHeight="1">
      <c r="C690" s="351"/>
    </row>
    <row r="691" spans="3:3" ht="15.75" customHeight="1">
      <c r="C691" s="351"/>
    </row>
    <row r="692" spans="3:3" ht="15.75" customHeight="1">
      <c r="C692" s="351"/>
    </row>
    <row r="693" spans="3:3" ht="15.75" customHeight="1">
      <c r="C693" s="351"/>
    </row>
    <row r="694" spans="3:3" ht="15.75" customHeight="1">
      <c r="C694" s="351"/>
    </row>
    <row r="695" spans="3:3" ht="15.75" customHeight="1">
      <c r="C695" s="351"/>
    </row>
    <row r="696" spans="3:3" ht="15.75" customHeight="1">
      <c r="C696" s="351"/>
    </row>
    <row r="697" spans="3:3" ht="15.75" customHeight="1">
      <c r="C697" s="351"/>
    </row>
    <row r="698" spans="3:3" ht="15.75" customHeight="1">
      <c r="C698" s="351"/>
    </row>
    <row r="699" spans="3:3" ht="15.75" customHeight="1">
      <c r="C699" s="351"/>
    </row>
    <row r="700" spans="3:3" ht="15.75" customHeight="1">
      <c r="C700" s="351"/>
    </row>
    <row r="701" spans="3:3" ht="15.75" customHeight="1">
      <c r="C701" s="351"/>
    </row>
    <row r="702" spans="3:3" ht="15.75" customHeight="1">
      <c r="C702" s="351"/>
    </row>
    <row r="703" spans="3:3" ht="15.75" customHeight="1">
      <c r="C703" s="351"/>
    </row>
    <row r="704" spans="3:3" ht="15.75" customHeight="1">
      <c r="C704" s="351"/>
    </row>
    <row r="705" spans="3:3" ht="15.75" customHeight="1">
      <c r="C705" s="351"/>
    </row>
    <row r="706" spans="3:3" ht="15.75" customHeight="1">
      <c r="C706" s="351"/>
    </row>
    <row r="707" spans="3:3" ht="15.75" customHeight="1">
      <c r="C707" s="351"/>
    </row>
    <row r="708" spans="3:3" ht="15.75" customHeight="1">
      <c r="C708" s="351"/>
    </row>
    <row r="709" spans="3:3" ht="15.75" customHeight="1">
      <c r="C709" s="351"/>
    </row>
    <row r="710" spans="3:3" ht="15.75" customHeight="1">
      <c r="C710" s="351"/>
    </row>
    <row r="711" spans="3:3" ht="15.75" customHeight="1">
      <c r="C711" s="351"/>
    </row>
    <row r="712" spans="3:3" ht="15.75" customHeight="1">
      <c r="C712" s="351"/>
    </row>
    <row r="713" spans="3:3" ht="15.75" customHeight="1">
      <c r="C713" s="351"/>
    </row>
    <row r="714" spans="3:3" ht="15.75" customHeight="1">
      <c r="C714" s="351"/>
    </row>
    <row r="715" spans="3:3" ht="15.75" customHeight="1">
      <c r="C715" s="351"/>
    </row>
    <row r="716" spans="3:3" ht="15.75" customHeight="1">
      <c r="C716" s="351"/>
    </row>
    <row r="717" spans="3:3" ht="15.75" customHeight="1">
      <c r="C717" s="351"/>
    </row>
    <row r="718" spans="3:3" ht="15.75" customHeight="1">
      <c r="C718" s="351"/>
    </row>
    <row r="719" spans="3:3" ht="15.75" customHeight="1">
      <c r="C719" s="351"/>
    </row>
    <row r="720" spans="3:3" ht="15.75" customHeight="1">
      <c r="C720" s="351"/>
    </row>
    <row r="721" spans="3:3" ht="15.75" customHeight="1">
      <c r="C721" s="351"/>
    </row>
    <row r="722" spans="3:3" ht="15.75" customHeight="1">
      <c r="C722" s="351"/>
    </row>
    <row r="723" spans="3:3" ht="15.75" customHeight="1">
      <c r="C723" s="351"/>
    </row>
    <row r="724" spans="3:3" ht="15.75" customHeight="1">
      <c r="C724" s="351"/>
    </row>
    <row r="725" spans="3:3" ht="15.75" customHeight="1">
      <c r="C725" s="351"/>
    </row>
    <row r="726" spans="3:3" ht="15.75" customHeight="1">
      <c r="C726" s="351"/>
    </row>
    <row r="727" spans="3:3" ht="15.75" customHeight="1">
      <c r="C727" s="351"/>
    </row>
    <row r="728" spans="3:3" ht="15.75" customHeight="1">
      <c r="C728" s="351"/>
    </row>
    <row r="729" spans="3:3" ht="15.75" customHeight="1">
      <c r="C729" s="351"/>
    </row>
    <row r="730" spans="3:3" ht="15.75" customHeight="1">
      <c r="C730" s="351"/>
    </row>
    <row r="731" spans="3:3" ht="15.75" customHeight="1">
      <c r="C731" s="351"/>
    </row>
    <row r="732" spans="3:3" ht="15.75" customHeight="1">
      <c r="C732" s="351"/>
    </row>
    <row r="733" spans="3:3" ht="15.75" customHeight="1">
      <c r="C733" s="351"/>
    </row>
    <row r="734" spans="3:3" ht="15.75" customHeight="1">
      <c r="C734" s="351"/>
    </row>
    <row r="735" spans="3:3" ht="15.75" customHeight="1">
      <c r="C735" s="351"/>
    </row>
    <row r="736" spans="3:3" ht="15.75" customHeight="1">
      <c r="C736" s="351"/>
    </row>
    <row r="737" spans="3:3" ht="15.75" customHeight="1">
      <c r="C737" s="351"/>
    </row>
    <row r="738" spans="3:3" ht="15.75" customHeight="1">
      <c r="C738" s="351"/>
    </row>
    <row r="739" spans="3:3" ht="15.75" customHeight="1">
      <c r="C739" s="351"/>
    </row>
    <row r="740" spans="3:3" ht="15.75" customHeight="1">
      <c r="C740" s="351"/>
    </row>
    <row r="741" spans="3:3" ht="15.75" customHeight="1">
      <c r="C741" s="351"/>
    </row>
    <row r="742" spans="3:3" ht="15.75" customHeight="1">
      <c r="C742" s="351"/>
    </row>
    <row r="743" spans="3:3" ht="15.75" customHeight="1">
      <c r="C743" s="351"/>
    </row>
    <row r="744" spans="3:3" ht="15.75" customHeight="1">
      <c r="C744" s="351"/>
    </row>
    <row r="745" spans="3:3" ht="15.75" customHeight="1">
      <c r="C745" s="351"/>
    </row>
    <row r="746" spans="3:3" ht="15.75" customHeight="1">
      <c r="C746" s="351"/>
    </row>
    <row r="747" spans="3:3" ht="15.75" customHeight="1">
      <c r="C747" s="351"/>
    </row>
    <row r="748" spans="3:3" ht="15.75" customHeight="1">
      <c r="C748" s="351"/>
    </row>
    <row r="749" spans="3:3" ht="15.75" customHeight="1">
      <c r="C749" s="351"/>
    </row>
    <row r="750" spans="3:3" ht="15.75" customHeight="1">
      <c r="C750" s="351"/>
    </row>
    <row r="751" spans="3:3" ht="15.75" customHeight="1">
      <c r="C751" s="351"/>
    </row>
    <row r="752" spans="3:3" ht="15.75" customHeight="1">
      <c r="C752" s="351"/>
    </row>
    <row r="753" spans="3:3" ht="15.75" customHeight="1">
      <c r="C753" s="351"/>
    </row>
    <row r="754" spans="3:3" ht="15.75" customHeight="1">
      <c r="C754" s="351"/>
    </row>
    <row r="755" spans="3:3" ht="15.75" customHeight="1">
      <c r="C755" s="351"/>
    </row>
    <row r="756" spans="3:3" ht="15.75" customHeight="1">
      <c r="C756" s="351"/>
    </row>
    <row r="757" spans="3:3" ht="15.75" customHeight="1">
      <c r="C757" s="351"/>
    </row>
    <row r="758" spans="3:3" ht="15.75" customHeight="1">
      <c r="C758" s="351"/>
    </row>
    <row r="759" spans="3:3" ht="15.75" customHeight="1">
      <c r="C759" s="351"/>
    </row>
    <row r="760" spans="3:3" ht="15.75" customHeight="1">
      <c r="C760" s="351"/>
    </row>
    <row r="761" spans="3:3" ht="15.75" customHeight="1">
      <c r="C761" s="351"/>
    </row>
    <row r="762" spans="3:3" ht="15.75" customHeight="1">
      <c r="C762" s="351"/>
    </row>
    <row r="763" spans="3:3" ht="15.75" customHeight="1">
      <c r="C763" s="351"/>
    </row>
    <row r="764" spans="3:3" ht="15.75" customHeight="1">
      <c r="C764" s="351"/>
    </row>
    <row r="765" spans="3:3" ht="15.75" customHeight="1">
      <c r="C765" s="351"/>
    </row>
    <row r="766" spans="3:3" ht="15.75" customHeight="1">
      <c r="C766" s="351"/>
    </row>
    <row r="767" spans="3:3" ht="15.75" customHeight="1">
      <c r="C767" s="351"/>
    </row>
    <row r="768" spans="3:3" ht="15.75" customHeight="1">
      <c r="C768" s="351"/>
    </row>
    <row r="769" spans="3:3" ht="15.75" customHeight="1">
      <c r="C769" s="351"/>
    </row>
    <row r="770" spans="3:3" ht="15.75" customHeight="1">
      <c r="C770" s="351"/>
    </row>
    <row r="771" spans="3:3" ht="15.75" customHeight="1">
      <c r="C771" s="351"/>
    </row>
    <row r="772" spans="3:3" ht="15.75" customHeight="1">
      <c r="C772" s="351"/>
    </row>
    <row r="773" spans="3:3" ht="15.75" customHeight="1">
      <c r="C773" s="351"/>
    </row>
    <row r="774" spans="3:3" ht="15.75" customHeight="1">
      <c r="C774" s="351"/>
    </row>
    <row r="775" spans="3:3" ht="15.75" customHeight="1">
      <c r="C775" s="351"/>
    </row>
    <row r="776" spans="3:3" ht="15.75" customHeight="1">
      <c r="C776" s="351"/>
    </row>
    <row r="777" spans="3:3" ht="15.75" customHeight="1">
      <c r="C777" s="351"/>
    </row>
    <row r="778" spans="3:3" ht="15.75" customHeight="1">
      <c r="C778" s="351"/>
    </row>
    <row r="779" spans="3:3" ht="15.75" customHeight="1">
      <c r="C779" s="351"/>
    </row>
    <row r="780" spans="3:3" ht="15.75" customHeight="1">
      <c r="C780" s="351"/>
    </row>
    <row r="781" spans="3:3" ht="15.75" customHeight="1">
      <c r="C781" s="351"/>
    </row>
    <row r="782" spans="3:3" ht="15.75" customHeight="1">
      <c r="C782" s="351"/>
    </row>
    <row r="783" spans="3:3" ht="15.75" customHeight="1">
      <c r="C783" s="351"/>
    </row>
    <row r="784" spans="3:3" ht="15.75" customHeight="1">
      <c r="C784" s="351"/>
    </row>
    <row r="785" spans="3:3" ht="15.75" customHeight="1">
      <c r="C785" s="351"/>
    </row>
    <row r="786" spans="3:3" ht="15.75" customHeight="1">
      <c r="C786" s="351"/>
    </row>
    <row r="787" spans="3:3" ht="15.75" customHeight="1">
      <c r="C787" s="351"/>
    </row>
    <row r="788" spans="3:3" ht="15.75" customHeight="1">
      <c r="C788" s="351"/>
    </row>
    <row r="789" spans="3:3" ht="15.75" customHeight="1">
      <c r="C789" s="351"/>
    </row>
    <row r="790" spans="3:3" ht="15.75" customHeight="1">
      <c r="C790" s="351"/>
    </row>
    <row r="791" spans="3:3" ht="15.75" customHeight="1">
      <c r="C791" s="351"/>
    </row>
    <row r="792" spans="3:3" ht="15.75" customHeight="1">
      <c r="C792" s="351"/>
    </row>
    <row r="793" spans="3:3" ht="15.75" customHeight="1">
      <c r="C793" s="351"/>
    </row>
    <row r="794" spans="3:3" ht="15.75" customHeight="1">
      <c r="C794" s="351"/>
    </row>
    <row r="795" spans="3:3" ht="15.75" customHeight="1">
      <c r="C795" s="351"/>
    </row>
    <row r="796" spans="3:3" ht="15.75" customHeight="1">
      <c r="C796" s="351"/>
    </row>
    <row r="797" spans="3:3" ht="15.75" customHeight="1">
      <c r="C797" s="351"/>
    </row>
    <row r="798" spans="3:3" ht="15.75" customHeight="1">
      <c r="C798" s="351"/>
    </row>
    <row r="799" spans="3:3" ht="15.75" customHeight="1">
      <c r="C799" s="351"/>
    </row>
    <row r="800" spans="3:3" ht="15.75" customHeight="1">
      <c r="C800" s="351"/>
    </row>
    <row r="801" spans="3:3" ht="15.75" customHeight="1">
      <c r="C801" s="351"/>
    </row>
    <row r="802" spans="3:3" ht="15.75" customHeight="1">
      <c r="C802" s="351"/>
    </row>
    <row r="803" spans="3:3" ht="15.75" customHeight="1">
      <c r="C803" s="351"/>
    </row>
    <row r="804" spans="3:3" ht="15.75" customHeight="1">
      <c r="C804" s="351"/>
    </row>
    <row r="805" spans="3:3" ht="15.75" customHeight="1">
      <c r="C805" s="351"/>
    </row>
    <row r="806" spans="3:3" ht="15.75" customHeight="1">
      <c r="C806" s="351"/>
    </row>
    <row r="807" spans="3:3" ht="15.75" customHeight="1">
      <c r="C807" s="351"/>
    </row>
    <row r="808" spans="3:3" ht="15.75" customHeight="1">
      <c r="C808" s="351"/>
    </row>
    <row r="809" spans="3:3" ht="15.75" customHeight="1">
      <c r="C809" s="351"/>
    </row>
    <row r="810" spans="3:3" ht="15.75" customHeight="1">
      <c r="C810" s="351"/>
    </row>
    <row r="811" spans="3:3" ht="15.75" customHeight="1">
      <c r="C811" s="351"/>
    </row>
    <row r="812" spans="3:3" ht="15.75" customHeight="1">
      <c r="C812" s="351"/>
    </row>
    <row r="813" spans="3:3" ht="15.75" customHeight="1">
      <c r="C813" s="351"/>
    </row>
    <row r="814" spans="3:3" ht="15.75" customHeight="1">
      <c r="C814" s="351"/>
    </row>
    <row r="815" spans="3:3" ht="15.75" customHeight="1">
      <c r="C815" s="351"/>
    </row>
    <row r="816" spans="3:3" ht="15.75" customHeight="1">
      <c r="C816" s="351"/>
    </row>
    <row r="817" spans="3:3" ht="15.75" customHeight="1">
      <c r="C817" s="351"/>
    </row>
    <row r="818" spans="3:3" ht="15.75" customHeight="1">
      <c r="C818" s="351"/>
    </row>
    <row r="819" spans="3:3" ht="15.75" customHeight="1">
      <c r="C819" s="351"/>
    </row>
    <row r="820" spans="3:3" ht="15.75" customHeight="1">
      <c r="C820" s="351"/>
    </row>
    <row r="821" spans="3:3" ht="15.75" customHeight="1">
      <c r="C821" s="351"/>
    </row>
    <row r="822" spans="3:3" ht="15.75" customHeight="1">
      <c r="C822" s="351"/>
    </row>
    <row r="823" spans="3:3" ht="15.75" customHeight="1">
      <c r="C823" s="351"/>
    </row>
    <row r="824" spans="3:3" ht="15.75" customHeight="1">
      <c r="C824" s="351"/>
    </row>
    <row r="825" spans="3:3" ht="15.75" customHeight="1">
      <c r="C825" s="351"/>
    </row>
    <row r="826" spans="3:3" ht="15.75" customHeight="1">
      <c r="C826" s="351"/>
    </row>
    <row r="827" spans="3:3" ht="15.75" customHeight="1">
      <c r="C827" s="351"/>
    </row>
    <row r="828" spans="3:3" ht="15.75" customHeight="1">
      <c r="C828" s="351"/>
    </row>
    <row r="829" spans="3:3" ht="15.75" customHeight="1">
      <c r="C829" s="351"/>
    </row>
    <row r="830" spans="3:3" ht="15.75" customHeight="1">
      <c r="C830" s="351"/>
    </row>
    <row r="831" spans="3:3" ht="15.75" customHeight="1">
      <c r="C831" s="351"/>
    </row>
    <row r="832" spans="3:3" ht="15.75" customHeight="1">
      <c r="C832" s="351"/>
    </row>
    <row r="833" spans="3:3" ht="15.75" customHeight="1">
      <c r="C833" s="351"/>
    </row>
    <row r="834" spans="3:3" ht="15.75" customHeight="1">
      <c r="C834" s="351"/>
    </row>
    <row r="835" spans="3:3" ht="15.75" customHeight="1">
      <c r="C835" s="351"/>
    </row>
    <row r="836" spans="3:3" ht="15.75" customHeight="1">
      <c r="C836" s="351"/>
    </row>
    <row r="837" spans="3:3" ht="15.75" customHeight="1">
      <c r="C837" s="351"/>
    </row>
    <row r="838" spans="3:3" ht="15.75" customHeight="1">
      <c r="C838" s="351"/>
    </row>
    <row r="839" spans="3:3" ht="15.75" customHeight="1">
      <c r="C839" s="351"/>
    </row>
    <row r="840" spans="3:3" ht="15.75" customHeight="1">
      <c r="C840" s="351"/>
    </row>
    <row r="841" spans="3:3" ht="15.75" customHeight="1">
      <c r="C841" s="351"/>
    </row>
    <row r="842" spans="3:3" ht="15.75" customHeight="1">
      <c r="C842" s="351"/>
    </row>
    <row r="843" spans="3:3" ht="15.75" customHeight="1">
      <c r="C843" s="351"/>
    </row>
    <row r="844" spans="3:3" ht="15.75" customHeight="1">
      <c r="C844" s="351"/>
    </row>
    <row r="845" spans="3:3" ht="15.75" customHeight="1">
      <c r="C845" s="351"/>
    </row>
    <row r="846" spans="3:3" ht="15.75" customHeight="1">
      <c r="C846" s="351"/>
    </row>
    <row r="847" spans="3:3" ht="15.75" customHeight="1">
      <c r="C847" s="351"/>
    </row>
    <row r="848" spans="3:3" ht="15.75" customHeight="1">
      <c r="C848" s="351"/>
    </row>
    <row r="849" spans="3:3" ht="15.75" customHeight="1">
      <c r="C849" s="351"/>
    </row>
    <row r="850" spans="3:3" ht="15.75" customHeight="1">
      <c r="C850" s="351"/>
    </row>
    <row r="851" spans="3:3" ht="15.75" customHeight="1">
      <c r="C851" s="351"/>
    </row>
    <row r="852" spans="3:3" ht="15.75" customHeight="1">
      <c r="C852" s="351"/>
    </row>
    <row r="853" spans="3:3" ht="15.75" customHeight="1">
      <c r="C853" s="351"/>
    </row>
    <row r="854" spans="3:3" ht="15.75" customHeight="1">
      <c r="C854" s="351"/>
    </row>
    <row r="855" spans="3:3" ht="15.75" customHeight="1">
      <c r="C855" s="351"/>
    </row>
    <row r="856" spans="3:3" ht="15.75" customHeight="1">
      <c r="C856" s="351"/>
    </row>
    <row r="857" spans="3:3" ht="15.75" customHeight="1">
      <c r="C857" s="351"/>
    </row>
    <row r="858" spans="3:3" ht="15.75" customHeight="1">
      <c r="C858" s="351"/>
    </row>
    <row r="859" spans="3:3" ht="15.75" customHeight="1">
      <c r="C859" s="351"/>
    </row>
    <row r="860" spans="3:3" ht="15.75" customHeight="1">
      <c r="C860" s="351"/>
    </row>
    <row r="861" spans="3:3" ht="15.75" customHeight="1">
      <c r="C861" s="351"/>
    </row>
    <row r="862" spans="3:3" ht="15.75" customHeight="1">
      <c r="C862" s="351"/>
    </row>
    <row r="863" spans="3:3" ht="15.75" customHeight="1">
      <c r="C863" s="351"/>
    </row>
    <row r="864" spans="3:3" ht="15.75" customHeight="1">
      <c r="C864" s="351"/>
    </row>
    <row r="865" spans="3:3" ht="15.75" customHeight="1">
      <c r="C865" s="351"/>
    </row>
    <row r="866" spans="3:3" ht="15.75" customHeight="1">
      <c r="C866" s="351"/>
    </row>
    <row r="867" spans="3:3" ht="15.75" customHeight="1">
      <c r="C867" s="351"/>
    </row>
    <row r="868" spans="3:3" ht="15.75" customHeight="1">
      <c r="C868" s="351"/>
    </row>
    <row r="869" spans="3:3" ht="15.75" customHeight="1">
      <c r="C869" s="351"/>
    </row>
    <row r="870" spans="3:3" ht="15.75" customHeight="1">
      <c r="C870" s="351"/>
    </row>
    <row r="871" spans="3:3" ht="15.75" customHeight="1">
      <c r="C871" s="351"/>
    </row>
    <row r="872" spans="3:3" ht="15.75" customHeight="1">
      <c r="C872" s="351"/>
    </row>
    <row r="873" spans="3:3" ht="15.75" customHeight="1">
      <c r="C873" s="351"/>
    </row>
    <row r="874" spans="3:3" ht="15.75" customHeight="1">
      <c r="C874" s="351"/>
    </row>
    <row r="875" spans="3:3" ht="15.75" customHeight="1">
      <c r="C875" s="351"/>
    </row>
    <row r="876" spans="3:3" ht="15.75" customHeight="1">
      <c r="C876" s="351"/>
    </row>
    <row r="877" spans="3:3" ht="15.75" customHeight="1">
      <c r="C877" s="351"/>
    </row>
    <row r="878" spans="3:3" ht="15.75" customHeight="1">
      <c r="C878" s="351"/>
    </row>
    <row r="879" spans="3:3" ht="15.75" customHeight="1">
      <c r="C879" s="351"/>
    </row>
    <row r="880" spans="3:3" ht="15.75" customHeight="1">
      <c r="C880" s="351"/>
    </row>
    <row r="881" spans="3:3" ht="15.75" customHeight="1">
      <c r="C881" s="351"/>
    </row>
    <row r="882" spans="3:3" ht="15.75" customHeight="1">
      <c r="C882" s="351"/>
    </row>
    <row r="883" spans="3:3" ht="15.75" customHeight="1">
      <c r="C883" s="351"/>
    </row>
    <row r="884" spans="3:3" ht="15.75" customHeight="1">
      <c r="C884" s="351"/>
    </row>
    <row r="885" spans="3:3" ht="15.75" customHeight="1">
      <c r="C885" s="351"/>
    </row>
    <row r="886" spans="3:3" ht="15.75" customHeight="1">
      <c r="C886" s="351"/>
    </row>
    <row r="887" spans="3:3" ht="15.75" customHeight="1">
      <c r="C887" s="351"/>
    </row>
    <row r="888" spans="3:3" ht="15.75" customHeight="1">
      <c r="C888" s="351"/>
    </row>
    <row r="889" spans="3:3" ht="15.75" customHeight="1">
      <c r="C889" s="351"/>
    </row>
    <row r="890" spans="3:3" ht="15.75" customHeight="1">
      <c r="C890" s="351"/>
    </row>
    <row r="891" spans="3:3" ht="15.75" customHeight="1">
      <c r="C891" s="351"/>
    </row>
    <row r="892" spans="3:3" ht="15.75" customHeight="1">
      <c r="C892" s="351"/>
    </row>
    <row r="893" spans="3:3" ht="15.75" customHeight="1">
      <c r="C893" s="351"/>
    </row>
    <row r="894" spans="3:3" ht="15.75" customHeight="1">
      <c r="C894" s="351"/>
    </row>
    <row r="895" spans="3:3" ht="15.75" customHeight="1">
      <c r="C895" s="351"/>
    </row>
    <row r="896" spans="3:3" ht="15.75" customHeight="1">
      <c r="C896" s="351"/>
    </row>
    <row r="897" spans="3:3" ht="15.75" customHeight="1">
      <c r="C897" s="351"/>
    </row>
    <row r="898" spans="3:3" ht="15.75" customHeight="1">
      <c r="C898" s="351"/>
    </row>
    <row r="899" spans="3:3" ht="15.75" customHeight="1">
      <c r="C899" s="351"/>
    </row>
    <row r="900" spans="3:3" ht="15.75" customHeight="1">
      <c r="C900" s="351"/>
    </row>
    <row r="901" spans="3:3" ht="15.75" customHeight="1">
      <c r="C901" s="351"/>
    </row>
    <row r="902" spans="3:3" ht="15.75" customHeight="1">
      <c r="C902" s="351"/>
    </row>
    <row r="903" spans="3:3" ht="15.75" customHeight="1">
      <c r="C903" s="351"/>
    </row>
    <row r="904" spans="3:3" ht="15.75" customHeight="1">
      <c r="C904" s="351"/>
    </row>
    <row r="905" spans="3:3" ht="15.75" customHeight="1">
      <c r="C905" s="351"/>
    </row>
    <row r="906" spans="3:3" ht="15.75" customHeight="1">
      <c r="C906" s="351"/>
    </row>
    <row r="907" spans="3:3" ht="15.75" customHeight="1">
      <c r="C907" s="351"/>
    </row>
    <row r="908" spans="3:3" ht="15.75" customHeight="1">
      <c r="C908" s="351"/>
    </row>
    <row r="909" spans="3:3" ht="15.75" customHeight="1">
      <c r="C909" s="351"/>
    </row>
    <row r="910" spans="3:3" ht="15.75" customHeight="1">
      <c r="C910" s="351"/>
    </row>
    <row r="911" spans="3:3" ht="15.75" customHeight="1">
      <c r="C911" s="351"/>
    </row>
    <row r="912" spans="3:3" ht="15.75" customHeight="1">
      <c r="C912" s="351"/>
    </row>
  </sheetData>
  <mergeCells count="8">
    <mergeCell ref="C75:I75"/>
    <mergeCell ref="J75:X75"/>
    <mergeCell ref="R76:X76"/>
    <mergeCell ref="C1:I1"/>
    <mergeCell ref="J1:U1"/>
    <mergeCell ref="V1:AA1"/>
    <mergeCell ref="AB1:AD1"/>
    <mergeCell ref="AC58:AF58"/>
  </mergeCells>
  <conditionalFormatting sqref="D60:P62">
    <cfRule type="cellIs" dxfId="70" priority="40" operator="greaterThan">
      <formula>0</formula>
    </cfRule>
    <cfRule type="cellIs" dxfId="69" priority="41" operator="lessThan">
      <formula>0</formula>
    </cfRule>
  </conditionalFormatting>
  <conditionalFormatting sqref="O3 O5">
    <cfRule type="cellIs" dxfId="68" priority="35" operator="lessThanOrEqual">
      <formula>0</formula>
    </cfRule>
  </conditionalFormatting>
  <conditionalFormatting sqref="O9 O11 O13 O15 O17 O19 O21 O23 O25 O27 O29 O33 O35 O37 O39 O41 O43 O45:O47 O49:O51 O77:O111 O113:O114">
    <cfRule type="cellIs" dxfId="67" priority="34" operator="greaterThan">
      <formula>0</formula>
    </cfRule>
  </conditionalFormatting>
  <conditionalFormatting sqref="O9:O52 O77:O91 O93:O109 O113:O114">
    <cfRule type="cellIs" dxfId="66" priority="14" operator="greaterThan">
      <formula>0</formula>
    </cfRule>
  </conditionalFormatting>
  <conditionalFormatting sqref="O9:O52 O77:O111 O113:O114">
    <cfRule type="cellIs" dxfId="65" priority="15" operator="lessThanOrEqual">
      <formula>0</formula>
    </cfRule>
  </conditionalFormatting>
  <conditionalFormatting sqref="O3:P3 O5:P5 P7 P9:P52 P77:P111 P113:P114">
    <cfRule type="cellIs" dxfId="64" priority="13" operator="greaterThan">
      <formula>0</formula>
    </cfRule>
  </conditionalFormatting>
  <conditionalFormatting sqref="P3 P5 P7 P9:P52 P77:P111 P113:P114">
    <cfRule type="cellIs" dxfId="63" priority="12" operator="lessThan">
      <formula>0</formula>
    </cfRule>
  </conditionalFormatting>
  <conditionalFormatting sqref="S3:S52 U3:U44 S86">
    <cfRule type="colorScale" priority="36">
      <colorScale>
        <cfvo type="min"/>
        <cfvo type="percentile" val="50"/>
        <cfvo type="max"/>
        <color rgb="FF57BB8A"/>
        <color rgb="FFFFFFFF"/>
        <color rgb="FFE67C73"/>
      </colorScale>
    </cfRule>
  </conditionalFormatting>
  <conditionalFormatting sqref="U3:U52">
    <cfRule type="colorScale" priority="37">
      <colorScale>
        <cfvo type="min"/>
        <cfvo type="max"/>
        <color rgb="FFE67C73"/>
        <color rgb="FFFFFFFF"/>
      </colorScale>
    </cfRule>
  </conditionalFormatting>
  <conditionalFormatting sqref="V3:AA51 D61">
    <cfRule type="cellIs" dxfId="62" priority="42" operator="greaterThan">
      <formula>0</formula>
    </cfRule>
    <cfRule type="cellIs" dxfId="61" priority="43" operator="lessThanOrEqual">
      <formula>0</formula>
    </cfRule>
  </conditionalFormatting>
  <conditionalFormatting sqref="AC3:AD3 AC5:AD5 AC7:AD7 AC9:AD52">
    <cfRule type="cellIs" dxfId="60" priority="16" operator="equal">
      <formula>"Alcista"</formula>
    </cfRule>
    <cfRule type="cellIs" dxfId="59" priority="17" operator="equal">
      <formula>"Neutral"</formula>
    </cfRule>
    <cfRule type="cellIs" dxfId="58" priority="18" operator="equal">
      <formula>"Bajista"</formula>
    </cfRule>
  </conditionalFormatting>
  <conditionalFormatting sqref="AD27 AD25 AD29 AD33 AD35 AD37 AD39 AD41 AD43 AD45:AD47 AD49:AD51">
    <cfRule type="colorScale" priority="33">
      <colorScale>
        <cfvo type="min"/>
        <cfvo type="percentile" val="50"/>
        <cfvo type="max"/>
        <color rgb="FF57BB8A"/>
        <color rgb="FFFFFFFF"/>
        <color rgb="FFE67C73"/>
      </colorScale>
    </cfRule>
  </conditionalFormatting>
  <conditionalFormatting sqref="AE3:AE52">
    <cfRule type="cellIs" dxfId="57" priority="22" operator="equal">
      <formula>"Futuro líder"</formula>
    </cfRule>
    <cfRule type="cellIs" dxfId="56" priority="23" operator="equal">
      <formula>"Oportunidad CP"</formula>
    </cfRule>
    <cfRule type="cellIs" dxfId="55" priority="24" operator="equal">
      <formula>"Líder global"</formula>
    </cfRule>
    <cfRule type="cellIs" dxfId="54" priority="25" operator="equal">
      <formula>"Atractiva MP"</formula>
    </cfRule>
    <cfRule type="cellIs" dxfId="53" priority="26" operator="equal">
      <formula>"Alternativo"</formula>
    </cfRule>
    <cfRule type="cellIs" dxfId="52" priority="27" operator="equal">
      <formula>"Alta Calidad"</formula>
    </cfRule>
  </conditionalFormatting>
  <conditionalFormatting sqref="AE60:AE73">
    <cfRule type="colorScale" priority="38">
      <colorScale>
        <cfvo type="min"/>
        <cfvo type="percentile" val="50"/>
        <cfvo type="max"/>
        <color rgb="FFE67C73"/>
        <color rgb="FFFFFFFF"/>
        <color rgb="FF57BB8A"/>
      </colorScale>
    </cfRule>
  </conditionalFormatting>
  <conditionalFormatting sqref="AF60:AF71">
    <cfRule type="colorScale" priority="39">
      <colorScale>
        <cfvo type="min"/>
        <cfvo type="percentile" val="50"/>
        <cfvo type="max"/>
        <color rgb="FFE67C73"/>
        <color rgb="FFFFFFFF"/>
        <color rgb="FF57BB8A"/>
      </colorScale>
    </cfRule>
  </conditionalFormatting>
  <conditionalFormatting sqref="AF3:AG3 AF5:AG5 AF9:AG52">
    <cfRule type="cellIs" dxfId="51" priority="28" operator="equal">
      <formula>"Core"</formula>
    </cfRule>
    <cfRule type="cellIs" dxfId="50" priority="29" operator="equal">
      <formula>"Satellite"</formula>
    </cfRule>
  </conditionalFormatting>
  <conditionalFormatting sqref="AG3 AG5 AG9:AG52">
    <cfRule type="cellIs" dxfId="49" priority="19" operator="equal">
      <formula>"Baja"</formula>
    </cfRule>
    <cfRule type="cellIs" dxfId="48" priority="20" operator="equal">
      <formula>"Media"</formula>
    </cfRule>
    <cfRule type="cellIs" dxfId="47" priority="21" operator="equal">
      <formula>"Alta"</formula>
    </cfRule>
  </conditionalFormatting>
  <conditionalFormatting sqref="T97:U97 AB3 AG3:AH3 AI3:AI7 AB5 AG5 AH5:AH7 AB7 AB9:AB52 AC25:AC52 AD45 AG9:AI52">
    <cfRule type="cellIs" dxfId="46" priority="30" operator="equal">
      <formula>"Atractivo"</formula>
    </cfRule>
    <cfRule type="cellIs" dxfId="45" priority="31" operator="equal">
      <formula>"Neutral"</formula>
    </cfRule>
    <cfRule type="cellIs" dxfId="44" priority="32" operator="equal">
      <formula>"Esperar"</formula>
    </cfRule>
  </conditionalFormatting>
  <conditionalFormatting sqref="AI25 AI37 AI39:AI41 AI43:AI45 U97 AI27 AI29 AI31 AI33:AI35">
    <cfRule type="containsText" dxfId="43" priority="7" operator="containsText" text="Alta">
      <formula>NOT(ISERROR(SEARCH(("Alta"),(AI25))))</formula>
    </cfRule>
    <cfRule type="containsText" dxfId="42" priority="8" operator="containsText" text="Media">
      <formula>NOT(ISERROR(SEARCH(("Media"),(AI25))))</formula>
    </cfRule>
    <cfRule type="containsText" dxfId="41" priority="9" operator="containsText" text="Baja">
      <formula>NOT(ISERROR(SEARCH(("Baja"),(AI25))))</formula>
    </cfRule>
  </conditionalFormatting>
  <conditionalFormatting sqref="AZ3:BA8 AZ64:BA115">
    <cfRule type="cellIs" dxfId="40" priority="10" operator="lessThan">
      <formula>0</formula>
    </cfRule>
    <cfRule type="cellIs" dxfId="39" priority="11" operator="greaterThan">
      <formula>0</formula>
    </cfRule>
  </conditionalFormatting>
  <conditionalFormatting sqref="AI9">
    <cfRule type="containsText" dxfId="5" priority="4" operator="containsText" text="Alta">
      <formula>NOT(ISERROR(SEARCH(("Alta"),(AW9))))</formula>
    </cfRule>
    <cfRule type="containsText" dxfId="4" priority="5" operator="containsText" text="Media">
      <formula>NOT(ISERROR(SEARCH(("Media"),(AW9))))</formula>
    </cfRule>
    <cfRule type="containsText" dxfId="3" priority="6" operator="containsText" text="Baja">
      <formula>NOT(ISERROR(SEARCH(("Baja"),(AW9))))</formula>
    </cfRule>
  </conditionalFormatting>
  <conditionalFormatting sqref="AI11">
    <cfRule type="containsText" dxfId="2" priority="1" operator="containsText" text="Alta">
      <formula>NOT(ISERROR(SEARCH(("Alta"),(AW11))))</formula>
    </cfRule>
    <cfRule type="containsText" dxfId="1" priority="2" operator="containsText" text="Media">
      <formula>NOT(ISERROR(SEARCH(("Media"),(AW11))))</formula>
    </cfRule>
    <cfRule type="containsText" dxfId="0" priority="3" operator="containsText" text="Baja">
      <formula>NOT(ISERROR(SEARCH(("Baja"),(AW11))))</formula>
    </cfRule>
  </conditionalFormatting>
  <pageMargins left="0.7" right="0.7" top="0.75" bottom="0.75" header="0" footer="0"/>
  <pageSetup orientation="landscape"/>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C963"/>
  <sheetViews>
    <sheetView workbookViewId="0">
      <pane ySplit="2" topLeftCell="A65" activePane="bottomLeft" state="frozen"/>
      <selection pane="bottomLeft" activeCell="F54" sqref="F54"/>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0.6640625" customWidth="1"/>
    <col min="8" max="14" width="7.88671875" customWidth="1"/>
    <col min="15" max="15" width="9" customWidth="1"/>
    <col min="16" max="16" width="7.109375" customWidth="1"/>
    <col min="17" max="17" width="9.33203125"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59.109375" customWidth="1"/>
    <col min="31" max="31" width="6.33203125" customWidth="1"/>
    <col min="32" max="32" width="8" customWidth="1"/>
    <col min="33" max="33" width="14.44140625" customWidth="1"/>
    <col min="34" max="59" width="8" customWidth="1"/>
  </cols>
  <sheetData>
    <row r="1" spans="1:81" ht="15.75" customHeight="1">
      <c r="A1" s="30"/>
      <c r="B1" s="30"/>
      <c r="C1" s="548" t="s">
        <v>30</v>
      </c>
      <c r="D1" s="549"/>
      <c r="E1" s="549"/>
      <c r="F1" s="549"/>
      <c r="G1" s="550"/>
      <c r="H1" s="551" t="s">
        <v>31</v>
      </c>
      <c r="I1" s="549"/>
      <c r="J1" s="549"/>
      <c r="K1" s="549"/>
      <c r="L1" s="549"/>
      <c r="M1" s="549"/>
      <c r="N1" s="549"/>
      <c r="O1" s="549"/>
      <c r="P1" s="549"/>
      <c r="Q1" s="549"/>
      <c r="R1" s="549"/>
      <c r="S1" s="550"/>
      <c r="T1" s="548" t="s">
        <v>32</v>
      </c>
      <c r="U1" s="549"/>
      <c r="V1" s="549"/>
      <c r="W1" s="549"/>
      <c r="X1" s="549"/>
      <c r="Y1" s="550"/>
      <c r="Z1" s="552" t="s">
        <v>33</v>
      </c>
      <c r="AA1" s="553"/>
      <c r="AB1" s="554"/>
      <c r="AC1" s="35"/>
      <c r="AD1" s="37"/>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48">
      <c r="A2" s="38"/>
      <c r="B2" s="39" t="s">
        <v>0</v>
      </c>
      <c r="C2" s="40" t="s">
        <v>1</v>
      </c>
      <c r="D2" s="39" t="s">
        <v>35</v>
      </c>
      <c r="E2" s="39" t="s">
        <v>2</v>
      </c>
      <c r="F2" s="39" t="s">
        <v>36</v>
      </c>
      <c r="G2" s="39" t="s">
        <v>37</v>
      </c>
      <c r="H2" s="41" t="s">
        <v>3</v>
      </c>
      <c r="I2" s="41" t="s">
        <v>40</v>
      </c>
      <c r="J2" s="41" t="s">
        <v>41</v>
      </c>
      <c r="K2" s="41" t="s">
        <v>42</v>
      </c>
      <c r="L2" s="41" t="s">
        <v>43</v>
      </c>
      <c r="M2" s="41" t="s">
        <v>44</v>
      </c>
      <c r="N2" s="41" t="s">
        <v>45</v>
      </c>
      <c r="O2" s="41" t="s">
        <v>46</v>
      </c>
      <c r="P2" s="41" t="s">
        <v>47</v>
      </c>
      <c r="Q2" s="42" t="s">
        <v>48</v>
      </c>
      <c r="R2" s="42" t="s">
        <v>49</v>
      </c>
      <c r="S2" s="42" t="s">
        <v>50</v>
      </c>
      <c r="T2" s="43" t="s">
        <v>4</v>
      </c>
      <c r="U2" s="39" t="s">
        <v>51</v>
      </c>
      <c r="V2" s="39" t="s">
        <v>52</v>
      </c>
      <c r="W2" s="39" t="s">
        <v>53</v>
      </c>
      <c r="X2" s="39" t="s">
        <v>54</v>
      </c>
      <c r="Y2" s="39" t="s">
        <v>55</v>
      </c>
      <c r="Z2" s="44" t="s">
        <v>56</v>
      </c>
      <c r="AA2" s="44" t="s">
        <v>206</v>
      </c>
      <c r="AB2" s="44" t="s">
        <v>207</v>
      </c>
      <c r="AC2" s="44" t="s">
        <v>61</v>
      </c>
      <c r="AD2" s="45" t="s">
        <v>63</v>
      </c>
      <c r="AE2" s="46"/>
      <c r="AF2" s="46"/>
      <c r="AG2" s="46"/>
      <c r="AH2" s="46"/>
      <c r="AI2" s="46"/>
      <c r="AJ2" s="46"/>
      <c r="AK2" s="46"/>
      <c r="AL2" s="46"/>
      <c r="AM2" s="46"/>
      <c r="AN2" s="46"/>
      <c r="AO2" s="46"/>
      <c r="AP2" s="46"/>
      <c r="AQ2" s="46"/>
      <c r="AR2" s="46"/>
      <c r="AS2" s="46"/>
      <c r="AT2" s="46"/>
      <c r="AU2" s="46"/>
      <c r="AV2" s="46"/>
      <c r="AW2" s="46"/>
      <c r="AX2" s="46"/>
      <c r="AY2" s="46"/>
      <c r="AZ2" s="46"/>
      <c r="BA2" s="38"/>
      <c r="BB2" s="38"/>
      <c r="BC2" s="38"/>
      <c r="BD2" s="38"/>
      <c r="BE2" s="38"/>
      <c r="BF2" s="38"/>
      <c r="BG2" s="38"/>
      <c r="BH2" s="38"/>
      <c r="BI2" s="38"/>
      <c r="BJ2" s="38"/>
      <c r="BK2" s="38"/>
      <c r="BL2" s="38"/>
      <c r="BM2" s="38"/>
    </row>
    <row r="3" spans="1:81" ht="14.25" customHeight="1">
      <c r="A3" s="244"/>
      <c r="B3" s="352" t="s">
        <v>208</v>
      </c>
      <c r="C3" s="353"/>
      <c r="D3" s="354"/>
      <c r="E3" s="355"/>
      <c r="F3" s="355"/>
      <c r="G3" s="356"/>
      <c r="H3" s="356"/>
      <c r="I3" s="356"/>
      <c r="J3" s="356"/>
      <c r="K3" s="356"/>
      <c r="L3" s="356"/>
      <c r="M3" s="356"/>
      <c r="N3" s="356"/>
      <c r="O3" s="356"/>
      <c r="P3" s="356"/>
      <c r="Q3" s="356"/>
      <c r="R3" s="356"/>
      <c r="S3" s="356"/>
      <c r="T3" s="356"/>
      <c r="U3" s="356"/>
      <c r="V3" s="356"/>
      <c r="W3" s="356"/>
      <c r="X3" s="356"/>
      <c r="Y3" s="356"/>
      <c r="Z3" s="356"/>
      <c r="AA3" s="356"/>
      <c r="AB3" s="356"/>
      <c r="AC3" s="356"/>
      <c r="AD3" s="356"/>
      <c r="AE3" s="24"/>
      <c r="AF3" s="24"/>
      <c r="AG3" s="24"/>
      <c r="AH3" s="24"/>
      <c r="AI3" s="30"/>
      <c r="AJ3" s="24"/>
      <c r="AK3" s="30"/>
      <c r="AL3" s="24"/>
      <c r="AM3" s="30"/>
      <c r="AN3" s="24"/>
      <c r="AO3" s="30"/>
      <c r="AP3" s="24"/>
      <c r="AQ3" s="30"/>
      <c r="AR3" s="27"/>
      <c r="AS3" s="27"/>
      <c r="AT3" s="27"/>
      <c r="AU3" s="27"/>
      <c r="AX3" s="27"/>
      <c r="BD3" s="27"/>
      <c r="BE3" s="27"/>
      <c r="BF3" s="27"/>
      <c r="BG3" s="27"/>
      <c r="BH3" s="27"/>
      <c r="BI3" s="27"/>
      <c r="BJ3" s="27"/>
      <c r="BK3" s="27"/>
      <c r="BL3" s="27"/>
      <c r="BM3" s="27"/>
    </row>
    <row r="4" spans="1:81" ht="13.2">
      <c r="A4" s="357">
        <v>1</v>
      </c>
      <c r="B4" s="358" t="s">
        <v>209</v>
      </c>
      <c r="C4" s="359" t="str">
        <f ca="1">IFERROR(__xludf.DUMMYFUNCTION("GoogleFinance(B4,""name"")"),"Grupo Financiero Galicia S.A.")</f>
        <v>Grupo Financiero Galicia S.A.</v>
      </c>
      <c r="D4" s="360">
        <f ca="1">IFERROR(__xludf.DUMMYFUNCTION("GoogleFinance(B4,""marketcap"")/1000000"),5565.667534)</f>
        <v>5565.6675340000002</v>
      </c>
      <c r="E4" s="361" t="s">
        <v>13</v>
      </c>
      <c r="F4" s="361" t="s">
        <v>18</v>
      </c>
      <c r="G4" s="362">
        <v>45238</v>
      </c>
      <c r="H4" s="363">
        <f ca="1">IFERROR(__xludf.DUMMYFUNCTION("GOOGLEFINANCE(B4)"),32.06)</f>
        <v>32.06</v>
      </c>
      <c r="I4" s="364">
        <v>11.73</v>
      </c>
      <c r="J4" s="365">
        <f>170.502983802217-80</f>
        <v>90.502983802216988</v>
      </c>
      <c r="K4" s="366">
        <f>J4*I4</f>
        <v>1061.6000000000054</v>
      </c>
      <c r="L4" s="366">
        <f ca="1">J4*H4</f>
        <v>2901.525660699077</v>
      </c>
      <c r="M4" s="367">
        <f ca="1">L4-K4</f>
        <v>1839.9256606990716</v>
      </c>
      <c r="N4" s="368">
        <f ca="1">H4/I4-1</f>
        <v>1.733162830349531</v>
      </c>
      <c r="O4" s="369">
        <f ca="1">TODAY()-G4</f>
        <v>229</v>
      </c>
      <c r="P4" s="370">
        <v>12</v>
      </c>
      <c r="Q4" s="371">
        <f ca="1">P4/H4-1</f>
        <v>-0.62570180910792272</v>
      </c>
      <c r="R4" s="372">
        <v>36</v>
      </c>
      <c r="S4" s="373">
        <f ca="1">R4/H4-1</f>
        <v>0.12289457267623205</v>
      </c>
      <c r="T4" s="374">
        <f ca="1">IFERROR(__xludf.DUMMYFUNCTION("GoogleFinance(B4,""changepct"")/100"),0)</f>
        <v>0</v>
      </c>
      <c r="U4" s="375">
        <f ca="1">H4/AI5-1</f>
        <v>-6.5850815850815758E-2</v>
      </c>
      <c r="V4" s="376">
        <f ca="1">H4/AK5-1</f>
        <v>-1.140918902250998E-2</v>
      </c>
      <c r="W4" s="377">
        <f ca="1">H4/AM5-1</f>
        <v>0.22600382409177833</v>
      </c>
      <c r="X4" s="377">
        <f ca="1">H4/AO5-1</f>
        <v>0.79910213243546591</v>
      </c>
      <c r="Y4" s="376">
        <f ca="1">H4/AQ5-1</f>
        <v>0.85639837869137247</v>
      </c>
      <c r="Z4" s="378" t="s">
        <v>69</v>
      </c>
      <c r="AA4" s="61" t="s">
        <v>69</v>
      </c>
      <c r="AB4" s="379" t="s">
        <v>79</v>
      </c>
      <c r="AC4" s="379" t="s">
        <v>109</v>
      </c>
      <c r="AD4" s="380"/>
      <c r="AE4" s="373"/>
      <c r="AF4" s="373"/>
      <c r="AG4" s="373"/>
      <c r="AH4" s="381" t="str">
        <f ca="1">IFERROR(__xludf.DUMMYFUNCTION("GoogleFinance(B4,""price"",DATE(2024,5,3))"),"Date")</f>
        <v>Date</v>
      </c>
      <c r="AI4" s="382" t="str">
        <f ca="1">IFERROR(__xludf.DUMMYFUNCTION("""COMPUTED_VALUE"""),"Close")</f>
        <v>Close</v>
      </c>
      <c r="AJ4" s="381" t="str">
        <f ca="1">IFERROR(__xludf.DUMMYFUNCTION("GoogleFinance(B4,""price"",DATE(2024,4,30))"),"Date")</f>
        <v>Date</v>
      </c>
      <c r="AK4" s="382" t="str">
        <f ca="1">IFERROR(__xludf.DUMMYFUNCTION("""COMPUTED_VALUE"""),"Close")</f>
        <v>Close</v>
      </c>
      <c r="AL4" s="381" t="str">
        <f ca="1">IFERROR(__xludf.DUMMYFUNCTION("GoogleFinance(B4,""price"",today()-91)"),"Date")</f>
        <v>Date</v>
      </c>
      <c r="AM4" s="382" t="str">
        <f ca="1">IFERROR(__xludf.DUMMYFUNCTION("""COMPUTED_VALUE"""),"Close")</f>
        <v>Close</v>
      </c>
      <c r="AN4" s="381" t="str">
        <f ca="1">IFERROR(__xludf.DUMMYFUNCTION("GoogleFinance(B4,""price"",today()-182)"),"Date")</f>
        <v>Date</v>
      </c>
      <c r="AO4" s="382" t="str">
        <f ca="1">IFERROR(__xludf.DUMMYFUNCTION("""COMPUTED_VALUE"""),"Close")</f>
        <v>Close</v>
      </c>
      <c r="AP4" s="381" t="str">
        <f ca="1">IFERROR(__xludf.DUMMYFUNCTION("GoogleFinance(B4,""price"",DATE(2023,12,29))"),"Date")</f>
        <v>Date</v>
      </c>
      <c r="AQ4" s="382" t="str">
        <f ca="1">IFERROR(__xludf.DUMMYFUNCTION("""COMPUTED_VALUE"""),"Close")</f>
        <v>Close</v>
      </c>
      <c r="AR4" s="373"/>
      <c r="AS4" s="382"/>
      <c r="AT4" s="383"/>
      <c r="AU4" s="383"/>
      <c r="AV4" s="383"/>
      <c r="AW4" s="383"/>
      <c r="AX4" s="384"/>
      <c r="AY4" s="384"/>
      <c r="AZ4" s="383"/>
      <c r="BA4" s="384"/>
      <c r="BB4" s="384"/>
      <c r="BC4" s="384"/>
      <c r="BD4" s="384"/>
      <c r="BE4" s="384"/>
      <c r="BF4" s="383"/>
      <c r="BG4" s="383"/>
      <c r="BH4" s="383"/>
      <c r="BI4" s="383"/>
      <c r="BJ4" s="383"/>
      <c r="BK4" s="383"/>
      <c r="BL4" s="383"/>
      <c r="BM4" s="383"/>
      <c r="BN4" s="383"/>
      <c r="BO4" s="383"/>
      <c r="BP4" s="384"/>
      <c r="BQ4" s="384"/>
      <c r="BR4" s="384"/>
      <c r="BS4" s="384"/>
      <c r="BT4" s="384"/>
      <c r="BU4" s="384"/>
      <c r="BV4" s="384"/>
      <c r="BW4" s="384"/>
      <c r="BX4" s="384"/>
      <c r="BY4" s="384"/>
      <c r="BZ4" s="384"/>
      <c r="CA4" s="384"/>
      <c r="CB4" s="384"/>
      <c r="CC4" s="384"/>
    </row>
    <row r="5" spans="1:81" ht="13.2" hidden="1">
      <c r="A5" s="47">
        <v>1</v>
      </c>
      <c r="B5" s="385"/>
      <c r="C5" s="386"/>
      <c r="D5" s="385"/>
      <c r="E5" s="385"/>
      <c r="F5" s="385"/>
      <c r="G5" s="385"/>
      <c r="H5" s="387"/>
      <c r="I5" s="387"/>
      <c r="J5" s="387"/>
      <c r="K5" s="387"/>
      <c r="L5" s="387"/>
      <c r="M5" s="56"/>
      <c r="N5" s="388"/>
      <c r="O5" s="387"/>
      <c r="P5" s="387"/>
      <c r="Q5" s="389"/>
      <c r="R5" s="389"/>
      <c r="S5" s="389"/>
      <c r="T5" s="390"/>
      <c r="U5" s="385"/>
      <c r="V5" s="385"/>
      <c r="W5" s="385"/>
      <c r="X5" s="385"/>
      <c r="Y5" s="385"/>
      <c r="Z5" s="391"/>
      <c r="AA5" s="391"/>
      <c r="AB5" s="391"/>
      <c r="AC5" s="391"/>
      <c r="AD5" s="392"/>
      <c r="AE5" s="24"/>
      <c r="AF5" s="24"/>
      <c r="AG5" s="24"/>
      <c r="AH5" s="51">
        <f ca="1">IFERROR(__xludf.DUMMYFUNCTION("""COMPUTED_VALUE"""),45415.6666666666)</f>
        <v>45415.666666666599</v>
      </c>
      <c r="AI5" s="30">
        <f ca="1">IFERROR(__xludf.DUMMYFUNCTION("""COMPUTED_VALUE"""),34.32)</f>
        <v>34.32</v>
      </c>
      <c r="AJ5" s="51">
        <f ca="1">IFERROR(__xludf.DUMMYFUNCTION("""COMPUTED_VALUE"""),45412.6666666666)</f>
        <v>45412.666666666599</v>
      </c>
      <c r="AK5" s="30">
        <f ca="1">IFERROR(__xludf.DUMMYFUNCTION("""COMPUTED_VALUE"""),32.43)</f>
        <v>32.43</v>
      </c>
      <c r="AL5" s="51">
        <f ca="1">IFERROR(__xludf.DUMMYFUNCTION("""COMPUTED_VALUE"""),45376.6666666666)</f>
        <v>45376.666666666599</v>
      </c>
      <c r="AM5" s="30">
        <f ca="1">IFERROR(__xludf.DUMMYFUNCTION("""COMPUTED_VALUE"""),26.15)</f>
        <v>26.15</v>
      </c>
      <c r="AN5" s="51">
        <f ca="1">IFERROR(__xludf.DUMMYFUNCTION("""COMPUTED_VALUE"""),45286.6666666666)</f>
        <v>45286.666666666599</v>
      </c>
      <c r="AO5" s="30">
        <f ca="1">IFERROR(__xludf.DUMMYFUNCTION("""COMPUTED_VALUE"""),17.82)</f>
        <v>17.82</v>
      </c>
      <c r="AP5" s="51">
        <f ca="1">IFERROR(__xludf.DUMMYFUNCTION("""COMPUTED_VALUE"""),45289.6666666666)</f>
        <v>45289.666666666599</v>
      </c>
      <c r="AQ5" s="30">
        <f ca="1">IFERROR(__xludf.DUMMYFUNCTION("""COMPUTED_VALUE"""),17.27)</f>
        <v>17.27</v>
      </c>
      <c r="AR5" s="27"/>
      <c r="AS5" s="27"/>
      <c r="AT5" s="27"/>
      <c r="AU5" s="27"/>
      <c r="AV5" s="393"/>
      <c r="AW5" s="393"/>
      <c r="AX5" s="27"/>
      <c r="AY5" s="393"/>
      <c r="AZ5" s="393"/>
      <c r="BA5" s="393"/>
      <c r="BB5" s="393"/>
      <c r="BC5" s="393"/>
      <c r="BD5" s="27"/>
      <c r="BE5" s="27"/>
      <c r="BF5" s="27"/>
      <c r="BG5" s="27"/>
      <c r="BH5" s="27"/>
      <c r="BI5" s="27"/>
      <c r="BJ5" s="27"/>
      <c r="BK5" s="27"/>
      <c r="BL5" s="27"/>
      <c r="BM5" s="27"/>
      <c r="BN5" s="393"/>
      <c r="BO5" s="393"/>
      <c r="BP5" s="393"/>
      <c r="BQ5" s="393"/>
      <c r="BR5" s="393"/>
      <c r="BS5" s="393"/>
      <c r="BT5" s="393"/>
      <c r="BU5" s="393"/>
      <c r="BV5" s="393"/>
      <c r="BW5" s="393"/>
      <c r="BX5" s="393"/>
      <c r="BY5" s="393"/>
      <c r="BZ5" s="393"/>
      <c r="CA5" s="393"/>
      <c r="CB5" s="393"/>
      <c r="CC5" s="393"/>
    </row>
    <row r="6" spans="1:81" ht="13.2">
      <c r="A6" s="357">
        <f t="shared" ref="A6:A10" si="0">A4+1</f>
        <v>2</v>
      </c>
      <c r="B6" s="1" t="s">
        <v>210</v>
      </c>
      <c r="C6" s="48" t="str">
        <f ca="1">IFERROR(__xludf.DUMMYFUNCTION("GoogleFinance(B6,""name"")"),"Anheuser-Busch Inbev SA")</f>
        <v>Anheuser-Busch Inbev SA</v>
      </c>
      <c r="D6" s="49">
        <f ca="1">IFERROR(__xludf.DUMMYFUNCTION("GoogleFinance(B6,""marketcap"")/1000000"),101447.585144)</f>
        <v>101447.585144</v>
      </c>
      <c r="E6" s="163" t="s">
        <v>13</v>
      </c>
      <c r="F6" s="163" t="s">
        <v>18</v>
      </c>
      <c r="G6" s="99">
        <v>45365</v>
      </c>
      <c r="H6" s="363">
        <f ca="1">IFERROR(__xludf.DUMMYFUNCTION("GOOGLEFINANCE(B6)"),59.06)</f>
        <v>59.06</v>
      </c>
      <c r="I6" s="164">
        <v>61.45</v>
      </c>
      <c r="J6" s="165">
        <f>3000/I6</f>
        <v>48.820179007323027</v>
      </c>
      <c r="K6" s="166">
        <f>J6*I6</f>
        <v>3000</v>
      </c>
      <c r="L6" s="166">
        <f ca="1">J6*H6</f>
        <v>2883.3197721724982</v>
      </c>
      <c r="M6" s="167">
        <f ca="1">L6-K6</f>
        <v>-116.68022782750177</v>
      </c>
      <c r="N6" s="168">
        <f ca="1">H6/I6-1</f>
        <v>-3.8893409275834068E-2</v>
      </c>
      <c r="O6" s="394">
        <f ca="1">TODAY()-G6</f>
        <v>102</v>
      </c>
      <c r="P6" s="59">
        <v>54</v>
      </c>
      <c r="Q6" s="98">
        <f ca="1">P6/H6-1</f>
        <v>-8.5675584151710171E-2</v>
      </c>
      <c r="R6" s="26">
        <v>80</v>
      </c>
      <c r="S6" s="24">
        <f ca="1">R6/H6-1</f>
        <v>0.35455469014561447</v>
      </c>
      <c r="T6" s="9">
        <f ca="1">IFERROR(__xludf.DUMMYFUNCTION("GoogleFinance(B6,""changepct"")/100"),-0.0003)</f>
        <v>-2.9999999999999997E-4</v>
      </c>
      <c r="U6" s="395">
        <f ca="1">H6/AI7-1</f>
        <v>-1.0885948752302754E-2</v>
      </c>
      <c r="V6" s="215">
        <f ca="1">H6/AK7-1</f>
        <v>-1.0056989607777345E-2</v>
      </c>
      <c r="W6" s="102">
        <f ca="1">H6/AM7-1</f>
        <v>-1.2044161927065922E-2</v>
      </c>
      <c r="X6" s="102">
        <f ca="1">H6/AO7-1</f>
        <v>-8.6041473228102738E-2</v>
      </c>
      <c r="Y6" s="215">
        <f ca="1">H6/AQ7-1</f>
        <v>-8.6041473228102738E-2</v>
      </c>
      <c r="Z6" s="247" t="s">
        <v>69</v>
      </c>
      <c r="AA6" s="61" t="s">
        <v>69</v>
      </c>
      <c r="AB6" s="396" t="s">
        <v>79</v>
      </c>
      <c r="AC6" s="396" t="s">
        <v>109</v>
      </c>
      <c r="AD6" s="397"/>
      <c r="AE6" s="24"/>
      <c r="AF6" s="24"/>
      <c r="AG6" s="24"/>
      <c r="AH6" s="381" t="str">
        <f ca="1">IFERROR(__xludf.DUMMYFUNCTION("GoogleFinance(B6,""price"",DATE(2024,5,3))"),"Date")</f>
        <v>Date</v>
      </c>
      <c r="AI6" s="382" t="str">
        <f ca="1">IFERROR(__xludf.DUMMYFUNCTION("""COMPUTED_VALUE"""),"Close")</f>
        <v>Close</v>
      </c>
      <c r="AJ6" s="381" t="str">
        <f ca="1">IFERROR(__xludf.DUMMYFUNCTION("GoogleFinance(B6,""price"",DATE(2024,4,30))"),"Date")</f>
        <v>Date</v>
      </c>
      <c r="AK6" s="30" t="str">
        <f ca="1">IFERROR(__xludf.DUMMYFUNCTION("""COMPUTED_VALUE"""),"Close")</f>
        <v>Close</v>
      </c>
      <c r="AL6" s="2" t="str">
        <f ca="1">IFERROR(__xludf.DUMMYFUNCTION("GoogleFinance(B6,""price"",today()-91)"),"Date")</f>
        <v>Date</v>
      </c>
      <c r="AM6" s="30" t="str">
        <f ca="1">IFERROR(__xludf.DUMMYFUNCTION("""COMPUTED_VALUE"""),"Close")</f>
        <v>Close</v>
      </c>
      <c r="AN6" s="2" t="str">
        <f ca="1">IFERROR(__xludf.DUMMYFUNCTION("GoogleFinance(B6,""price"",today()-182)"),"Date")</f>
        <v>Date</v>
      </c>
      <c r="AO6" s="30" t="str">
        <f ca="1">IFERROR(__xludf.DUMMYFUNCTION("""COMPUTED_VALUE"""),"Close")</f>
        <v>Close</v>
      </c>
      <c r="AP6" s="2" t="str">
        <f ca="1">IFERROR(__xludf.DUMMYFUNCTION("GoogleFinance(B6,""price"",DATE(2023,12,29))"),"Date")</f>
        <v>Date</v>
      </c>
      <c r="AQ6" s="30" t="str">
        <f ca="1">IFERROR(__xludf.DUMMYFUNCTION("""COMPUTED_VALUE"""),"Close")</f>
        <v>Close</v>
      </c>
      <c r="AR6" s="24"/>
      <c r="AS6" s="30"/>
      <c r="AT6" s="90"/>
      <c r="AU6" s="90"/>
      <c r="AV6" s="90"/>
      <c r="AW6" s="90"/>
      <c r="AX6" s="92"/>
      <c r="AY6" s="92"/>
      <c r="AZ6" s="90"/>
      <c r="BA6" s="92"/>
      <c r="BB6" s="92"/>
      <c r="BC6" s="92"/>
      <c r="BD6" s="92"/>
      <c r="BE6" s="92"/>
      <c r="BF6" s="90"/>
      <c r="BG6" s="90"/>
      <c r="BH6" s="90"/>
      <c r="BI6" s="90"/>
      <c r="BJ6" s="90"/>
      <c r="BK6" s="90"/>
      <c r="BL6" s="90"/>
      <c r="BM6" s="90"/>
      <c r="BN6" s="90"/>
      <c r="BO6" s="90"/>
      <c r="BP6" s="92"/>
      <c r="BQ6" s="92"/>
      <c r="BR6" s="92"/>
      <c r="BS6" s="92"/>
      <c r="BT6" s="92"/>
      <c r="BU6" s="92"/>
      <c r="BV6" s="92"/>
      <c r="BW6" s="92"/>
      <c r="BX6" s="92"/>
      <c r="BY6" s="92"/>
      <c r="BZ6" s="92"/>
      <c r="CA6" s="92"/>
      <c r="CB6" s="92"/>
      <c r="CC6" s="92"/>
    </row>
    <row r="7" spans="1:81" ht="13.2" hidden="1">
      <c r="A7" s="357">
        <f t="shared" si="0"/>
        <v>2</v>
      </c>
      <c r="B7" s="385"/>
      <c r="C7" s="386"/>
      <c r="D7" s="385"/>
      <c r="E7" s="385"/>
      <c r="F7" s="385"/>
      <c r="G7" s="385"/>
      <c r="H7" s="387"/>
      <c r="I7" s="387"/>
      <c r="J7" s="387"/>
      <c r="K7" s="387"/>
      <c r="L7" s="387"/>
      <c r="M7" s="56"/>
      <c r="N7" s="388"/>
      <c r="O7" s="387"/>
      <c r="P7" s="387"/>
      <c r="Q7" s="389"/>
      <c r="R7" s="389"/>
      <c r="S7" s="389"/>
      <c r="T7" s="390"/>
      <c r="U7" s="385"/>
      <c r="V7" s="385"/>
      <c r="W7" s="385"/>
      <c r="X7" s="385"/>
      <c r="Y7" s="385"/>
      <c r="Z7" s="391"/>
      <c r="AA7" s="391"/>
      <c r="AB7" s="391"/>
      <c r="AC7" s="391"/>
      <c r="AD7" s="392"/>
      <c r="AE7" s="24"/>
      <c r="AF7" s="24"/>
      <c r="AG7" s="24"/>
      <c r="AH7" s="51">
        <f ca="1">IFERROR(__xludf.DUMMYFUNCTION("""COMPUTED_VALUE"""),45415.6666666666)</f>
        <v>45415.666666666599</v>
      </c>
      <c r="AI7" s="30">
        <f ca="1">IFERROR(__xludf.DUMMYFUNCTION("""COMPUTED_VALUE"""),59.71)</f>
        <v>59.71</v>
      </c>
      <c r="AJ7" s="51">
        <f ca="1">IFERROR(__xludf.DUMMYFUNCTION("""COMPUTED_VALUE"""),45412.6666666666)</f>
        <v>45412.666666666599</v>
      </c>
      <c r="AK7" s="30">
        <f ca="1">IFERROR(__xludf.DUMMYFUNCTION("""COMPUTED_VALUE"""),59.66)</f>
        <v>59.66</v>
      </c>
      <c r="AL7" s="51">
        <f ca="1">IFERROR(__xludf.DUMMYFUNCTION("""COMPUTED_VALUE"""),45376.6666666666)</f>
        <v>45376.666666666599</v>
      </c>
      <c r="AM7" s="30">
        <f ca="1">IFERROR(__xludf.DUMMYFUNCTION("""COMPUTED_VALUE"""),59.78)</f>
        <v>59.78</v>
      </c>
      <c r="AN7" s="51">
        <f ca="1">IFERROR(__xludf.DUMMYFUNCTION("""COMPUTED_VALUE"""),45286.6666666666)</f>
        <v>45286.666666666599</v>
      </c>
      <c r="AO7" s="30">
        <f ca="1">IFERROR(__xludf.DUMMYFUNCTION("""COMPUTED_VALUE"""),64.62)</f>
        <v>64.62</v>
      </c>
      <c r="AP7" s="51">
        <f ca="1">IFERROR(__xludf.DUMMYFUNCTION("""COMPUTED_VALUE"""),45289.6666666666)</f>
        <v>45289.666666666599</v>
      </c>
      <c r="AQ7" s="30">
        <f ca="1">IFERROR(__xludf.DUMMYFUNCTION("""COMPUTED_VALUE"""),64.62)</f>
        <v>64.62</v>
      </c>
      <c r="AR7" s="27"/>
      <c r="AS7" s="27"/>
      <c r="AT7" s="27"/>
      <c r="AU7" s="27"/>
      <c r="AV7" s="393"/>
      <c r="AW7" s="393"/>
      <c r="AX7" s="27"/>
      <c r="AY7" s="393"/>
      <c r="AZ7" s="393"/>
      <c r="BA7" s="393"/>
      <c r="BB7" s="393"/>
      <c r="BC7" s="393"/>
      <c r="BD7" s="27"/>
      <c r="BE7" s="27"/>
      <c r="BF7" s="27"/>
      <c r="BG7" s="27"/>
      <c r="BH7" s="27"/>
      <c r="BI7" s="27"/>
      <c r="BJ7" s="27"/>
      <c r="BK7" s="27"/>
      <c r="BL7" s="27"/>
      <c r="BM7" s="27"/>
      <c r="BN7" s="393"/>
      <c r="BO7" s="393"/>
      <c r="BP7" s="393"/>
      <c r="BQ7" s="393"/>
      <c r="BR7" s="393"/>
      <c r="BS7" s="393"/>
      <c r="BT7" s="393"/>
      <c r="BU7" s="393"/>
      <c r="BV7" s="393"/>
      <c r="BW7" s="393"/>
      <c r="BX7" s="393"/>
      <c r="BY7" s="393"/>
      <c r="BZ7" s="393"/>
      <c r="CA7" s="393"/>
      <c r="CB7" s="393"/>
      <c r="CC7" s="393"/>
    </row>
    <row r="8" spans="1:81" ht="13.2">
      <c r="A8" s="357">
        <f t="shared" si="0"/>
        <v>3</v>
      </c>
      <c r="B8" s="1" t="s">
        <v>211</v>
      </c>
      <c r="C8" s="48" t="str">
        <f ca="1">IFERROR(__xludf.DUMMYFUNCTION("GoogleFinance(B8,""name"")"),"KraneShares CSI China Internet ETF")</f>
        <v>KraneShares CSI China Internet ETF</v>
      </c>
      <c r="D8" s="49" t="str">
        <f ca="1">IFERROR(__xludf.DUMMYFUNCTION("GoogleFinance(B8,""marketcap"")/1000000"),"#N/A")</f>
        <v>#N/A</v>
      </c>
      <c r="E8" s="163" t="s">
        <v>212</v>
      </c>
      <c r="F8" s="163" t="s">
        <v>7</v>
      </c>
      <c r="G8" s="99">
        <v>45391</v>
      </c>
      <c r="H8" s="363">
        <f ca="1">IFERROR(__xludf.DUMMYFUNCTION("GOOGLEFINANCE(B8)"),28.29)</f>
        <v>28.29</v>
      </c>
      <c r="I8" s="164">
        <v>27</v>
      </c>
      <c r="J8" s="165">
        <f>2000/I8</f>
        <v>74.074074074074076</v>
      </c>
      <c r="K8" s="166">
        <f>J8*I8</f>
        <v>2000</v>
      </c>
      <c r="L8" s="166">
        <f ca="1">J8*H8</f>
        <v>2095.5555555555557</v>
      </c>
      <c r="M8" s="167">
        <f ca="1">L8-K8</f>
        <v>95.555555555555657</v>
      </c>
      <c r="N8" s="168">
        <f ca="1">H8/I8-1</f>
        <v>4.7777777777777697E-2</v>
      </c>
      <c r="O8" s="394">
        <f ca="1">TODAY()-G8</f>
        <v>76</v>
      </c>
      <c r="P8" s="59">
        <v>24.4</v>
      </c>
      <c r="Q8" s="98">
        <f ca="1">P8/H8-1</f>
        <v>-0.1375044185224461</v>
      </c>
      <c r="R8" s="26">
        <v>33</v>
      </c>
      <c r="S8" s="24">
        <f ca="1">R8/H8-1</f>
        <v>0.16648992576882304</v>
      </c>
      <c r="T8" s="9">
        <f ca="1">IFERROR(__xludf.DUMMYFUNCTION("GoogleFinance(B8,""changepct"")/100"),0)</f>
        <v>0</v>
      </c>
      <c r="U8" s="395">
        <f ca="1">H8/AI9-1</f>
        <v>-7.7600260841212965E-2</v>
      </c>
      <c r="V8" s="215">
        <f ca="1">H8/AK9-1</f>
        <v>1.5069967707211918E-2</v>
      </c>
      <c r="W8" s="102">
        <f ca="1">H8/AM9-1</f>
        <v>8.4323495592180775E-2</v>
      </c>
      <c r="X8" s="102">
        <f ca="1">H8/AO9-1</f>
        <v>8.6405529953917037E-2</v>
      </c>
      <c r="Y8" s="215">
        <f ca="1">H8/AQ9-1</f>
        <v>4.7777777777777697E-2</v>
      </c>
      <c r="Z8" s="247" t="s">
        <v>69</v>
      </c>
      <c r="AA8" s="61" t="s">
        <v>69</v>
      </c>
      <c r="AB8" s="396" t="s">
        <v>79</v>
      </c>
      <c r="AC8" s="396" t="s">
        <v>109</v>
      </c>
      <c r="AE8" s="24"/>
      <c r="AF8" s="24"/>
      <c r="AG8" s="24"/>
      <c r="AH8" s="381" t="str">
        <f ca="1">IFERROR(__xludf.DUMMYFUNCTION("GoogleFinance(B8,""price"",DATE(2024,5,3))"),"Date")</f>
        <v>Date</v>
      </c>
      <c r="AI8" s="382" t="str">
        <f ca="1">IFERROR(__xludf.DUMMYFUNCTION("""COMPUTED_VALUE"""),"Close")</f>
        <v>Close</v>
      </c>
      <c r="AJ8" s="381" t="str">
        <f ca="1">IFERROR(__xludf.DUMMYFUNCTION("GoogleFinance(B8,""price"",DATE(2024,4,30))"),"Date")</f>
        <v>Date</v>
      </c>
      <c r="AK8" s="30" t="str">
        <f ca="1">IFERROR(__xludf.DUMMYFUNCTION("""COMPUTED_VALUE"""),"Close")</f>
        <v>Close</v>
      </c>
      <c r="AL8" s="2" t="str">
        <f ca="1">IFERROR(__xludf.DUMMYFUNCTION("GoogleFinance(B8,""price"",today()-91)"),"Date")</f>
        <v>Date</v>
      </c>
      <c r="AM8" s="30" t="str">
        <f ca="1">IFERROR(__xludf.DUMMYFUNCTION("""COMPUTED_VALUE"""),"Close")</f>
        <v>Close</v>
      </c>
      <c r="AN8" s="2" t="str">
        <f ca="1">IFERROR(__xludf.DUMMYFUNCTION("GoogleFinance(B8,""price"",today()-182)"),"Date")</f>
        <v>Date</v>
      </c>
      <c r="AO8" s="30" t="str">
        <f ca="1">IFERROR(__xludf.DUMMYFUNCTION("""COMPUTED_VALUE"""),"Close")</f>
        <v>Close</v>
      </c>
      <c r="AP8" s="2" t="str">
        <f ca="1">IFERROR(__xludf.DUMMYFUNCTION("GoogleFinance(B8,""price"",DATE(2023,12,29))"),"Date")</f>
        <v>Date</v>
      </c>
      <c r="AQ8" s="30" t="str">
        <f ca="1">IFERROR(__xludf.DUMMYFUNCTION("""COMPUTED_VALUE"""),"Close")</f>
        <v>Close</v>
      </c>
      <c r="AR8" s="24"/>
      <c r="AS8" s="30"/>
      <c r="AT8" s="90"/>
      <c r="AU8" s="90"/>
      <c r="AV8" s="90"/>
      <c r="AW8" s="90"/>
      <c r="AX8" s="92"/>
      <c r="AY8" s="92"/>
      <c r="AZ8" s="90"/>
      <c r="BA8" s="92"/>
      <c r="BB8" s="92"/>
      <c r="BC8" s="92"/>
      <c r="BD8" s="92"/>
      <c r="BE8" s="92"/>
      <c r="BF8" s="90"/>
      <c r="BG8" s="90"/>
      <c r="BH8" s="90"/>
      <c r="BI8" s="90"/>
      <c r="BJ8" s="90"/>
      <c r="BK8" s="90"/>
      <c r="BL8" s="90"/>
      <c r="BM8" s="90"/>
      <c r="BN8" s="90"/>
      <c r="BO8" s="90"/>
      <c r="BP8" s="92"/>
      <c r="BQ8" s="92"/>
      <c r="BR8" s="92"/>
      <c r="BS8" s="92"/>
      <c r="BT8" s="92"/>
      <c r="BU8" s="92"/>
      <c r="BV8" s="92"/>
      <c r="BW8" s="92"/>
      <c r="BX8" s="92"/>
      <c r="BY8" s="92"/>
      <c r="BZ8" s="92"/>
      <c r="CA8" s="92"/>
      <c r="CB8" s="92"/>
      <c r="CC8" s="92"/>
    </row>
    <row r="9" spans="1:81" ht="13.2" hidden="1">
      <c r="A9" s="357">
        <f t="shared" si="0"/>
        <v>3</v>
      </c>
      <c r="B9" s="385"/>
      <c r="C9" s="386"/>
      <c r="D9" s="385"/>
      <c r="E9" s="385"/>
      <c r="F9" s="385"/>
      <c r="G9" s="385"/>
      <c r="H9" s="387"/>
      <c r="I9" s="387"/>
      <c r="J9" s="387"/>
      <c r="K9" s="387"/>
      <c r="L9" s="387"/>
      <c r="M9" s="56"/>
      <c r="N9" s="388"/>
      <c r="O9" s="387"/>
      <c r="P9" s="387"/>
      <c r="Q9" s="389"/>
      <c r="R9" s="389"/>
      <c r="S9" s="389"/>
      <c r="T9" s="390"/>
      <c r="U9" s="385"/>
      <c r="V9" s="385"/>
      <c r="W9" s="385"/>
      <c r="X9" s="385"/>
      <c r="Y9" s="385"/>
      <c r="Z9" s="391"/>
      <c r="AA9" s="391"/>
      <c r="AB9" s="391"/>
      <c r="AC9" s="391"/>
      <c r="AD9" s="392"/>
      <c r="AE9" s="24"/>
      <c r="AF9" s="24"/>
      <c r="AG9" s="24"/>
      <c r="AH9" s="51">
        <f ca="1">IFERROR(__xludf.DUMMYFUNCTION("""COMPUTED_VALUE"""),45415.6666666666)</f>
        <v>45415.666666666599</v>
      </c>
      <c r="AI9" s="30">
        <f ca="1">IFERROR(__xludf.DUMMYFUNCTION("""COMPUTED_VALUE"""),30.67)</f>
        <v>30.67</v>
      </c>
      <c r="AJ9" s="51">
        <f ca="1">IFERROR(__xludf.DUMMYFUNCTION("""COMPUTED_VALUE"""),45412.6666666666)</f>
        <v>45412.666666666599</v>
      </c>
      <c r="AK9" s="30">
        <f ca="1">IFERROR(__xludf.DUMMYFUNCTION("""COMPUTED_VALUE"""),27.87)</f>
        <v>27.87</v>
      </c>
      <c r="AL9" s="51">
        <f ca="1">IFERROR(__xludf.DUMMYFUNCTION("""COMPUTED_VALUE"""),45376.6666666666)</f>
        <v>45376.666666666599</v>
      </c>
      <c r="AM9" s="30">
        <f ca="1">IFERROR(__xludf.DUMMYFUNCTION("""COMPUTED_VALUE"""),26.09)</f>
        <v>26.09</v>
      </c>
      <c r="AN9" s="51">
        <f ca="1">IFERROR(__xludf.DUMMYFUNCTION("""COMPUTED_VALUE"""),45286.6666666666)</f>
        <v>45286.666666666599</v>
      </c>
      <c r="AO9" s="30">
        <f ca="1">IFERROR(__xludf.DUMMYFUNCTION("""COMPUTED_VALUE"""),26.04)</f>
        <v>26.04</v>
      </c>
      <c r="AP9" s="51">
        <f ca="1">IFERROR(__xludf.DUMMYFUNCTION("""COMPUTED_VALUE"""),45289.6666666666)</f>
        <v>45289.666666666599</v>
      </c>
      <c r="AQ9" s="30">
        <f ca="1">IFERROR(__xludf.DUMMYFUNCTION("""COMPUTED_VALUE"""),27)</f>
        <v>27</v>
      </c>
      <c r="AR9" s="27"/>
      <c r="AS9" s="27"/>
      <c r="AT9" s="27"/>
      <c r="AU9" s="27"/>
      <c r="AV9" s="393"/>
      <c r="AW9" s="393"/>
      <c r="AX9" s="27"/>
      <c r="AY9" s="393"/>
      <c r="AZ9" s="393"/>
      <c r="BA9" s="393"/>
      <c r="BB9" s="393"/>
      <c r="BC9" s="393"/>
      <c r="BD9" s="27"/>
      <c r="BE9" s="27"/>
      <c r="BF9" s="27"/>
      <c r="BG9" s="27"/>
      <c r="BH9" s="27"/>
      <c r="BI9" s="27"/>
      <c r="BJ9" s="27"/>
      <c r="BK9" s="27"/>
      <c r="BL9" s="27"/>
      <c r="BM9" s="27"/>
      <c r="BN9" s="393"/>
      <c r="BO9" s="393"/>
      <c r="BP9" s="393"/>
      <c r="BQ9" s="393"/>
      <c r="BR9" s="393"/>
      <c r="BS9" s="393"/>
      <c r="BT9" s="393"/>
      <c r="BU9" s="393"/>
      <c r="BV9" s="393"/>
      <c r="BW9" s="393"/>
      <c r="BX9" s="393"/>
      <c r="BY9" s="393"/>
      <c r="BZ9" s="393"/>
      <c r="CA9" s="393"/>
      <c r="CB9" s="393"/>
      <c r="CC9" s="393"/>
    </row>
    <row r="10" spans="1:81" ht="13.2">
      <c r="A10" s="357">
        <f t="shared" si="0"/>
        <v>4</v>
      </c>
      <c r="B10" s="1" t="s">
        <v>213</v>
      </c>
      <c r="C10" s="48" t="str">
        <f ca="1">IFERROR(__xludf.DUMMYFUNCTION("GoogleFinance(B10,""name"")"),"Amphastar Pharmaceuticals Inc")</f>
        <v>Amphastar Pharmaceuticals Inc</v>
      </c>
      <c r="D10" s="49">
        <f ca="1">IFERROR(__xludf.DUMMYFUNCTION("GoogleFinance(B10,""marketcap"")/1000000"),1978.084319)</f>
        <v>1978.0843190000001</v>
      </c>
      <c r="E10" s="163" t="s">
        <v>15</v>
      </c>
      <c r="F10" s="163" t="s">
        <v>214</v>
      </c>
      <c r="G10" s="99">
        <v>45414</v>
      </c>
      <c r="H10" s="363">
        <f ca="1">IFERROR(__xludf.DUMMYFUNCTION("GOOGLEFINANCE(B10)"),40.45)</f>
        <v>40.450000000000003</v>
      </c>
      <c r="I10" s="164">
        <v>42.66</v>
      </c>
      <c r="J10" s="165">
        <f>2000/I10</f>
        <v>46.882325363338026</v>
      </c>
      <c r="K10" s="166">
        <f>J10*I10</f>
        <v>2000</v>
      </c>
      <c r="L10" s="166">
        <f ca="1">J10*H10</f>
        <v>1896.3900609470234</v>
      </c>
      <c r="M10" s="167">
        <f ca="1">L10-K10</f>
        <v>-103.60993905297664</v>
      </c>
      <c r="N10" s="168">
        <f ca="1">H10/I10-1</f>
        <v>-5.1804969526488387E-2</v>
      </c>
      <c r="O10" s="394">
        <f ca="1">TODAY()-G10</f>
        <v>53</v>
      </c>
      <c r="P10" s="59">
        <v>38.299999999999997</v>
      </c>
      <c r="Q10" s="98">
        <f ca="1">P10/H10-1</f>
        <v>-5.3152039555006358E-2</v>
      </c>
      <c r="R10" s="26">
        <v>80</v>
      </c>
      <c r="S10" s="24">
        <f ca="1">R10/H10-1</f>
        <v>0.97775030902348559</v>
      </c>
      <c r="T10" s="9">
        <f ca="1">IFERROR(__xludf.DUMMYFUNCTION("GoogleFinance(B10,""changepct"")/100"),0)</f>
        <v>0</v>
      </c>
      <c r="U10" s="395">
        <f ca="1">H10/AI11-1</f>
        <v>-4.7338671691003253E-2</v>
      </c>
      <c r="V10" s="215">
        <f ca="1">H10/AK11-1</f>
        <v>-1.9393939393939297E-2</v>
      </c>
      <c r="W10" s="102">
        <f ca="1">H10/AM11-1</f>
        <v>-7.2885629154251674E-2</v>
      </c>
      <c r="X10" s="102">
        <f ca="1">H10/AO11-1</f>
        <v>-0.3529035354343304</v>
      </c>
      <c r="Y10" s="215">
        <f ca="1">H10/AQ11-1</f>
        <v>-0.34599838318512532</v>
      </c>
      <c r="Z10" s="247" t="s">
        <v>69</v>
      </c>
      <c r="AA10" s="61" t="s">
        <v>69</v>
      </c>
      <c r="AB10" s="396" t="s">
        <v>79</v>
      </c>
      <c r="AC10" s="396" t="s">
        <v>109</v>
      </c>
      <c r="AD10" s="397"/>
      <c r="AE10" s="24"/>
      <c r="AF10" s="24"/>
      <c r="AG10" s="24"/>
      <c r="AH10" s="381" t="str">
        <f ca="1">IFERROR(__xludf.DUMMYFUNCTION("GoogleFinance(B10,""price"",DATE(2024,5,3))"),"Date")</f>
        <v>Date</v>
      </c>
      <c r="AI10" s="382" t="str">
        <f ca="1">IFERROR(__xludf.DUMMYFUNCTION("""COMPUTED_VALUE"""),"Close")</f>
        <v>Close</v>
      </c>
      <c r="AJ10" s="381" t="str">
        <f ca="1">IFERROR(__xludf.DUMMYFUNCTION("GoogleFinance(B10,""price"",DATE(2024,4,30))"),"Date")</f>
        <v>Date</v>
      </c>
      <c r="AK10" s="30" t="str">
        <f ca="1">IFERROR(__xludf.DUMMYFUNCTION("""COMPUTED_VALUE"""),"Close")</f>
        <v>Close</v>
      </c>
      <c r="AL10" s="2" t="str">
        <f ca="1">IFERROR(__xludf.DUMMYFUNCTION("GoogleFinance(B10,""price"",today()-91)"),"Date")</f>
        <v>Date</v>
      </c>
      <c r="AM10" s="30" t="str">
        <f ca="1">IFERROR(__xludf.DUMMYFUNCTION("""COMPUTED_VALUE"""),"Close")</f>
        <v>Close</v>
      </c>
      <c r="AN10" s="2" t="str">
        <f ca="1">IFERROR(__xludf.DUMMYFUNCTION("GoogleFinance(B10,""price"",today()-182)"),"Date")</f>
        <v>Date</v>
      </c>
      <c r="AO10" s="30" t="str">
        <f ca="1">IFERROR(__xludf.DUMMYFUNCTION("""COMPUTED_VALUE"""),"Close")</f>
        <v>Close</v>
      </c>
      <c r="AP10" s="2" t="str">
        <f ca="1">IFERROR(__xludf.DUMMYFUNCTION("GoogleFinance(B10,""price"",DATE(2023,12,29))"),"Date")</f>
        <v>Date</v>
      </c>
      <c r="AQ10" s="30" t="str">
        <f ca="1">IFERROR(__xludf.DUMMYFUNCTION("""COMPUTED_VALUE"""),"Close")</f>
        <v>Close</v>
      </c>
      <c r="AR10" s="24"/>
      <c r="AS10" s="30"/>
      <c r="AT10" s="90"/>
      <c r="AU10" s="90"/>
      <c r="AV10" s="90"/>
      <c r="AW10" s="90"/>
      <c r="AX10" s="92"/>
      <c r="AY10" s="92"/>
      <c r="AZ10" s="90"/>
      <c r="BA10" s="92"/>
      <c r="BB10" s="92"/>
      <c r="BC10" s="92"/>
      <c r="BD10" s="92"/>
      <c r="BE10" s="92"/>
      <c r="BF10" s="90"/>
      <c r="BG10" s="90"/>
      <c r="BH10" s="90"/>
      <c r="BI10" s="90"/>
      <c r="BJ10" s="90"/>
      <c r="BK10" s="90"/>
      <c r="BL10" s="90"/>
      <c r="BM10" s="90"/>
      <c r="BN10" s="90"/>
      <c r="BO10" s="90"/>
      <c r="BP10" s="92"/>
      <c r="BQ10" s="92"/>
      <c r="BR10" s="92"/>
      <c r="BS10" s="92"/>
      <c r="BT10" s="92"/>
      <c r="BU10" s="92"/>
      <c r="BV10" s="92"/>
      <c r="BW10" s="92"/>
      <c r="BX10" s="92"/>
      <c r="BY10" s="92"/>
      <c r="BZ10" s="92"/>
      <c r="CA10" s="92"/>
      <c r="CB10" s="92"/>
      <c r="CC10" s="92"/>
    </row>
    <row r="11" spans="1:81" ht="13.2" hidden="1">
      <c r="A11" s="398" t="e">
        <f>#REF!+1</f>
        <v>#REF!</v>
      </c>
      <c r="B11" s="399"/>
      <c r="C11" s="400"/>
      <c r="D11" s="399"/>
      <c r="E11" s="399"/>
      <c r="F11" s="399"/>
      <c r="G11" s="399"/>
      <c r="H11" s="401"/>
      <c r="I11" s="401"/>
      <c r="J11" s="401"/>
      <c r="K11" s="401"/>
      <c r="L11" s="401"/>
      <c r="M11" s="402"/>
      <c r="N11" s="403"/>
      <c r="O11" s="401"/>
      <c r="P11" s="401"/>
      <c r="Q11" s="404"/>
      <c r="R11" s="404"/>
      <c r="S11" s="404"/>
      <c r="T11" s="405"/>
      <c r="U11" s="399"/>
      <c r="V11" s="399"/>
      <c r="W11" s="399"/>
      <c r="X11" s="399"/>
      <c r="Y11" s="399"/>
      <c r="Z11" s="406"/>
      <c r="AA11" s="406"/>
      <c r="AB11" s="406"/>
      <c r="AC11" s="406"/>
      <c r="AD11" s="407"/>
      <c r="AE11" s="149"/>
      <c r="AF11" s="149"/>
      <c r="AG11" s="149"/>
      <c r="AH11" s="128">
        <f ca="1">IFERROR(__xludf.DUMMYFUNCTION("""COMPUTED_VALUE"""),45415.6666666666)</f>
        <v>45415.666666666599</v>
      </c>
      <c r="AI11" s="143">
        <f ca="1">IFERROR(__xludf.DUMMYFUNCTION("""COMPUTED_VALUE"""),42.46)</f>
        <v>42.46</v>
      </c>
      <c r="AJ11" s="128">
        <f ca="1">IFERROR(__xludf.DUMMYFUNCTION("""COMPUTED_VALUE"""),45412.6666666666)</f>
        <v>45412.666666666599</v>
      </c>
      <c r="AK11" s="143">
        <f ca="1">IFERROR(__xludf.DUMMYFUNCTION("""COMPUTED_VALUE"""),41.25)</f>
        <v>41.25</v>
      </c>
      <c r="AL11" s="128">
        <f ca="1">IFERROR(__xludf.DUMMYFUNCTION("""COMPUTED_VALUE"""),45376.6666666666)</f>
        <v>45376.666666666599</v>
      </c>
      <c r="AM11" s="143">
        <f ca="1">IFERROR(__xludf.DUMMYFUNCTION("""COMPUTED_VALUE"""),43.63)</f>
        <v>43.63</v>
      </c>
      <c r="AN11" s="128">
        <f ca="1">IFERROR(__xludf.DUMMYFUNCTION("""COMPUTED_VALUE"""),45286.6666666666)</f>
        <v>45286.666666666599</v>
      </c>
      <c r="AO11" s="143">
        <f ca="1">IFERROR(__xludf.DUMMYFUNCTION("""COMPUTED_VALUE"""),62.51)</f>
        <v>62.51</v>
      </c>
      <c r="AP11" s="128">
        <f ca="1">IFERROR(__xludf.DUMMYFUNCTION("""COMPUTED_VALUE"""),45289.6666666666)</f>
        <v>45289.666666666599</v>
      </c>
      <c r="AQ11" s="143">
        <f ca="1">IFERROR(__xludf.DUMMYFUNCTION("""COMPUTED_VALUE"""),61.85)</f>
        <v>61.85</v>
      </c>
      <c r="AR11" s="408"/>
      <c r="AS11" s="408"/>
      <c r="AT11" s="408"/>
      <c r="AU11" s="408"/>
      <c r="AV11" s="409"/>
      <c r="AW11" s="409"/>
      <c r="AX11" s="408"/>
      <c r="AY11" s="409"/>
      <c r="AZ11" s="409"/>
      <c r="BA11" s="409"/>
      <c r="BB11" s="409"/>
      <c r="BC11" s="409"/>
      <c r="BD11" s="408"/>
      <c r="BE11" s="408"/>
      <c r="BF11" s="408"/>
      <c r="BG11" s="408"/>
      <c r="BH11" s="408"/>
      <c r="BI11" s="408"/>
      <c r="BJ11" s="408"/>
      <c r="BK11" s="408"/>
      <c r="BL11" s="408"/>
      <c r="BM11" s="408"/>
      <c r="BN11" s="409"/>
      <c r="BO11" s="409"/>
      <c r="BP11" s="409"/>
      <c r="BQ11" s="409"/>
      <c r="BR11" s="409"/>
      <c r="BS11" s="409"/>
      <c r="BT11" s="409"/>
      <c r="BU11" s="409"/>
      <c r="BV11" s="409"/>
      <c r="BW11" s="409"/>
      <c r="BX11" s="409"/>
      <c r="BY11" s="409"/>
      <c r="BZ11" s="409"/>
      <c r="CA11" s="409"/>
      <c r="CB11" s="409"/>
      <c r="CC11" s="409"/>
    </row>
    <row r="12" spans="1:81" ht="13.2">
      <c r="A12" s="357">
        <f t="shared" ref="A12:A22" si="1">A10+1</f>
        <v>5</v>
      </c>
      <c r="B12" s="1" t="s">
        <v>215</v>
      </c>
      <c r="C12" s="48" t="str">
        <f ca="1">IFERROR(__xludf.DUMMYFUNCTION("GoogleFinance(B12,""name"")"),"Lululemon Athletica Inc")</f>
        <v>Lululemon Athletica Inc</v>
      </c>
      <c r="D12" s="49">
        <f ca="1">IFERROR(__xludf.DUMMYFUNCTION("GoogleFinance(B12,""marketcap"")/1000000"),37382.978126)</f>
        <v>37382.978126000002</v>
      </c>
      <c r="E12" s="163" t="s">
        <v>9</v>
      </c>
      <c r="F12" s="163" t="s">
        <v>216</v>
      </c>
      <c r="G12" s="99">
        <v>45443</v>
      </c>
      <c r="H12" s="363">
        <f ca="1">IFERROR(__xludf.DUMMYFUNCTION("GOOGLEFINANCE(B12)"),311.82)</f>
        <v>311.82</v>
      </c>
      <c r="I12" s="164">
        <v>310.13</v>
      </c>
      <c r="J12" s="165">
        <f>3000/I12</f>
        <v>9.6733627833489191</v>
      </c>
      <c r="K12" s="166">
        <f>J12*I12</f>
        <v>3000.0000000000005</v>
      </c>
      <c r="L12" s="166">
        <f ca="1">J12*H12</f>
        <v>3016.3479831038599</v>
      </c>
      <c r="M12" s="167">
        <f ca="1">L12-K12</f>
        <v>16.347983103859406</v>
      </c>
      <c r="N12" s="168">
        <f ca="1">H12/I12-1</f>
        <v>5.4493277012865882E-3</v>
      </c>
      <c r="O12" s="394">
        <f ca="1">TODAY()-G12</f>
        <v>24</v>
      </c>
      <c r="P12" s="59">
        <v>290</v>
      </c>
      <c r="Q12" s="98">
        <f ca="1">P12/H12-1</f>
        <v>-6.9976268359951188E-2</v>
      </c>
      <c r="R12" s="26">
        <v>400</v>
      </c>
      <c r="S12" s="24">
        <f ca="1">R12/H12-1</f>
        <v>0.28279135398627409</v>
      </c>
      <c r="T12" s="9">
        <f ca="1">IFERROR(__xludf.DUMMYFUNCTION("GoogleFinance(B12,""changepct"")/100"),0)</f>
        <v>0</v>
      </c>
      <c r="U12" s="395">
        <f ca="1">H12/AI13-1</f>
        <v>-0.12200478670984083</v>
      </c>
      <c r="V12" s="215">
        <f ca="1">H12/AK13-1</f>
        <v>-0.13527454242928461</v>
      </c>
      <c r="W12" s="102">
        <f ca="1">H12/AM13-1</f>
        <v>-0.19820005142710206</v>
      </c>
      <c r="X12" s="102">
        <f ca="1">H12/AO13-1</f>
        <v>-0.3841444145994628</v>
      </c>
      <c r="Y12" s="215">
        <f ca="1">H12/AQ13-1</f>
        <v>-0.39013084550841992</v>
      </c>
      <c r="Z12" s="247" t="s">
        <v>69</v>
      </c>
      <c r="AA12" s="61" t="s">
        <v>69</v>
      </c>
      <c r="AB12" s="396" t="s">
        <v>79</v>
      </c>
      <c r="AC12" s="396" t="s">
        <v>109</v>
      </c>
      <c r="AD12" s="397"/>
      <c r="AE12" s="24"/>
      <c r="AF12" s="24"/>
      <c r="AG12" s="24"/>
      <c r="AH12" s="381" t="str">
        <f ca="1">IFERROR(__xludf.DUMMYFUNCTION("GoogleFinance(B12,""price"",DATE(2024,5,3))"),"Date")</f>
        <v>Date</v>
      </c>
      <c r="AI12" s="382" t="str">
        <f ca="1">IFERROR(__xludf.DUMMYFUNCTION("""COMPUTED_VALUE"""),"Close")</f>
        <v>Close</v>
      </c>
      <c r="AJ12" s="381" t="str">
        <f ca="1">IFERROR(__xludf.DUMMYFUNCTION("GoogleFinance(B12,""price"",DATE(2024,4,30))"),"Date")</f>
        <v>Date</v>
      </c>
      <c r="AK12" s="30" t="str">
        <f ca="1">IFERROR(__xludf.DUMMYFUNCTION("""COMPUTED_VALUE"""),"Close")</f>
        <v>Close</v>
      </c>
      <c r="AL12" s="2" t="str">
        <f ca="1">IFERROR(__xludf.DUMMYFUNCTION("GoogleFinance(B12,""price"",today()-91)"),"Date")</f>
        <v>Date</v>
      </c>
      <c r="AM12" s="30" t="str">
        <f ca="1">IFERROR(__xludf.DUMMYFUNCTION("""COMPUTED_VALUE"""),"Close")</f>
        <v>Close</v>
      </c>
      <c r="AN12" s="2" t="str">
        <f ca="1">IFERROR(__xludf.DUMMYFUNCTION("GoogleFinance(B12,""price"",today()-182)"),"Date")</f>
        <v>Date</v>
      </c>
      <c r="AO12" s="30" t="str">
        <f ca="1">IFERROR(__xludf.DUMMYFUNCTION("""COMPUTED_VALUE"""),"Close")</f>
        <v>Close</v>
      </c>
      <c r="AP12" s="2" t="str">
        <f ca="1">IFERROR(__xludf.DUMMYFUNCTION("GoogleFinance(B12,""price"",DATE(2023,12,29))"),"Date")</f>
        <v>Date</v>
      </c>
      <c r="AQ12" s="30" t="str">
        <f ca="1">IFERROR(__xludf.DUMMYFUNCTION("""COMPUTED_VALUE"""),"Close")</f>
        <v>Close</v>
      </c>
      <c r="AR12" s="24"/>
      <c r="AS12" s="30"/>
      <c r="AT12" s="90"/>
      <c r="AU12" s="90"/>
      <c r="AV12" s="90"/>
      <c r="AW12" s="90"/>
      <c r="AX12" s="92"/>
      <c r="AY12" s="92"/>
      <c r="AZ12" s="90"/>
      <c r="BA12" s="92"/>
      <c r="BB12" s="92"/>
      <c r="BC12" s="92"/>
      <c r="BD12" s="92"/>
      <c r="BE12" s="92"/>
      <c r="BF12" s="90"/>
      <c r="BG12" s="90"/>
      <c r="BH12" s="90"/>
      <c r="BI12" s="90"/>
      <c r="BJ12" s="90"/>
      <c r="BK12" s="90"/>
      <c r="BL12" s="90"/>
      <c r="BM12" s="90"/>
      <c r="BN12" s="90"/>
      <c r="BO12" s="90"/>
      <c r="BP12" s="92"/>
      <c r="BQ12" s="92"/>
      <c r="BR12" s="92"/>
      <c r="BS12" s="92"/>
      <c r="BT12" s="92"/>
      <c r="BU12" s="92"/>
      <c r="BV12" s="92"/>
      <c r="BW12" s="92"/>
      <c r="BX12" s="92"/>
      <c r="BY12" s="92"/>
      <c r="BZ12" s="92"/>
      <c r="CA12" s="92"/>
      <c r="CB12" s="92"/>
      <c r="CC12" s="92"/>
    </row>
    <row r="13" spans="1:81" ht="13.2" hidden="1">
      <c r="A13" s="357" t="e">
        <f t="shared" si="1"/>
        <v>#REF!</v>
      </c>
      <c r="B13" s="399"/>
      <c r="C13" s="400"/>
      <c r="D13" s="399"/>
      <c r="E13" s="399"/>
      <c r="F13" s="399"/>
      <c r="G13" s="399"/>
      <c r="H13" s="401"/>
      <c r="I13" s="401"/>
      <c r="J13" s="401"/>
      <c r="K13" s="401"/>
      <c r="L13" s="401"/>
      <c r="M13" s="402"/>
      <c r="N13" s="403"/>
      <c r="O13" s="401"/>
      <c r="P13" s="401"/>
      <c r="Q13" s="404"/>
      <c r="R13" s="404"/>
      <c r="S13" s="404"/>
      <c r="T13" s="405"/>
      <c r="U13" s="399"/>
      <c r="V13" s="399"/>
      <c r="W13" s="399"/>
      <c r="X13" s="399"/>
      <c r="Y13" s="399"/>
      <c r="Z13" s="406"/>
      <c r="AA13" s="406"/>
      <c r="AB13" s="406"/>
      <c r="AC13" s="406"/>
      <c r="AD13" s="407"/>
      <c r="AE13" s="149"/>
      <c r="AF13" s="149"/>
      <c r="AG13" s="149"/>
      <c r="AH13" s="128">
        <f ca="1">IFERROR(__xludf.DUMMYFUNCTION("""COMPUTED_VALUE"""),45415.6666666666)</f>
        <v>45415.666666666599</v>
      </c>
      <c r="AI13" s="143">
        <f ca="1">IFERROR(__xludf.DUMMYFUNCTION("""COMPUTED_VALUE"""),355.15)</f>
        <v>355.15</v>
      </c>
      <c r="AJ13" s="128">
        <f ca="1">IFERROR(__xludf.DUMMYFUNCTION("""COMPUTED_VALUE"""),45412.6666666666)</f>
        <v>45412.666666666599</v>
      </c>
      <c r="AK13" s="143">
        <f ca="1">IFERROR(__xludf.DUMMYFUNCTION("""COMPUTED_VALUE"""),360.6)</f>
        <v>360.6</v>
      </c>
      <c r="AL13" s="128">
        <f ca="1">IFERROR(__xludf.DUMMYFUNCTION("""COMPUTED_VALUE"""),45376.6666666666)</f>
        <v>45376.666666666599</v>
      </c>
      <c r="AM13" s="143">
        <f ca="1">IFERROR(__xludf.DUMMYFUNCTION("""COMPUTED_VALUE"""),388.9)</f>
        <v>388.9</v>
      </c>
      <c r="AN13" s="128">
        <f ca="1">IFERROR(__xludf.DUMMYFUNCTION("""COMPUTED_VALUE"""),45286.6666666666)</f>
        <v>45286.666666666599</v>
      </c>
      <c r="AO13" s="143">
        <f ca="1">IFERROR(__xludf.DUMMYFUNCTION("""COMPUTED_VALUE"""),506.32)</f>
        <v>506.32</v>
      </c>
      <c r="AP13" s="128">
        <f ca="1">IFERROR(__xludf.DUMMYFUNCTION("""COMPUTED_VALUE"""),45289.6666666666)</f>
        <v>45289.666666666599</v>
      </c>
      <c r="AQ13" s="143">
        <f ca="1">IFERROR(__xludf.DUMMYFUNCTION("""COMPUTED_VALUE"""),511.29)</f>
        <v>511.29</v>
      </c>
      <c r="AR13" s="408"/>
      <c r="AS13" s="408"/>
      <c r="AT13" s="408"/>
      <c r="AU13" s="408"/>
      <c r="AV13" s="409"/>
      <c r="AW13" s="409"/>
      <c r="AX13" s="408"/>
      <c r="AY13" s="409"/>
      <c r="AZ13" s="409"/>
      <c r="BA13" s="409"/>
      <c r="BB13" s="409"/>
      <c r="BC13" s="409"/>
      <c r="BD13" s="408"/>
      <c r="BE13" s="408"/>
      <c r="BF13" s="408"/>
      <c r="BG13" s="408"/>
      <c r="BH13" s="408"/>
      <c r="BI13" s="408"/>
      <c r="BJ13" s="408"/>
      <c r="BK13" s="408"/>
      <c r="BL13" s="408"/>
      <c r="BM13" s="408"/>
      <c r="BN13" s="409"/>
      <c r="BO13" s="409"/>
      <c r="BP13" s="409"/>
      <c r="BQ13" s="409"/>
      <c r="BR13" s="409"/>
      <c r="BS13" s="409"/>
      <c r="BT13" s="409"/>
      <c r="BU13" s="409"/>
      <c r="BV13" s="409"/>
      <c r="BW13" s="409"/>
      <c r="BX13" s="409"/>
      <c r="BY13" s="409"/>
      <c r="BZ13" s="409"/>
      <c r="CA13" s="409"/>
      <c r="CB13" s="409"/>
      <c r="CC13" s="409"/>
    </row>
    <row r="14" spans="1:81" ht="13.2">
      <c r="A14" s="398">
        <f t="shared" si="1"/>
        <v>6</v>
      </c>
      <c r="B14" s="29" t="s">
        <v>217</v>
      </c>
      <c r="C14" s="125" t="str">
        <f ca="1">IFERROR(__xludf.DUMMYFUNCTION("GoogleFinance(B14,""name"")"),"Baker Hughes Co")</f>
        <v>Baker Hughes Co</v>
      </c>
      <c r="D14" s="126">
        <f ca="1">IFERROR(__xludf.DUMMYFUNCTION("GoogleFinance(B14,""marketcap"")/1000000"),32864.057979)</f>
        <v>32864.057978999997</v>
      </c>
      <c r="E14" s="410" t="s">
        <v>14</v>
      </c>
      <c r="F14" s="410" t="s">
        <v>29</v>
      </c>
      <c r="G14" s="151">
        <v>45463</v>
      </c>
      <c r="H14" s="411">
        <f ca="1">IFERROR(__xludf.DUMMYFUNCTION("GOOGLEFINANCE(B14)"),32.93)</f>
        <v>32.93</v>
      </c>
      <c r="I14" s="412">
        <v>32.9</v>
      </c>
      <c r="J14" s="413">
        <f>4000/I14</f>
        <v>121.58054711246201</v>
      </c>
      <c r="K14" s="414">
        <f>J14*I14</f>
        <v>4000</v>
      </c>
      <c r="L14" s="414">
        <f ca="1">J14*H14</f>
        <v>4003.6474164133742</v>
      </c>
      <c r="M14" s="415">
        <f ca="1">L14-K14</f>
        <v>3.6474164133742306</v>
      </c>
      <c r="N14" s="416">
        <f ca="1">H14/I14-1</f>
        <v>9.1185410334349015E-4</v>
      </c>
      <c r="O14" s="417">
        <f ca="1">TODAY()-G14</f>
        <v>4</v>
      </c>
      <c r="P14" s="418">
        <v>30</v>
      </c>
      <c r="Q14" s="150">
        <f ca="1">P14/H14-1</f>
        <v>-8.8976617066504726E-2</v>
      </c>
      <c r="R14" s="419">
        <v>43</v>
      </c>
      <c r="S14" s="149">
        <f ca="1">R14/H14-1</f>
        <v>0.30580018220467653</v>
      </c>
      <c r="T14" s="137">
        <f ca="1">IFERROR(__xludf.DUMMYFUNCTION("GoogleFinance(B14,""changepct"")/100"),0)</f>
        <v>0</v>
      </c>
      <c r="U14" s="420">
        <f ca="1">H14/AI15-1</f>
        <v>3.1641604010024915E-2</v>
      </c>
      <c r="V14" s="421">
        <f ca="1">H14/AK15-1</f>
        <v>9.5033721643165148E-3</v>
      </c>
      <c r="W14" s="422">
        <f ca="1">H14/AM15-1</f>
        <v>-1.0814058275758431E-2</v>
      </c>
      <c r="X14" s="422">
        <f ca="1">H14/AO15-1</f>
        <v>-5.3191489361702149E-2</v>
      </c>
      <c r="Y14" s="421">
        <f ca="1">H14/AQ15-1</f>
        <v>-3.6571094207138666E-2</v>
      </c>
      <c r="Z14" s="247" t="s">
        <v>122</v>
      </c>
      <c r="AA14" s="423" t="s">
        <v>69</v>
      </c>
      <c r="AB14" s="424" t="s">
        <v>79</v>
      </c>
      <c r="AC14" s="424" t="s">
        <v>109</v>
      </c>
      <c r="AD14" s="425"/>
      <c r="AE14" s="149"/>
      <c r="AF14" s="149"/>
      <c r="AG14" s="149"/>
      <c r="AH14" s="426" t="str">
        <f ca="1">IFERROR(__xludf.DUMMYFUNCTION("GoogleFinance(B14,""price"",DATE(2024,5,3))"),"Date")</f>
        <v>Date</v>
      </c>
      <c r="AI14" s="427" t="str">
        <f ca="1">IFERROR(__xludf.DUMMYFUNCTION("""COMPUTED_VALUE"""),"Close")</f>
        <v>Close</v>
      </c>
      <c r="AJ14" s="426" t="str">
        <f ca="1">IFERROR(__xludf.DUMMYFUNCTION("GoogleFinance(B14,""price"",DATE(2024,4,30))"),"Date")</f>
        <v>Date</v>
      </c>
      <c r="AK14" s="143" t="str">
        <f ca="1">IFERROR(__xludf.DUMMYFUNCTION("""COMPUTED_VALUE"""),"Close")</f>
        <v>Close</v>
      </c>
      <c r="AL14" s="129" t="str">
        <f ca="1">IFERROR(__xludf.DUMMYFUNCTION("GoogleFinance(B14,""price"",today()-91)"),"Date")</f>
        <v>Date</v>
      </c>
      <c r="AM14" s="143" t="str">
        <f ca="1">IFERROR(__xludf.DUMMYFUNCTION("""COMPUTED_VALUE"""),"Close")</f>
        <v>Close</v>
      </c>
      <c r="AN14" s="129" t="str">
        <f ca="1">IFERROR(__xludf.DUMMYFUNCTION("GoogleFinance(B14,""price"",today()-182)"),"Date")</f>
        <v>Date</v>
      </c>
      <c r="AO14" s="143" t="str">
        <f ca="1">IFERROR(__xludf.DUMMYFUNCTION("""COMPUTED_VALUE"""),"Close")</f>
        <v>Close</v>
      </c>
      <c r="AP14" s="129" t="str">
        <f ca="1">IFERROR(__xludf.DUMMYFUNCTION("GoogleFinance(B14,""price"",DATE(2023,12,29))"),"Date")</f>
        <v>Date</v>
      </c>
      <c r="AQ14" s="143" t="str">
        <f ca="1">IFERROR(__xludf.DUMMYFUNCTION("""COMPUTED_VALUE"""),"Close")</f>
        <v>Close</v>
      </c>
      <c r="AR14" s="149"/>
      <c r="AS14" s="143"/>
      <c r="AT14" s="175"/>
      <c r="AU14" s="175"/>
      <c r="AV14" s="175"/>
      <c r="AW14" s="175"/>
      <c r="AX14" s="183"/>
      <c r="AY14" s="183"/>
      <c r="AZ14" s="175"/>
      <c r="BA14" s="183"/>
      <c r="BB14" s="183"/>
      <c r="BC14" s="183"/>
      <c r="BD14" s="183"/>
      <c r="BE14" s="183"/>
      <c r="BF14" s="175"/>
      <c r="BG14" s="175"/>
      <c r="BH14" s="175"/>
      <c r="BI14" s="175"/>
      <c r="BJ14" s="175"/>
      <c r="BK14" s="175"/>
      <c r="BL14" s="175"/>
      <c r="BM14" s="175"/>
      <c r="BN14" s="175"/>
      <c r="BO14" s="175"/>
      <c r="BP14" s="183"/>
      <c r="BQ14" s="183"/>
      <c r="BR14" s="183"/>
      <c r="BS14" s="183"/>
      <c r="BT14" s="183"/>
      <c r="BU14" s="183"/>
      <c r="BV14" s="183"/>
      <c r="BW14" s="183"/>
      <c r="BX14" s="183"/>
      <c r="BY14" s="183"/>
      <c r="BZ14" s="183"/>
      <c r="CA14" s="183"/>
      <c r="CB14" s="183"/>
      <c r="CC14" s="183"/>
    </row>
    <row r="15" spans="1:81" ht="13.2" hidden="1">
      <c r="A15" s="357" t="e">
        <f t="shared" si="1"/>
        <v>#REF!</v>
      </c>
      <c r="B15" s="399"/>
      <c r="C15" s="400"/>
      <c r="D15" s="399"/>
      <c r="E15" s="399"/>
      <c r="F15" s="399"/>
      <c r="G15" s="399"/>
      <c r="H15" s="401"/>
      <c r="I15" s="401"/>
      <c r="J15" s="401"/>
      <c r="K15" s="401"/>
      <c r="L15" s="401"/>
      <c r="M15" s="402"/>
      <c r="N15" s="403"/>
      <c r="O15" s="401"/>
      <c r="P15" s="401"/>
      <c r="Q15" s="404"/>
      <c r="R15" s="404"/>
      <c r="S15" s="404"/>
      <c r="T15" s="405"/>
      <c r="U15" s="399"/>
      <c r="V15" s="399"/>
      <c r="W15" s="399"/>
      <c r="X15" s="399"/>
      <c r="Y15" s="399"/>
      <c r="Z15" s="406"/>
      <c r="AA15" s="406"/>
      <c r="AB15" s="406"/>
      <c r="AC15" s="406"/>
      <c r="AD15" s="407"/>
      <c r="AE15" s="149"/>
      <c r="AF15" s="149"/>
      <c r="AG15" s="149"/>
      <c r="AH15" s="128">
        <f ca="1">IFERROR(__xludf.DUMMYFUNCTION("""COMPUTED_VALUE"""),45415.6666666666)</f>
        <v>45415.666666666599</v>
      </c>
      <c r="AI15" s="143">
        <f ca="1">IFERROR(__xludf.DUMMYFUNCTION("""COMPUTED_VALUE"""),31.92)</f>
        <v>31.92</v>
      </c>
      <c r="AJ15" s="128">
        <f ca="1">IFERROR(__xludf.DUMMYFUNCTION("""COMPUTED_VALUE"""),45412.6666666666)</f>
        <v>45412.666666666599</v>
      </c>
      <c r="AK15" s="143">
        <f ca="1">IFERROR(__xludf.DUMMYFUNCTION("""COMPUTED_VALUE"""),32.62)</f>
        <v>32.619999999999997</v>
      </c>
      <c r="AL15" s="128">
        <f ca="1">IFERROR(__xludf.DUMMYFUNCTION("""COMPUTED_VALUE"""),45376.6666666666)</f>
        <v>45376.666666666599</v>
      </c>
      <c r="AM15" s="143">
        <f ca="1">IFERROR(__xludf.DUMMYFUNCTION("""COMPUTED_VALUE"""),33.29)</f>
        <v>33.29</v>
      </c>
      <c r="AN15" s="128">
        <f ca="1">IFERROR(__xludf.DUMMYFUNCTION("""COMPUTED_VALUE"""),45286.6666666666)</f>
        <v>45286.666666666599</v>
      </c>
      <c r="AO15" s="143">
        <f ca="1">IFERROR(__xludf.DUMMYFUNCTION("""COMPUTED_VALUE"""),34.78)</f>
        <v>34.78</v>
      </c>
      <c r="AP15" s="128">
        <f ca="1">IFERROR(__xludf.DUMMYFUNCTION("""COMPUTED_VALUE"""),45289.6666666666)</f>
        <v>45289.666666666599</v>
      </c>
      <c r="AQ15" s="143">
        <f ca="1">IFERROR(__xludf.DUMMYFUNCTION("""COMPUTED_VALUE"""),34.18)</f>
        <v>34.18</v>
      </c>
      <c r="AR15" s="408"/>
      <c r="AS15" s="408"/>
      <c r="AT15" s="408"/>
      <c r="AU15" s="408"/>
      <c r="AV15" s="409"/>
      <c r="AW15" s="409"/>
      <c r="AX15" s="408"/>
      <c r="AY15" s="409"/>
      <c r="AZ15" s="409"/>
      <c r="BA15" s="409"/>
      <c r="BB15" s="409"/>
      <c r="BC15" s="409"/>
      <c r="BD15" s="408"/>
      <c r="BE15" s="408"/>
      <c r="BF15" s="408"/>
      <c r="BG15" s="408"/>
      <c r="BH15" s="408"/>
      <c r="BI15" s="408"/>
      <c r="BJ15" s="408"/>
      <c r="BK15" s="408"/>
      <c r="BL15" s="408"/>
      <c r="BM15" s="408"/>
      <c r="BN15" s="409"/>
      <c r="BO15" s="409"/>
      <c r="BP15" s="409"/>
      <c r="BQ15" s="409"/>
      <c r="BR15" s="409"/>
      <c r="BS15" s="409"/>
      <c r="BT15" s="409"/>
      <c r="BU15" s="409"/>
      <c r="BV15" s="409"/>
      <c r="BW15" s="409"/>
      <c r="BX15" s="409"/>
      <c r="BY15" s="409"/>
      <c r="BZ15" s="409"/>
      <c r="CA15" s="409"/>
      <c r="CB15" s="409"/>
      <c r="CC15" s="409"/>
    </row>
    <row r="16" spans="1:81" ht="13.2">
      <c r="A16" s="398">
        <f t="shared" si="1"/>
        <v>7</v>
      </c>
      <c r="B16" s="29" t="s">
        <v>218</v>
      </c>
      <c r="C16" s="125" t="str">
        <f ca="1">IFERROR(__xludf.DUMMYFUNCTION("GoogleFinance(B16,""name"")"),"Vermilion Energy Inc")</f>
        <v>Vermilion Energy Inc</v>
      </c>
      <c r="D16" s="126">
        <f ca="1">IFERROR(__xludf.DUMMYFUNCTION("GoogleFinance(B16,""marketcap"")/1000000"),2407.108)</f>
        <v>2407.1080000000002</v>
      </c>
      <c r="E16" s="410" t="s">
        <v>14</v>
      </c>
      <c r="F16" s="410" t="s">
        <v>29</v>
      </c>
      <c r="G16" s="151">
        <v>45463</v>
      </c>
      <c r="H16" s="411">
        <f ca="1">IFERROR(__xludf.DUMMYFUNCTION("GOOGLEFINANCE(B16)"),11)</f>
        <v>11</v>
      </c>
      <c r="I16" s="412">
        <v>11.3</v>
      </c>
      <c r="J16" s="413">
        <f>2000/I16</f>
        <v>176.99115044247787</v>
      </c>
      <c r="K16" s="414">
        <f>J16*I16</f>
        <v>2000</v>
      </c>
      <c r="L16" s="414">
        <f ca="1">J16*H16</f>
        <v>1946.9026548672566</v>
      </c>
      <c r="M16" s="415">
        <f ca="1">L16-K16</f>
        <v>-53.097345132743385</v>
      </c>
      <c r="N16" s="416">
        <f ca="1">H16/I16-1</f>
        <v>-2.6548672566371723E-2</v>
      </c>
      <c r="O16" s="417">
        <f ca="1">TODAY()-G16</f>
        <v>4</v>
      </c>
      <c r="P16" s="418">
        <v>10.3</v>
      </c>
      <c r="Q16" s="150">
        <f ca="1">P16/H16-1</f>
        <v>-6.3636363636363602E-2</v>
      </c>
      <c r="R16" s="419">
        <v>15</v>
      </c>
      <c r="S16" s="149">
        <f ca="1">R16/H16-1</f>
        <v>0.36363636363636354</v>
      </c>
      <c r="T16" s="137">
        <f ca="1">IFERROR(__xludf.DUMMYFUNCTION("GoogleFinance(B16,""changepct"")/100"),0)</f>
        <v>0</v>
      </c>
      <c r="U16" s="420">
        <f ca="1">H16/AI17-1</f>
        <v>-6.8585944115156727E-2</v>
      </c>
      <c r="V16" s="421">
        <f ca="1">H16/AK17-1</f>
        <v>-4.5967042497831678E-2</v>
      </c>
      <c r="W16" s="422">
        <f ca="1">H16/AM17-1</f>
        <v>-9.3904448105436633E-2</v>
      </c>
      <c r="X16" s="422">
        <f ca="1">H16/AO17-1</f>
        <v>-0.14330218068535827</v>
      </c>
      <c r="Y16" s="421">
        <f ca="1">H16/AQ17-1</f>
        <v>-8.7893864013267042E-2</v>
      </c>
      <c r="Z16" s="247" t="s">
        <v>122</v>
      </c>
      <c r="AA16" s="423" t="s">
        <v>69</v>
      </c>
      <c r="AB16" s="424" t="s">
        <v>79</v>
      </c>
      <c r="AC16" s="424" t="s">
        <v>109</v>
      </c>
      <c r="AD16" s="425"/>
      <c r="AE16" s="149"/>
      <c r="AF16" s="149"/>
      <c r="AG16" s="149"/>
      <c r="AH16" s="426" t="str">
        <f ca="1">IFERROR(__xludf.DUMMYFUNCTION("GoogleFinance(B16,""price"",DATE(2024,5,3))"),"Date")</f>
        <v>Date</v>
      </c>
      <c r="AI16" s="427" t="str">
        <f ca="1">IFERROR(__xludf.DUMMYFUNCTION("""COMPUTED_VALUE"""),"Close")</f>
        <v>Close</v>
      </c>
      <c r="AJ16" s="426" t="str">
        <f ca="1">IFERROR(__xludf.DUMMYFUNCTION("GoogleFinance(B16,""price"",DATE(2024,4,30))"),"Date")</f>
        <v>Date</v>
      </c>
      <c r="AK16" s="143" t="str">
        <f ca="1">IFERROR(__xludf.DUMMYFUNCTION("""COMPUTED_VALUE"""),"Close")</f>
        <v>Close</v>
      </c>
      <c r="AL16" s="129" t="str">
        <f ca="1">IFERROR(__xludf.DUMMYFUNCTION("GoogleFinance(B16,""price"",today()-91)"),"Date")</f>
        <v>Date</v>
      </c>
      <c r="AM16" s="143" t="str">
        <f ca="1">IFERROR(__xludf.DUMMYFUNCTION("""COMPUTED_VALUE"""),"Close")</f>
        <v>Close</v>
      </c>
      <c r="AN16" s="129" t="str">
        <f ca="1">IFERROR(__xludf.DUMMYFUNCTION("GoogleFinance(B16,""price"",today()-182)"),"Date")</f>
        <v>Date</v>
      </c>
      <c r="AO16" s="143" t="str">
        <f ca="1">IFERROR(__xludf.DUMMYFUNCTION("""COMPUTED_VALUE"""),"Close")</f>
        <v>Close</v>
      </c>
      <c r="AP16" s="129" t="str">
        <f ca="1">IFERROR(__xludf.DUMMYFUNCTION("GoogleFinance(B16,""price"",DATE(2023,12,29))"),"Date")</f>
        <v>Date</v>
      </c>
      <c r="AQ16" s="143" t="str">
        <f ca="1">IFERROR(__xludf.DUMMYFUNCTION("""COMPUTED_VALUE"""),"Close")</f>
        <v>Close</v>
      </c>
      <c r="AR16" s="149"/>
      <c r="AS16" s="143"/>
      <c r="AT16" s="175"/>
      <c r="AU16" s="175"/>
      <c r="AV16" s="175"/>
      <c r="AW16" s="175"/>
      <c r="AX16" s="183"/>
      <c r="AY16" s="183"/>
      <c r="AZ16" s="175"/>
      <c r="BA16" s="183"/>
      <c r="BB16" s="183"/>
      <c r="BC16" s="183"/>
      <c r="BD16" s="183"/>
      <c r="BE16" s="183"/>
      <c r="BF16" s="175"/>
      <c r="BG16" s="175"/>
      <c r="BH16" s="175"/>
      <c r="BI16" s="175"/>
      <c r="BJ16" s="175"/>
      <c r="BK16" s="175"/>
      <c r="BL16" s="175"/>
      <c r="BM16" s="175"/>
      <c r="BN16" s="175"/>
      <c r="BO16" s="175"/>
      <c r="BP16" s="183"/>
      <c r="BQ16" s="183"/>
      <c r="BR16" s="183"/>
      <c r="BS16" s="183"/>
      <c r="BT16" s="183"/>
      <c r="BU16" s="183"/>
      <c r="BV16" s="183"/>
      <c r="BW16" s="183"/>
      <c r="BX16" s="183"/>
      <c r="BY16" s="183"/>
      <c r="BZ16" s="183"/>
      <c r="CA16" s="183"/>
      <c r="CB16" s="183"/>
      <c r="CC16" s="183"/>
    </row>
    <row r="17" spans="1:81" ht="13.2" hidden="1">
      <c r="A17" s="357" t="e">
        <f t="shared" si="1"/>
        <v>#REF!</v>
      </c>
      <c r="B17" s="399"/>
      <c r="C17" s="400"/>
      <c r="D17" s="399"/>
      <c r="E17" s="399"/>
      <c r="F17" s="399"/>
      <c r="G17" s="399"/>
      <c r="H17" s="401"/>
      <c r="I17" s="401"/>
      <c r="J17" s="401"/>
      <c r="K17" s="401"/>
      <c r="L17" s="401"/>
      <c r="M17" s="402"/>
      <c r="N17" s="403"/>
      <c r="O17" s="401"/>
      <c r="P17" s="401"/>
      <c r="Q17" s="404"/>
      <c r="R17" s="404"/>
      <c r="S17" s="404"/>
      <c r="T17" s="405"/>
      <c r="U17" s="399"/>
      <c r="V17" s="399"/>
      <c r="W17" s="399"/>
      <c r="X17" s="399"/>
      <c r="Y17" s="399"/>
      <c r="Z17" s="406"/>
      <c r="AA17" s="406"/>
      <c r="AB17" s="406"/>
      <c r="AC17" s="406"/>
      <c r="AD17" s="407"/>
      <c r="AE17" s="149"/>
      <c r="AF17" s="149"/>
      <c r="AG17" s="149"/>
      <c r="AH17" s="128">
        <f ca="1">IFERROR(__xludf.DUMMYFUNCTION("""COMPUTED_VALUE"""),45415.6666666666)</f>
        <v>45415.666666666599</v>
      </c>
      <c r="AI17" s="143">
        <f ca="1">IFERROR(__xludf.DUMMYFUNCTION("""COMPUTED_VALUE"""),11.81)</f>
        <v>11.81</v>
      </c>
      <c r="AJ17" s="128">
        <f ca="1">IFERROR(__xludf.DUMMYFUNCTION("""COMPUTED_VALUE"""),45412.6666666666)</f>
        <v>45412.666666666599</v>
      </c>
      <c r="AK17" s="143">
        <f ca="1">IFERROR(__xludf.DUMMYFUNCTION("""COMPUTED_VALUE"""),11.53)</f>
        <v>11.53</v>
      </c>
      <c r="AL17" s="128">
        <f ca="1">IFERROR(__xludf.DUMMYFUNCTION("""COMPUTED_VALUE"""),45376.6666666666)</f>
        <v>45376.666666666599</v>
      </c>
      <c r="AM17" s="143">
        <f ca="1">IFERROR(__xludf.DUMMYFUNCTION("""COMPUTED_VALUE"""),12.14)</f>
        <v>12.14</v>
      </c>
      <c r="AN17" s="128">
        <f ca="1">IFERROR(__xludf.DUMMYFUNCTION("""COMPUTED_VALUE"""),45286.6666666666)</f>
        <v>45286.666666666599</v>
      </c>
      <c r="AO17" s="143">
        <f ca="1">IFERROR(__xludf.DUMMYFUNCTION("""COMPUTED_VALUE"""),12.84)</f>
        <v>12.84</v>
      </c>
      <c r="AP17" s="128">
        <f ca="1">IFERROR(__xludf.DUMMYFUNCTION("""COMPUTED_VALUE"""),45289.6666666666)</f>
        <v>45289.666666666599</v>
      </c>
      <c r="AQ17" s="143">
        <f ca="1">IFERROR(__xludf.DUMMYFUNCTION("""COMPUTED_VALUE"""),12.06)</f>
        <v>12.06</v>
      </c>
      <c r="AR17" s="408"/>
      <c r="AS17" s="408"/>
      <c r="AT17" s="408"/>
      <c r="AU17" s="408"/>
      <c r="AV17" s="409"/>
      <c r="AW17" s="409"/>
      <c r="AX17" s="408"/>
      <c r="AY17" s="409"/>
      <c r="AZ17" s="409"/>
      <c r="BA17" s="409"/>
      <c r="BB17" s="409"/>
      <c r="BC17" s="409"/>
      <c r="BD17" s="408"/>
      <c r="BE17" s="408"/>
      <c r="BF17" s="408"/>
      <c r="BG17" s="408"/>
      <c r="BH17" s="408"/>
      <c r="BI17" s="408"/>
      <c r="BJ17" s="408"/>
      <c r="BK17" s="408"/>
      <c r="BL17" s="408"/>
      <c r="BM17" s="408"/>
      <c r="BN17" s="409"/>
      <c r="BO17" s="409"/>
      <c r="BP17" s="409"/>
      <c r="BQ17" s="409"/>
      <c r="BR17" s="409"/>
      <c r="BS17" s="409"/>
      <c r="BT17" s="409"/>
      <c r="BU17" s="409"/>
      <c r="BV17" s="409"/>
      <c r="BW17" s="409"/>
      <c r="BX17" s="409"/>
      <c r="BY17" s="409"/>
      <c r="BZ17" s="409"/>
      <c r="CA17" s="409"/>
      <c r="CB17" s="409"/>
      <c r="CC17" s="409"/>
    </row>
    <row r="18" spans="1:81" ht="13.2">
      <c r="A18" s="398">
        <f t="shared" si="1"/>
        <v>8</v>
      </c>
      <c r="B18" s="29" t="s">
        <v>219</v>
      </c>
      <c r="C18" s="125" t="str">
        <f ca="1">IFERROR(__xludf.DUMMYFUNCTION("GoogleFinance(B18,""name"")"),"Advanced Micro Devices, Inc.")</f>
        <v>Advanced Micro Devices, Inc.</v>
      </c>
      <c r="D18" s="126">
        <f ca="1">IFERROR(__xludf.DUMMYFUNCTION("GoogleFinance(B18,""marketcap"")/1000000"),260598.299314)</f>
        <v>260598.299314</v>
      </c>
      <c r="E18" s="410" t="s">
        <v>7</v>
      </c>
      <c r="F18" s="410" t="s">
        <v>19</v>
      </c>
      <c r="G18" s="151">
        <v>45463</v>
      </c>
      <c r="H18" s="411">
        <f ca="1">IFERROR(__xludf.DUMMYFUNCTION("GOOGLEFINANCE(B18)"),161.23)</f>
        <v>161.22999999999999</v>
      </c>
      <c r="I18" s="412">
        <v>165.5</v>
      </c>
      <c r="J18" s="413">
        <f>2000/I18</f>
        <v>12.084592145015106</v>
      </c>
      <c r="K18" s="414">
        <f>J18*I18</f>
        <v>2000</v>
      </c>
      <c r="L18" s="414">
        <f ca="1">J18*H18</f>
        <v>1948.3987915407854</v>
      </c>
      <c r="M18" s="415">
        <f ca="1">L18-K18</f>
        <v>-51.601208459214604</v>
      </c>
      <c r="N18" s="416">
        <f ca="1">H18/I18-1</f>
        <v>-2.5800604229607282E-2</v>
      </c>
      <c r="O18" s="417">
        <f ca="1">TODAY()-G18</f>
        <v>4</v>
      </c>
      <c r="P18" s="418">
        <v>153</v>
      </c>
      <c r="Q18" s="150">
        <f ca="1">P18/H18-1</f>
        <v>-5.1045090863983122E-2</v>
      </c>
      <c r="R18" s="419">
        <v>189</v>
      </c>
      <c r="S18" s="149">
        <f ca="1">R18/H18-1</f>
        <v>0.17223841716802091</v>
      </c>
      <c r="T18" s="137">
        <f ca="1">IFERROR(__xludf.DUMMYFUNCTION("GoogleFinance(B18,""changepct"")/100"),0)</f>
        <v>0</v>
      </c>
      <c r="U18" s="420">
        <f ca="1">H18/AI19-1</f>
        <v>7.0584329349269614E-2</v>
      </c>
      <c r="V18" s="421">
        <f ca="1">H18/AK19-1</f>
        <v>1.7994696300037916E-2</v>
      </c>
      <c r="W18" s="422">
        <f ca="1">H18/AM19-1</f>
        <v>-9.7408050159547677E-2</v>
      </c>
      <c r="X18" s="422">
        <f ca="1">H18/AO19-1</f>
        <v>0.12425911721637251</v>
      </c>
      <c r="Y18" s="421">
        <f ca="1">H18/AQ19-1</f>
        <v>9.3752119937589029E-2</v>
      </c>
      <c r="Z18" s="247" t="s">
        <v>122</v>
      </c>
      <c r="AA18" s="423" t="s">
        <v>69</v>
      </c>
      <c r="AB18" s="424" t="s">
        <v>79</v>
      </c>
      <c r="AC18" s="424" t="s">
        <v>109</v>
      </c>
      <c r="AD18" s="425"/>
      <c r="AE18" s="149"/>
      <c r="AF18" s="149"/>
      <c r="AG18" s="149"/>
      <c r="AH18" s="426" t="str">
        <f ca="1">IFERROR(__xludf.DUMMYFUNCTION("GoogleFinance(B18,""price"",DATE(2024,5,3))"),"Date")</f>
        <v>Date</v>
      </c>
      <c r="AI18" s="427" t="str">
        <f ca="1">IFERROR(__xludf.DUMMYFUNCTION("""COMPUTED_VALUE"""),"Close")</f>
        <v>Close</v>
      </c>
      <c r="AJ18" s="426" t="str">
        <f ca="1">IFERROR(__xludf.DUMMYFUNCTION("GoogleFinance(B18,""price"",DATE(2024,4,30))"),"Date")</f>
        <v>Date</v>
      </c>
      <c r="AK18" s="143" t="str">
        <f ca="1">IFERROR(__xludf.DUMMYFUNCTION("""COMPUTED_VALUE"""),"Close")</f>
        <v>Close</v>
      </c>
      <c r="AL18" s="129" t="str">
        <f ca="1">IFERROR(__xludf.DUMMYFUNCTION("GoogleFinance(B18,""price"",today()-91)"),"Date")</f>
        <v>Date</v>
      </c>
      <c r="AM18" s="143" t="str">
        <f ca="1">IFERROR(__xludf.DUMMYFUNCTION("""COMPUTED_VALUE"""),"Close")</f>
        <v>Close</v>
      </c>
      <c r="AN18" s="129" t="str">
        <f ca="1">IFERROR(__xludf.DUMMYFUNCTION("GoogleFinance(B18,""price"",today()-182)"),"Date")</f>
        <v>Date</v>
      </c>
      <c r="AO18" s="143" t="str">
        <f ca="1">IFERROR(__xludf.DUMMYFUNCTION("""COMPUTED_VALUE"""),"Close")</f>
        <v>Close</v>
      </c>
      <c r="AP18" s="129" t="str">
        <f ca="1">IFERROR(__xludf.DUMMYFUNCTION("GoogleFinance(B18,""price"",DATE(2023,12,29))"),"Date")</f>
        <v>Date</v>
      </c>
      <c r="AQ18" s="143" t="str">
        <f ca="1">IFERROR(__xludf.DUMMYFUNCTION("""COMPUTED_VALUE"""),"Close")</f>
        <v>Close</v>
      </c>
      <c r="AR18" s="149"/>
      <c r="AS18" s="143"/>
      <c r="AT18" s="175"/>
      <c r="AU18" s="175"/>
      <c r="AV18" s="175"/>
      <c r="AW18" s="175"/>
      <c r="AX18" s="183"/>
      <c r="AY18" s="183"/>
      <c r="AZ18" s="175"/>
      <c r="BA18" s="183"/>
      <c r="BB18" s="183"/>
      <c r="BC18" s="183"/>
      <c r="BD18" s="183"/>
      <c r="BE18" s="183"/>
      <c r="BF18" s="175"/>
      <c r="BG18" s="175"/>
      <c r="BH18" s="175"/>
      <c r="BI18" s="175"/>
      <c r="BJ18" s="175"/>
      <c r="BK18" s="175"/>
      <c r="BL18" s="175"/>
      <c r="BM18" s="175"/>
      <c r="BN18" s="175"/>
      <c r="BO18" s="175"/>
      <c r="BP18" s="183"/>
      <c r="BQ18" s="183"/>
      <c r="BR18" s="183"/>
      <c r="BS18" s="183"/>
      <c r="BT18" s="183"/>
      <c r="BU18" s="183"/>
      <c r="BV18" s="183"/>
      <c r="BW18" s="183"/>
      <c r="BX18" s="183"/>
      <c r="BY18" s="183"/>
      <c r="BZ18" s="183"/>
      <c r="CA18" s="183"/>
      <c r="CB18" s="183"/>
      <c r="CC18" s="183"/>
    </row>
    <row r="19" spans="1:81" ht="13.2" hidden="1">
      <c r="A19" s="357" t="e">
        <f t="shared" si="1"/>
        <v>#REF!</v>
      </c>
      <c r="B19" s="399"/>
      <c r="C19" s="400"/>
      <c r="D19" s="399"/>
      <c r="E19" s="399"/>
      <c r="F19" s="399"/>
      <c r="G19" s="399"/>
      <c r="H19" s="401"/>
      <c r="I19" s="401"/>
      <c r="J19" s="401"/>
      <c r="K19" s="401"/>
      <c r="L19" s="401"/>
      <c r="M19" s="402"/>
      <c r="N19" s="403"/>
      <c r="O19" s="401"/>
      <c r="P19" s="401"/>
      <c r="Q19" s="404"/>
      <c r="R19" s="404"/>
      <c r="S19" s="404"/>
      <c r="T19" s="405"/>
      <c r="U19" s="399"/>
      <c r="V19" s="399"/>
      <c r="W19" s="399"/>
      <c r="X19" s="399"/>
      <c r="Y19" s="399"/>
      <c r="Z19" s="406"/>
      <c r="AA19" s="406"/>
      <c r="AB19" s="406"/>
      <c r="AC19" s="406"/>
      <c r="AD19" s="407"/>
      <c r="AE19" s="149"/>
      <c r="AF19" s="149"/>
      <c r="AG19" s="149"/>
      <c r="AH19" s="128">
        <f ca="1">IFERROR(__xludf.DUMMYFUNCTION("""COMPUTED_VALUE"""),45415.6666666666)</f>
        <v>45415.666666666599</v>
      </c>
      <c r="AI19" s="143">
        <f ca="1">IFERROR(__xludf.DUMMYFUNCTION("""COMPUTED_VALUE"""),150.6)</f>
        <v>150.6</v>
      </c>
      <c r="AJ19" s="128">
        <f ca="1">IFERROR(__xludf.DUMMYFUNCTION("""COMPUTED_VALUE"""),45412.6666666666)</f>
        <v>45412.666666666599</v>
      </c>
      <c r="AK19" s="143">
        <f ca="1">IFERROR(__xludf.DUMMYFUNCTION("""COMPUTED_VALUE"""),158.38)</f>
        <v>158.38</v>
      </c>
      <c r="AL19" s="128">
        <f ca="1">IFERROR(__xludf.DUMMYFUNCTION("""COMPUTED_VALUE"""),45376.6666666666)</f>
        <v>45376.666666666599</v>
      </c>
      <c r="AM19" s="143">
        <f ca="1">IFERROR(__xludf.DUMMYFUNCTION("""COMPUTED_VALUE"""),178.63)</f>
        <v>178.63</v>
      </c>
      <c r="AN19" s="128">
        <f ca="1">IFERROR(__xludf.DUMMYFUNCTION("""COMPUTED_VALUE"""),45286.6666666666)</f>
        <v>45286.666666666599</v>
      </c>
      <c r="AO19" s="143">
        <f ca="1">IFERROR(__xludf.DUMMYFUNCTION("""COMPUTED_VALUE"""),143.41)</f>
        <v>143.41</v>
      </c>
      <c r="AP19" s="128">
        <f ca="1">IFERROR(__xludf.DUMMYFUNCTION("""COMPUTED_VALUE"""),45289.6666666666)</f>
        <v>45289.666666666599</v>
      </c>
      <c r="AQ19" s="143">
        <f ca="1">IFERROR(__xludf.DUMMYFUNCTION("""COMPUTED_VALUE"""),147.41)</f>
        <v>147.41</v>
      </c>
      <c r="AR19" s="408"/>
      <c r="AS19" s="408"/>
      <c r="AT19" s="408"/>
      <c r="AU19" s="408"/>
      <c r="AV19" s="409"/>
      <c r="AW19" s="409"/>
      <c r="AX19" s="408"/>
      <c r="AY19" s="409"/>
      <c r="AZ19" s="409"/>
      <c r="BA19" s="409"/>
      <c r="BB19" s="409"/>
      <c r="BC19" s="409"/>
      <c r="BD19" s="408"/>
      <c r="BE19" s="408"/>
      <c r="BF19" s="408"/>
      <c r="BG19" s="408"/>
      <c r="BH19" s="408"/>
      <c r="BI19" s="408"/>
      <c r="BJ19" s="408"/>
      <c r="BK19" s="408"/>
      <c r="BL19" s="408"/>
      <c r="BM19" s="408"/>
      <c r="BN19" s="409"/>
      <c r="BO19" s="409"/>
      <c r="BP19" s="409"/>
      <c r="BQ19" s="409"/>
      <c r="BR19" s="409"/>
      <c r="BS19" s="409"/>
      <c r="BT19" s="409"/>
      <c r="BU19" s="409"/>
      <c r="BV19" s="409"/>
      <c r="BW19" s="409"/>
      <c r="BX19" s="409"/>
      <c r="BY19" s="409"/>
      <c r="BZ19" s="409"/>
      <c r="CA19" s="409"/>
      <c r="CB19" s="409"/>
      <c r="CC19" s="409"/>
    </row>
    <row r="20" spans="1:81" ht="13.2">
      <c r="A20" s="398">
        <f t="shared" si="1"/>
        <v>9</v>
      </c>
      <c r="B20" s="29" t="s">
        <v>220</v>
      </c>
      <c r="C20" s="125" t="str">
        <f ca="1">IFERROR(__xludf.DUMMYFUNCTION("GoogleFinance(B20,""name"")"),"Direxion Daily Semiconductor Bear 3X Shares")</f>
        <v>Direxion Daily Semiconductor Bear 3X Shares</v>
      </c>
      <c r="D20" s="126" t="str">
        <f ca="1">IFERROR(__xludf.DUMMYFUNCTION("GoogleFinance(B20,""marketcap"")/1000000"),"#N/A")</f>
        <v>#N/A</v>
      </c>
      <c r="E20" s="127" t="s">
        <v>221</v>
      </c>
      <c r="F20" s="127" t="s">
        <v>222</v>
      </c>
      <c r="G20" s="151">
        <v>45463</v>
      </c>
      <c r="H20" s="411">
        <f ca="1">IFERROR(__xludf.DUMMYFUNCTION("GOOGLEFINANCE(B20)"),22.13)</f>
        <v>22.13</v>
      </c>
      <c r="I20" s="412">
        <v>20.5</v>
      </c>
      <c r="J20" s="413">
        <f>4000/I20</f>
        <v>195.1219512195122</v>
      </c>
      <c r="K20" s="414">
        <f>J20*I20</f>
        <v>4000</v>
      </c>
      <c r="L20" s="414">
        <f ca="1">J20*H20</f>
        <v>4318.0487804878048</v>
      </c>
      <c r="M20" s="415">
        <f ca="1">L20-K20</f>
        <v>318.04878048780483</v>
      </c>
      <c r="N20" s="416">
        <f ca="1">H20/I20-1</f>
        <v>7.9512195121951068E-2</v>
      </c>
      <c r="O20" s="417">
        <f ca="1">TODAY()-G20</f>
        <v>4</v>
      </c>
      <c r="P20" s="418">
        <v>19</v>
      </c>
      <c r="Q20" s="150">
        <f ca="1">P20/H20-1</f>
        <v>-0.14143696339810208</v>
      </c>
      <c r="R20" s="419">
        <v>30</v>
      </c>
      <c r="S20" s="149">
        <f ca="1">R20/H20-1</f>
        <v>0.35562584726615465</v>
      </c>
      <c r="T20" s="137">
        <f ca="1">IFERROR(__xludf.DUMMYFUNCTION("GoogleFinance(B20,""changepct"")/100"),0)</f>
        <v>0</v>
      </c>
      <c r="U20" s="420">
        <f ca="1">H20/AI21-1</f>
        <v>-0.36987471526195903</v>
      </c>
      <c r="V20" s="421">
        <f ca="1">H20/AK21-1</f>
        <v>-0.39485917418649175</v>
      </c>
      <c r="W20" s="422">
        <f ca="1">H20/AM21-1</f>
        <v>-0.32116564417177917</v>
      </c>
      <c r="X20" s="422">
        <f ca="1">H20/AO21-1</f>
        <v>-0.60970017636684304</v>
      </c>
      <c r="Y20" s="421">
        <f ca="1">H20/AQ21-1</f>
        <v>-0.61975945017182132</v>
      </c>
      <c r="Z20" s="247" t="s">
        <v>122</v>
      </c>
      <c r="AA20" s="423" t="s">
        <v>69</v>
      </c>
      <c r="AB20" s="424" t="s">
        <v>79</v>
      </c>
      <c r="AC20" s="424" t="s">
        <v>109</v>
      </c>
      <c r="AD20" s="425"/>
      <c r="AE20" s="149"/>
      <c r="AF20" s="149"/>
      <c r="AG20" s="149"/>
      <c r="AH20" s="426" t="str">
        <f ca="1">IFERROR(__xludf.DUMMYFUNCTION("GoogleFinance(B20,""price"",DATE(2024,5,3))"),"Date")</f>
        <v>Date</v>
      </c>
      <c r="AI20" s="427" t="str">
        <f ca="1">IFERROR(__xludf.DUMMYFUNCTION("""COMPUTED_VALUE"""),"Close")</f>
        <v>Close</v>
      </c>
      <c r="AJ20" s="426" t="str">
        <f ca="1">IFERROR(__xludf.DUMMYFUNCTION("GoogleFinance(B20,""price"",DATE(2024,4,30))"),"Date")</f>
        <v>Date</v>
      </c>
      <c r="AK20" s="143" t="str">
        <f ca="1">IFERROR(__xludf.DUMMYFUNCTION("""COMPUTED_VALUE"""),"Close")</f>
        <v>Close</v>
      </c>
      <c r="AL20" s="129" t="str">
        <f ca="1">IFERROR(__xludf.DUMMYFUNCTION("GoogleFinance(B20,""price"",today()-91)"),"Date")</f>
        <v>Date</v>
      </c>
      <c r="AM20" s="143" t="str">
        <f ca="1">IFERROR(__xludf.DUMMYFUNCTION("""COMPUTED_VALUE"""),"Close")</f>
        <v>Close</v>
      </c>
      <c r="AN20" s="129" t="str">
        <f ca="1">IFERROR(__xludf.DUMMYFUNCTION("GoogleFinance(B20,""price"",today()-182)"),"Date")</f>
        <v>Date</v>
      </c>
      <c r="AO20" s="143" t="str">
        <f ca="1">IFERROR(__xludf.DUMMYFUNCTION("""COMPUTED_VALUE"""),"Close")</f>
        <v>Close</v>
      </c>
      <c r="AP20" s="129" t="str">
        <f ca="1">IFERROR(__xludf.DUMMYFUNCTION("GoogleFinance(B20,""price"",DATE(2023,12,29))"),"Date")</f>
        <v>Date</v>
      </c>
      <c r="AQ20" s="143" t="str">
        <f ca="1">IFERROR(__xludf.DUMMYFUNCTION("""COMPUTED_VALUE"""),"Close")</f>
        <v>Close</v>
      </c>
      <c r="AR20" s="149"/>
      <c r="AS20" s="143"/>
      <c r="AT20" s="175"/>
      <c r="AU20" s="175"/>
      <c r="AV20" s="175"/>
      <c r="AW20" s="175"/>
      <c r="AX20" s="183"/>
      <c r="AY20" s="183"/>
      <c r="AZ20" s="175"/>
      <c r="BA20" s="183"/>
      <c r="BB20" s="183"/>
      <c r="BC20" s="183"/>
      <c r="BD20" s="183"/>
      <c r="BE20" s="183"/>
      <c r="BF20" s="175"/>
      <c r="BG20" s="175"/>
      <c r="BH20" s="175"/>
      <c r="BI20" s="175"/>
      <c r="BJ20" s="175"/>
      <c r="BK20" s="175"/>
      <c r="BL20" s="175"/>
      <c r="BM20" s="175"/>
      <c r="BN20" s="175"/>
      <c r="BO20" s="175"/>
      <c r="BP20" s="183"/>
      <c r="BQ20" s="183"/>
      <c r="BR20" s="183"/>
      <c r="BS20" s="183"/>
      <c r="BT20" s="183"/>
      <c r="BU20" s="183"/>
      <c r="BV20" s="183"/>
      <c r="BW20" s="183"/>
      <c r="BX20" s="183"/>
      <c r="BY20" s="183"/>
      <c r="BZ20" s="183"/>
      <c r="CA20" s="183"/>
      <c r="CB20" s="183"/>
      <c r="CC20" s="183"/>
    </row>
    <row r="21" spans="1:81" ht="13.2" hidden="1">
      <c r="A21" s="398" t="e">
        <f t="shared" si="1"/>
        <v>#REF!</v>
      </c>
      <c r="B21" s="399"/>
      <c r="C21" s="400"/>
      <c r="D21" s="399"/>
      <c r="E21" s="399"/>
      <c r="F21" s="399"/>
      <c r="G21" s="399"/>
      <c r="H21" s="401"/>
      <c r="I21" s="401"/>
      <c r="J21" s="401"/>
      <c r="K21" s="401"/>
      <c r="L21" s="401"/>
      <c r="M21" s="402"/>
      <c r="N21" s="403"/>
      <c r="O21" s="401"/>
      <c r="P21" s="401"/>
      <c r="Q21" s="404"/>
      <c r="R21" s="404"/>
      <c r="S21" s="404"/>
      <c r="T21" s="405"/>
      <c r="U21" s="399"/>
      <c r="V21" s="399"/>
      <c r="W21" s="399"/>
      <c r="X21" s="399"/>
      <c r="Y21" s="399"/>
      <c r="Z21" s="406"/>
      <c r="AA21" s="406"/>
      <c r="AB21" s="406"/>
      <c r="AC21" s="406"/>
      <c r="AD21" s="407"/>
      <c r="AE21" s="149"/>
      <c r="AF21" s="149"/>
      <c r="AG21" s="149"/>
      <c r="AH21" s="128">
        <f ca="1">IFERROR(__xludf.DUMMYFUNCTION("""COMPUTED_VALUE"""),45415.6666666666)</f>
        <v>45415.666666666599</v>
      </c>
      <c r="AI21" s="143">
        <f ca="1">IFERROR(__xludf.DUMMYFUNCTION("""COMPUTED_VALUE"""),35.12)</f>
        <v>35.119999999999997</v>
      </c>
      <c r="AJ21" s="128">
        <f ca="1">IFERROR(__xludf.DUMMYFUNCTION("""COMPUTED_VALUE"""),45412.6666666666)</f>
        <v>45412.666666666599</v>
      </c>
      <c r="AK21" s="143">
        <f ca="1">IFERROR(__xludf.DUMMYFUNCTION("""COMPUTED_VALUE"""),36.57)</f>
        <v>36.57</v>
      </c>
      <c r="AL21" s="128">
        <f ca="1">IFERROR(__xludf.DUMMYFUNCTION("""COMPUTED_VALUE"""),45376.6666666666)</f>
        <v>45376.666666666599</v>
      </c>
      <c r="AM21" s="143">
        <f ca="1">IFERROR(__xludf.DUMMYFUNCTION("""COMPUTED_VALUE"""),32.6)</f>
        <v>32.6</v>
      </c>
      <c r="AN21" s="128">
        <f ca="1">IFERROR(__xludf.DUMMYFUNCTION("""COMPUTED_VALUE"""),45286.6666666666)</f>
        <v>45286.666666666599</v>
      </c>
      <c r="AO21" s="143">
        <f ca="1">IFERROR(__xludf.DUMMYFUNCTION("""COMPUTED_VALUE"""),56.7)</f>
        <v>56.7</v>
      </c>
      <c r="AP21" s="128">
        <f ca="1">IFERROR(__xludf.DUMMYFUNCTION("""COMPUTED_VALUE"""),45289.6666666666)</f>
        <v>45289.666666666599</v>
      </c>
      <c r="AQ21" s="143">
        <f ca="1">IFERROR(__xludf.DUMMYFUNCTION("""COMPUTED_VALUE"""),58.2)</f>
        <v>58.2</v>
      </c>
      <c r="AR21" s="408"/>
      <c r="AS21" s="408"/>
      <c r="AT21" s="408"/>
      <c r="AU21" s="408"/>
      <c r="AV21" s="409"/>
      <c r="AW21" s="409"/>
      <c r="AX21" s="408"/>
      <c r="AY21" s="409"/>
      <c r="AZ21" s="409"/>
      <c r="BA21" s="409"/>
      <c r="BB21" s="409"/>
      <c r="BC21" s="409"/>
      <c r="BD21" s="408"/>
      <c r="BE21" s="408"/>
      <c r="BF21" s="408"/>
      <c r="BG21" s="408"/>
      <c r="BH21" s="408"/>
      <c r="BI21" s="408"/>
      <c r="BJ21" s="408"/>
      <c r="BK21" s="408"/>
      <c r="BL21" s="408"/>
      <c r="BM21" s="408"/>
      <c r="BN21" s="409"/>
      <c r="BO21" s="409"/>
      <c r="BP21" s="409"/>
      <c r="BQ21" s="409"/>
      <c r="BR21" s="409"/>
      <c r="BS21" s="409"/>
      <c r="BT21" s="409"/>
      <c r="BU21" s="409"/>
      <c r="BV21" s="409"/>
      <c r="BW21" s="409"/>
      <c r="BX21" s="409"/>
      <c r="BY21" s="409"/>
      <c r="BZ21" s="409"/>
      <c r="CA21" s="409"/>
      <c r="CB21" s="409"/>
      <c r="CC21" s="409"/>
    </row>
    <row r="22" spans="1:81" ht="13.2">
      <c r="A22" s="357">
        <f t="shared" si="1"/>
        <v>10</v>
      </c>
      <c r="B22" s="1" t="s">
        <v>223</v>
      </c>
      <c r="C22" s="48" t="str">
        <f ca="1">IFERROR(__xludf.DUMMYFUNCTION("GoogleFinance(B22,""name"")"),"Direxion Daily AAPL Bear 1X Shares")</f>
        <v>Direxion Daily AAPL Bear 1X Shares</v>
      </c>
      <c r="D22" s="49" t="str">
        <f ca="1">IFERROR(__xludf.DUMMYFUNCTION("GoogleFinance(B22,""marketcap"")/1000000"),"#N/A")</f>
        <v>#N/A</v>
      </c>
      <c r="E22" s="163" t="s">
        <v>224</v>
      </c>
      <c r="F22" s="163" t="s">
        <v>225</v>
      </c>
      <c r="G22" s="99">
        <v>45455</v>
      </c>
      <c r="H22" s="363">
        <f ca="1">IFERROR(__xludf.DUMMYFUNCTION("GOOGLEFINANCE(B22)"),18.75)</f>
        <v>18.75</v>
      </c>
      <c r="I22" s="164">
        <v>17.8</v>
      </c>
      <c r="J22" s="165">
        <f>3000/I22</f>
        <v>168.53932584269663</v>
      </c>
      <c r="K22" s="166">
        <v>3000</v>
      </c>
      <c r="L22" s="166">
        <f ca="1">J22*H22</f>
        <v>3160.1123595505619</v>
      </c>
      <c r="M22" s="167">
        <f ca="1">L22-K22</f>
        <v>160.11235955056191</v>
      </c>
      <c r="N22" s="168">
        <f ca="1">H22/I22-1</f>
        <v>5.3370786516853785E-2</v>
      </c>
      <c r="O22" s="394">
        <f ca="1">TODAY()-G22</f>
        <v>12</v>
      </c>
      <c r="P22" s="59">
        <v>17.2</v>
      </c>
      <c r="Q22" s="98">
        <f ca="1">P22/H22-1</f>
        <v>-8.2666666666666666E-2</v>
      </c>
      <c r="R22" s="26">
        <v>20.5</v>
      </c>
      <c r="S22" s="24">
        <f ca="1">R22/H22-1</f>
        <v>9.3333333333333268E-2</v>
      </c>
      <c r="T22" s="9">
        <f ca="1">IFERROR(__xludf.DUMMYFUNCTION("GoogleFinance(B22,""changepct"")/100"),0)</f>
        <v>0</v>
      </c>
      <c r="U22" s="395">
        <f ca="1">H22/AI23-1</f>
        <v>-0.11514865502595573</v>
      </c>
      <c r="V22" s="215">
        <f ca="1">H22/AK23-1</f>
        <v>-0.1819371727748692</v>
      </c>
      <c r="W22" s="102">
        <f ca="1">H22/AM23-1</f>
        <v>-0.17473591549295775</v>
      </c>
      <c r="X22" s="102">
        <f ca="1">H22/AO23-1</f>
        <v>-6.7164179104477695E-2</v>
      </c>
      <c r="Y22" s="215">
        <f ca="1">H22/AQ23-1</f>
        <v>-7.1322436849925785E-2</v>
      </c>
      <c r="Z22" s="247" t="s">
        <v>122</v>
      </c>
      <c r="AA22" s="61" t="s">
        <v>79</v>
      </c>
      <c r="AB22" s="61" t="s">
        <v>69</v>
      </c>
      <c r="AC22" s="396" t="s">
        <v>109</v>
      </c>
      <c r="AD22" s="397"/>
      <c r="AE22" s="24"/>
      <c r="AF22" s="24"/>
      <c r="AG22" s="24"/>
      <c r="AH22" s="381" t="str">
        <f ca="1">IFERROR(__xludf.DUMMYFUNCTION("GoogleFinance(B22,""price"",DATE(2024,5,3))"),"Date")</f>
        <v>Date</v>
      </c>
      <c r="AI22" s="382" t="str">
        <f ca="1">IFERROR(__xludf.DUMMYFUNCTION("""COMPUTED_VALUE"""),"Close")</f>
        <v>Close</v>
      </c>
      <c r="AJ22" s="381" t="str">
        <f ca="1">IFERROR(__xludf.DUMMYFUNCTION("GoogleFinance(B22,""price"",DATE(2024,4,30))"),"Date")</f>
        <v>Date</v>
      </c>
      <c r="AK22" s="30" t="str">
        <f ca="1">IFERROR(__xludf.DUMMYFUNCTION("""COMPUTED_VALUE"""),"Close")</f>
        <v>Close</v>
      </c>
      <c r="AL22" s="2" t="str">
        <f ca="1">IFERROR(__xludf.DUMMYFUNCTION("GoogleFinance(B22,""price"",today()-91)"),"Date")</f>
        <v>Date</v>
      </c>
      <c r="AM22" s="30" t="str">
        <f ca="1">IFERROR(__xludf.DUMMYFUNCTION("""COMPUTED_VALUE"""),"Close")</f>
        <v>Close</v>
      </c>
      <c r="AN22" s="2" t="str">
        <f ca="1">IFERROR(__xludf.DUMMYFUNCTION("GoogleFinance(B22,""price"",today()-182)"),"Date")</f>
        <v>Date</v>
      </c>
      <c r="AO22" s="30" t="str">
        <f ca="1">IFERROR(__xludf.DUMMYFUNCTION("""COMPUTED_VALUE"""),"Close")</f>
        <v>Close</v>
      </c>
      <c r="AP22" s="2" t="str">
        <f ca="1">IFERROR(__xludf.DUMMYFUNCTION("GoogleFinance(B22,""price"",DATE(2023,12,29))"),"Date")</f>
        <v>Date</v>
      </c>
      <c r="AQ22" s="30" t="str">
        <f ca="1">IFERROR(__xludf.DUMMYFUNCTION("""COMPUTED_VALUE"""),"Close")</f>
        <v>Close</v>
      </c>
      <c r="AR22" s="24"/>
      <c r="AS22" s="30"/>
      <c r="AT22" s="90"/>
      <c r="AU22" s="90"/>
      <c r="AV22" s="90"/>
      <c r="AW22" s="90"/>
      <c r="AX22" s="92"/>
      <c r="AY22" s="92"/>
      <c r="AZ22" s="90"/>
      <c r="BA22" s="92"/>
      <c r="BB22" s="92"/>
      <c r="BC22" s="92"/>
      <c r="BD22" s="92"/>
      <c r="BE22" s="92"/>
      <c r="BF22" s="90"/>
      <c r="BG22" s="90"/>
      <c r="BH22" s="90"/>
      <c r="BI22" s="90"/>
      <c r="BJ22" s="90"/>
      <c r="BK22" s="90"/>
      <c r="BL22" s="90"/>
      <c r="BM22" s="90"/>
      <c r="BN22" s="90"/>
      <c r="BO22" s="90"/>
      <c r="BP22" s="92"/>
      <c r="BQ22" s="92"/>
      <c r="BR22" s="92"/>
      <c r="BS22" s="92"/>
      <c r="BT22" s="92"/>
      <c r="BU22" s="92"/>
      <c r="BV22" s="92"/>
      <c r="BW22" s="92"/>
      <c r="BX22" s="92"/>
      <c r="BY22" s="92"/>
      <c r="BZ22" s="92"/>
      <c r="CA22" s="92"/>
      <c r="CB22" s="92"/>
      <c r="CC22" s="92"/>
    </row>
    <row r="23" spans="1:81" ht="13.2" hidden="1">
      <c r="A23" s="357" t="e">
        <f>A13+1</f>
        <v>#REF!</v>
      </c>
      <c r="B23" s="399"/>
      <c r="C23" s="400"/>
      <c r="D23" s="399"/>
      <c r="E23" s="399"/>
      <c r="F23" s="399"/>
      <c r="G23" s="399"/>
      <c r="H23" s="401"/>
      <c r="I23" s="401"/>
      <c r="J23" s="401"/>
      <c r="K23" s="401"/>
      <c r="L23" s="401"/>
      <c r="M23" s="402"/>
      <c r="N23" s="403"/>
      <c r="O23" s="401"/>
      <c r="P23" s="401"/>
      <c r="Q23" s="404"/>
      <c r="R23" s="404"/>
      <c r="S23" s="404"/>
      <c r="T23" s="405"/>
      <c r="U23" s="399"/>
      <c r="V23" s="399"/>
      <c r="W23" s="399"/>
      <c r="X23" s="399"/>
      <c r="Y23" s="399"/>
      <c r="Z23" s="406"/>
      <c r="AA23" s="406"/>
      <c r="AB23" s="406"/>
      <c r="AC23" s="406"/>
      <c r="AD23" s="407"/>
      <c r="AE23" s="149"/>
      <c r="AF23" s="149"/>
      <c r="AG23" s="149"/>
      <c r="AH23" s="128">
        <f ca="1">IFERROR(__xludf.DUMMYFUNCTION("""COMPUTED_VALUE"""),45415.6666666666)</f>
        <v>45415.666666666599</v>
      </c>
      <c r="AI23" s="143">
        <f ca="1">IFERROR(__xludf.DUMMYFUNCTION("""COMPUTED_VALUE"""),21.19)</f>
        <v>21.19</v>
      </c>
      <c r="AJ23" s="128">
        <f ca="1">IFERROR(__xludf.DUMMYFUNCTION("""COMPUTED_VALUE"""),45412.6666666666)</f>
        <v>45412.666666666599</v>
      </c>
      <c r="AK23" s="143">
        <f ca="1">IFERROR(__xludf.DUMMYFUNCTION("""COMPUTED_VALUE"""),22.92)</f>
        <v>22.92</v>
      </c>
      <c r="AL23" s="128">
        <f ca="1">IFERROR(__xludf.DUMMYFUNCTION("""COMPUTED_VALUE"""),45376.6666666666)</f>
        <v>45376.666666666599</v>
      </c>
      <c r="AM23" s="143">
        <f ca="1">IFERROR(__xludf.DUMMYFUNCTION("""COMPUTED_VALUE"""),22.72)</f>
        <v>22.72</v>
      </c>
      <c r="AN23" s="128">
        <f ca="1">IFERROR(__xludf.DUMMYFUNCTION("""COMPUTED_VALUE"""),45286.6666666666)</f>
        <v>45286.666666666599</v>
      </c>
      <c r="AO23" s="143">
        <f ca="1">IFERROR(__xludf.DUMMYFUNCTION("""COMPUTED_VALUE"""),20.1)</f>
        <v>20.100000000000001</v>
      </c>
      <c r="AP23" s="128">
        <f ca="1">IFERROR(__xludf.DUMMYFUNCTION("""COMPUTED_VALUE"""),45289.6666666666)</f>
        <v>45289.666666666599</v>
      </c>
      <c r="AQ23" s="143">
        <f ca="1">IFERROR(__xludf.DUMMYFUNCTION("""COMPUTED_VALUE"""),20.19)</f>
        <v>20.190000000000001</v>
      </c>
      <c r="AR23" s="408"/>
      <c r="AS23" s="408"/>
      <c r="AT23" s="408"/>
      <c r="AU23" s="408"/>
      <c r="AV23" s="409"/>
      <c r="AW23" s="409"/>
      <c r="AX23" s="408"/>
      <c r="AY23" s="409"/>
      <c r="AZ23" s="409"/>
      <c r="BA23" s="409"/>
      <c r="BB23" s="409"/>
      <c r="BC23" s="409"/>
      <c r="BD23" s="408"/>
      <c r="BE23" s="408"/>
      <c r="BF23" s="408"/>
      <c r="BG23" s="408"/>
      <c r="BH23" s="408"/>
      <c r="BI23" s="408"/>
      <c r="BJ23" s="408"/>
      <c r="BK23" s="408"/>
      <c r="BL23" s="408"/>
      <c r="BM23" s="408"/>
      <c r="BN23" s="409"/>
      <c r="BO23" s="409"/>
      <c r="BP23" s="409"/>
      <c r="BQ23" s="409"/>
      <c r="BR23" s="409"/>
      <c r="BS23" s="409"/>
      <c r="BT23" s="409"/>
      <c r="BU23" s="409"/>
      <c r="BV23" s="409"/>
      <c r="BW23" s="409"/>
      <c r="BX23" s="409"/>
      <c r="BY23" s="409"/>
      <c r="BZ23" s="409"/>
      <c r="CA23" s="409"/>
      <c r="CB23" s="409"/>
      <c r="CC23" s="409"/>
    </row>
    <row r="24" spans="1:81" ht="13.2">
      <c r="A24" s="357">
        <f>A22+1</f>
        <v>11</v>
      </c>
      <c r="B24" s="1" t="s">
        <v>226</v>
      </c>
      <c r="C24" s="48" t="str">
        <f ca="1">IFERROR(__xludf.DUMMYFUNCTION("GoogleFinance(B24,""name"")"),"Direxion Daily Small Cap Bear 3x Shares")</f>
        <v>Direxion Daily Small Cap Bear 3x Shares</v>
      </c>
      <c r="D24" s="49">
        <f ca="1">IFERROR(__xludf.DUMMYFUNCTION("GoogleFinance(B24,""marketcap"")/1000000"),174.706266)</f>
        <v>174.706266</v>
      </c>
      <c r="E24" s="163" t="s">
        <v>224</v>
      </c>
      <c r="F24" s="163" t="s">
        <v>227</v>
      </c>
      <c r="G24" s="99">
        <v>45446</v>
      </c>
      <c r="H24" s="363">
        <f ca="1">IFERROR(__xludf.DUMMYFUNCTION("GOOGLEFINANCE(B24)"),19.43)</f>
        <v>19.43</v>
      </c>
      <c r="I24" s="164">
        <v>18.100000000000001</v>
      </c>
      <c r="J24" s="165">
        <f>3000/I24</f>
        <v>165.74585635359114</v>
      </c>
      <c r="K24" s="166">
        <v>3000</v>
      </c>
      <c r="L24" s="166">
        <f ca="1">J24*H24</f>
        <v>3220.4419889502756</v>
      </c>
      <c r="M24" s="167">
        <f ca="1">L24-K24</f>
        <v>220.44198895027557</v>
      </c>
      <c r="N24" s="168">
        <f ca="1">H24/I24-1</f>
        <v>7.348066298342526E-2</v>
      </c>
      <c r="O24" s="394">
        <f ca="1">TODAY()-G24</f>
        <v>21</v>
      </c>
      <c r="P24" s="59">
        <v>16.899999999999999</v>
      </c>
      <c r="Q24" s="98">
        <f ca="1">P24/H24-1</f>
        <v>-0.13021101389603706</v>
      </c>
      <c r="R24" s="26">
        <v>22.3</v>
      </c>
      <c r="S24" s="24">
        <f ca="1">R24/H24-1</f>
        <v>0.14770972722593934</v>
      </c>
      <c r="T24" s="9">
        <f ca="1">IFERROR(__xludf.DUMMYFUNCTION("GoogleFinance(B24,""changepct"")/100"),0)</f>
        <v>0</v>
      </c>
      <c r="U24" s="395">
        <f ca="1">H24/AI25-1</f>
        <v>2.5871172122492014E-2</v>
      </c>
      <c r="V24" s="215">
        <f ca="1">H24/AK25-1</f>
        <v>-6.4966313763233918E-2</v>
      </c>
      <c r="W24" s="102">
        <f ca="1">H24/AM25-1</f>
        <v>8.0044469149527675E-2</v>
      </c>
      <c r="X24" s="102">
        <f ca="1">H24/AO25-1</f>
        <v>2.4248813916710743E-2</v>
      </c>
      <c r="Y24" s="215">
        <f ca="1">H24/AQ25-1</f>
        <v>-2.6065162907268125E-2</v>
      </c>
      <c r="Z24" s="247" t="s">
        <v>122</v>
      </c>
      <c r="AA24" s="61" t="s">
        <v>79</v>
      </c>
      <c r="AB24" s="61" t="s">
        <v>69</v>
      </c>
      <c r="AC24" s="396" t="s">
        <v>109</v>
      </c>
      <c r="AD24" s="397"/>
      <c r="AE24" s="24"/>
      <c r="AF24" s="24"/>
      <c r="AG24" s="24"/>
      <c r="AH24" s="381" t="str">
        <f ca="1">IFERROR(__xludf.DUMMYFUNCTION("GoogleFinance(B24,""price"",DATE(2024,5,3))"),"Date")</f>
        <v>Date</v>
      </c>
      <c r="AI24" s="382" t="str">
        <f ca="1">IFERROR(__xludf.DUMMYFUNCTION("""COMPUTED_VALUE"""),"Close")</f>
        <v>Close</v>
      </c>
      <c r="AJ24" s="381" t="str">
        <f ca="1">IFERROR(__xludf.DUMMYFUNCTION("GoogleFinance(B24,""price"",DATE(2024,4,30))"),"Date")</f>
        <v>Date</v>
      </c>
      <c r="AK24" s="30" t="str">
        <f ca="1">IFERROR(__xludf.DUMMYFUNCTION("""COMPUTED_VALUE"""),"Close")</f>
        <v>Close</v>
      </c>
      <c r="AL24" s="2" t="str">
        <f ca="1">IFERROR(__xludf.DUMMYFUNCTION("GoogleFinance(B24,""price"",today()-91)"),"Date")</f>
        <v>Date</v>
      </c>
      <c r="AM24" s="30" t="str">
        <f ca="1">IFERROR(__xludf.DUMMYFUNCTION("""COMPUTED_VALUE"""),"Close")</f>
        <v>Close</v>
      </c>
      <c r="AN24" s="2" t="str">
        <f ca="1">IFERROR(__xludf.DUMMYFUNCTION("GoogleFinance(B24,""price"",today()-182)"),"Date")</f>
        <v>Date</v>
      </c>
      <c r="AO24" s="30" t="str">
        <f ca="1">IFERROR(__xludf.DUMMYFUNCTION("""COMPUTED_VALUE"""),"Close")</f>
        <v>Close</v>
      </c>
      <c r="AP24" s="2" t="str">
        <f ca="1">IFERROR(__xludf.DUMMYFUNCTION("GoogleFinance(B24,""price"",DATE(2023,12,29))"),"Date")</f>
        <v>Date</v>
      </c>
      <c r="AQ24" s="30" t="str">
        <f ca="1">IFERROR(__xludf.DUMMYFUNCTION("""COMPUTED_VALUE"""),"Close")</f>
        <v>Close</v>
      </c>
      <c r="AR24" s="24"/>
      <c r="AS24" s="30"/>
      <c r="AT24" s="90"/>
      <c r="AU24" s="90"/>
      <c r="AV24" s="90"/>
      <c r="AW24" s="90"/>
      <c r="AX24" s="92"/>
      <c r="AY24" s="92"/>
      <c r="AZ24" s="90"/>
      <c r="BA24" s="92"/>
      <c r="BB24" s="92"/>
      <c r="BC24" s="92"/>
      <c r="BD24" s="92"/>
      <c r="BE24" s="92"/>
      <c r="BF24" s="90"/>
      <c r="BG24" s="90"/>
      <c r="BH24" s="90"/>
      <c r="BI24" s="90"/>
      <c r="BJ24" s="90"/>
      <c r="BK24" s="90"/>
      <c r="BL24" s="90"/>
      <c r="BM24" s="90"/>
      <c r="BN24" s="90"/>
      <c r="BO24" s="90"/>
      <c r="BP24" s="92"/>
      <c r="BQ24" s="92"/>
      <c r="BR24" s="92"/>
      <c r="BS24" s="92"/>
      <c r="BT24" s="92"/>
      <c r="BU24" s="92"/>
      <c r="BV24" s="92"/>
      <c r="BW24" s="92"/>
      <c r="BX24" s="92"/>
      <c r="BY24" s="92"/>
      <c r="BZ24" s="92"/>
      <c r="CA24" s="92"/>
      <c r="CB24" s="92"/>
      <c r="CC24" s="92"/>
    </row>
    <row r="25" spans="1:81" ht="13.2" hidden="1">
      <c r="A25" s="398" t="e">
        <f>#REF!+1</f>
        <v>#REF!</v>
      </c>
      <c r="B25" s="399"/>
      <c r="C25" s="400"/>
      <c r="D25" s="399"/>
      <c r="E25" s="399"/>
      <c r="F25" s="399"/>
      <c r="G25" s="399"/>
      <c r="H25" s="401"/>
      <c r="I25" s="401"/>
      <c r="J25" s="401"/>
      <c r="K25" s="401"/>
      <c r="L25" s="401"/>
      <c r="M25" s="402"/>
      <c r="N25" s="403"/>
      <c r="O25" s="401"/>
      <c r="P25" s="401"/>
      <c r="Q25" s="404"/>
      <c r="R25" s="404"/>
      <c r="S25" s="404"/>
      <c r="T25" s="405"/>
      <c r="U25" s="399"/>
      <c r="V25" s="399"/>
      <c r="W25" s="399"/>
      <c r="X25" s="399"/>
      <c r="Y25" s="399"/>
      <c r="Z25" s="406"/>
      <c r="AA25" s="406"/>
      <c r="AB25" s="406"/>
      <c r="AC25" s="406"/>
      <c r="AD25" s="407"/>
      <c r="AE25" s="149"/>
      <c r="AF25" s="149"/>
      <c r="AG25" s="149"/>
      <c r="AH25" s="128">
        <f ca="1">IFERROR(__xludf.DUMMYFUNCTION("""COMPUTED_VALUE"""),45415.6666666666)</f>
        <v>45415.666666666599</v>
      </c>
      <c r="AI25" s="143">
        <f ca="1">IFERROR(__xludf.DUMMYFUNCTION("""COMPUTED_VALUE"""),18.94)</f>
        <v>18.940000000000001</v>
      </c>
      <c r="AJ25" s="128">
        <f ca="1">IFERROR(__xludf.DUMMYFUNCTION("""COMPUTED_VALUE"""),45412.6666666666)</f>
        <v>45412.666666666599</v>
      </c>
      <c r="AK25" s="143">
        <f ca="1">IFERROR(__xludf.DUMMYFUNCTION("""COMPUTED_VALUE"""),20.78)</f>
        <v>20.78</v>
      </c>
      <c r="AL25" s="128">
        <f ca="1">IFERROR(__xludf.DUMMYFUNCTION("""COMPUTED_VALUE"""),45376.6666666666)</f>
        <v>45376.666666666599</v>
      </c>
      <c r="AM25" s="143">
        <f ca="1">IFERROR(__xludf.DUMMYFUNCTION("""COMPUTED_VALUE"""),17.99)</f>
        <v>17.989999999999998</v>
      </c>
      <c r="AN25" s="128">
        <f ca="1">IFERROR(__xludf.DUMMYFUNCTION("""COMPUTED_VALUE"""),45286.6666666666)</f>
        <v>45286.666666666599</v>
      </c>
      <c r="AO25" s="143">
        <f ca="1">IFERROR(__xludf.DUMMYFUNCTION("""COMPUTED_VALUE"""),18.97)</f>
        <v>18.97</v>
      </c>
      <c r="AP25" s="128">
        <f ca="1">IFERROR(__xludf.DUMMYFUNCTION("""COMPUTED_VALUE"""),45289.6666666666)</f>
        <v>45289.666666666599</v>
      </c>
      <c r="AQ25" s="143">
        <f ca="1">IFERROR(__xludf.DUMMYFUNCTION("""COMPUTED_VALUE"""),19.95)</f>
        <v>19.95</v>
      </c>
      <c r="AR25" s="408"/>
      <c r="AS25" s="408"/>
      <c r="AT25" s="408"/>
      <c r="AU25" s="408"/>
      <c r="AV25" s="409"/>
      <c r="AW25" s="409"/>
      <c r="AX25" s="408"/>
      <c r="AY25" s="409"/>
      <c r="AZ25" s="409"/>
      <c r="BA25" s="409"/>
      <c r="BB25" s="409"/>
      <c r="BC25" s="409"/>
      <c r="BD25" s="408"/>
      <c r="BE25" s="408"/>
      <c r="BF25" s="408"/>
      <c r="BG25" s="408"/>
      <c r="BH25" s="408"/>
      <c r="BI25" s="408"/>
      <c r="BJ25" s="408"/>
      <c r="BK25" s="408"/>
      <c r="BL25" s="408"/>
      <c r="BM25" s="408"/>
      <c r="BN25" s="409"/>
      <c r="BO25" s="409"/>
      <c r="BP25" s="409"/>
      <c r="BQ25" s="409"/>
      <c r="BR25" s="409"/>
      <c r="BS25" s="409"/>
      <c r="BT25" s="409"/>
      <c r="BU25" s="409"/>
      <c r="BV25" s="409"/>
      <c r="BW25" s="409"/>
      <c r="BX25" s="409"/>
      <c r="BY25" s="409"/>
      <c r="BZ25" s="409"/>
      <c r="CA25" s="409"/>
      <c r="CB25" s="409"/>
      <c r="CC25" s="409"/>
    </row>
    <row r="26" spans="1:81" ht="13.2">
      <c r="A26" s="357">
        <f>A24+1</f>
        <v>12</v>
      </c>
      <c r="B26" s="1" t="s">
        <v>228</v>
      </c>
      <c r="C26" s="48" t="str">
        <f ca="1">IFERROR(__xludf.DUMMYFUNCTION("GoogleFinance(B26,""name"")"),"Direxion Daily Financial Bear 3x Shares")</f>
        <v>Direxion Daily Financial Bear 3x Shares</v>
      </c>
      <c r="D26" s="49">
        <f ca="1">IFERROR(__xludf.DUMMYFUNCTION("GoogleFinance(B26,""marketcap"")/1000000"),59.573871)</f>
        <v>59.573870999999997</v>
      </c>
      <c r="E26" s="163" t="s">
        <v>229</v>
      </c>
      <c r="F26" s="163" t="s">
        <v>227</v>
      </c>
      <c r="G26" s="99">
        <v>45422</v>
      </c>
      <c r="H26" s="363">
        <f ca="1">IFERROR(__xludf.DUMMYFUNCTION("GOOGLEFINANCE(B26)"),10.69)</f>
        <v>10.69</v>
      </c>
      <c r="I26" s="164">
        <v>10.14</v>
      </c>
      <c r="J26" s="165">
        <f>3000/I26</f>
        <v>295.85798816568047</v>
      </c>
      <c r="K26" s="166">
        <v>3000</v>
      </c>
      <c r="L26" s="166">
        <f ca="1">J26*H26</f>
        <v>3162.7218934911239</v>
      </c>
      <c r="M26" s="167">
        <f ca="1">L26-K26</f>
        <v>162.72189349112386</v>
      </c>
      <c r="N26" s="168">
        <f ca="1">H26/I26-1</f>
        <v>5.4240631163708031E-2</v>
      </c>
      <c r="O26" s="394">
        <f ca="1">TODAY()-G26</f>
        <v>45</v>
      </c>
      <c r="P26" s="59">
        <v>9.6</v>
      </c>
      <c r="Q26" s="98">
        <f ca="1">P26/H26-1</f>
        <v>-0.10196445275958843</v>
      </c>
      <c r="R26" s="26">
        <v>12.7</v>
      </c>
      <c r="S26" s="24">
        <f ca="1">R26/H26-1</f>
        <v>0.18802619270346121</v>
      </c>
      <c r="T26" s="9">
        <f ca="1">IFERROR(__xludf.DUMMYFUNCTION("GoogleFinance(B26,""changepct"")/100"),0)</f>
        <v>0</v>
      </c>
      <c r="U26" s="395">
        <f ca="1">H26/AI27-1</f>
        <v>-3.5198555956678756E-2</v>
      </c>
      <c r="V26" s="215">
        <f ca="1">H26/AK27-1</f>
        <v>-4.977777777777781E-2</v>
      </c>
      <c r="W26" s="102">
        <f ca="1">H26/AM27-1</f>
        <v>2.9865125240847723E-2</v>
      </c>
      <c r="X26" s="102">
        <f ca="1">H26/AO27-1</f>
        <v>-0.22536231884057978</v>
      </c>
      <c r="Y26" s="215">
        <f ca="1">H26/AQ27-1</f>
        <v>-0.21799561082662766</v>
      </c>
      <c r="Z26" s="247" t="s">
        <v>122</v>
      </c>
      <c r="AA26" s="61" t="s">
        <v>79</v>
      </c>
      <c r="AB26" s="61" t="s">
        <v>69</v>
      </c>
      <c r="AC26" s="396" t="s">
        <v>109</v>
      </c>
      <c r="AD26" s="397"/>
      <c r="AE26" s="24"/>
      <c r="AF26" s="24"/>
      <c r="AG26" s="24"/>
      <c r="AH26" s="381" t="str">
        <f ca="1">IFERROR(__xludf.DUMMYFUNCTION("GoogleFinance(B26,""price"",DATE(2024,5,3))"),"Date")</f>
        <v>Date</v>
      </c>
      <c r="AI26" s="382" t="str">
        <f ca="1">IFERROR(__xludf.DUMMYFUNCTION("""COMPUTED_VALUE"""),"Close")</f>
        <v>Close</v>
      </c>
      <c r="AJ26" s="381" t="str">
        <f ca="1">IFERROR(__xludf.DUMMYFUNCTION("GoogleFinance(B26,""price"",DATE(2024,4,30))"),"Date")</f>
        <v>Date</v>
      </c>
      <c r="AK26" s="30" t="str">
        <f ca="1">IFERROR(__xludf.DUMMYFUNCTION("""COMPUTED_VALUE"""),"Close")</f>
        <v>Close</v>
      </c>
      <c r="AL26" s="2" t="str">
        <f ca="1">IFERROR(__xludf.DUMMYFUNCTION("GoogleFinance(B26,""price"",today()-91)"),"Date")</f>
        <v>Date</v>
      </c>
      <c r="AM26" s="30" t="str">
        <f ca="1">IFERROR(__xludf.DUMMYFUNCTION("""COMPUTED_VALUE"""),"Close")</f>
        <v>Close</v>
      </c>
      <c r="AN26" s="2" t="str">
        <f ca="1">IFERROR(__xludf.DUMMYFUNCTION("GoogleFinance(B26,""price"",today()-182)"),"Date")</f>
        <v>Date</v>
      </c>
      <c r="AO26" s="30" t="str">
        <f ca="1">IFERROR(__xludf.DUMMYFUNCTION("""COMPUTED_VALUE"""),"Close")</f>
        <v>Close</v>
      </c>
      <c r="AP26" s="2" t="str">
        <f ca="1">IFERROR(__xludf.DUMMYFUNCTION("GoogleFinance(B26,""price"",DATE(2023,12,29))"),"Date")</f>
        <v>Date</v>
      </c>
      <c r="AQ26" s="30" t="str">
        <f ca="1">IFERROR(__xludf.DUMMYFUNCTION("""COMPUTED_VALUE"""),"Close")</f>
        <v>Close</v>
      </c>
      <c r="AR26" s="24"/>
      <c r="AS26" s="30"/>
      <c r="AT26" s="90"/>
      <c r="AU26" s="90"/>
      <c r="AV26" s="90"/>
      <c r="AW26" s="90"/>
      <c r="AX26" s="92"/>
      <c r="AY26" s="92"/>
      <c r="AZ26" s="90"/>
      <c r="BA26" s="92"/>
      <c r="BB26" s="92"/>
      <c r="BC26" s="92"/>
      <c r="BD26" s="92"/>
      <c r="BE26" s="92"/>
      <c r="BF26" s="90"/>
      <c r="BG26" s="90"/>
      <c r="BH26" s="90"/>
      <c r="BI26" s="90"/>
      <c r="BJ26" s="90"/>
      <c r="BK26" s="90"/>
      <c r="BL26" s="90"/>
      <c r="BM26" s="90"/>
      <c r="BN26" s="90"/>
      <c r="BO26" s="90"/>
      <c r="BP26" s="92"/>
      <c r="BQ26" s="92"/>
      <c r="BR26" s="92"/>
      <c r="BS26" s="92"/>
      <c r="BT26" s="92"/>
      <c r="BU26" s="92"/>
      <c r="BV26" s="92"/>
      <c r="BW26" s="92"/>
      <c r="BX26" s="92"/>
      <c r="BY26" s="92"/>
      <c r="BZ26" s="92"/>
      <c r="CA26" s="92"/>
      <c r="CB26" s="92"/>
      <c r="CC26" s="92"/>
    </row>
    <row r="27" spans="1:81" ht="13.2" hidden="1">
      <c r="A27" s="398" t="e">
        <f>#REF!+1</f>
        <v>#REF!</v>
      </c>
      <c r="B27" s="399"/>
      <c r="C27" s="400"/>
      <c r="D27" s="399"/>
      <c r="E27" s="399"/>
      <c r="F27" s="399"/>
      <c r="G27" s="399"/>
      <c r="H27" s="401"/>
      <c r="I27" s="401"/>
      <c r="J27" s="401"/>
      <c r="K27" s="401"/>
      <c r="L27" s="401"/>
      <c r="M27" s="402"/>
      <c r="N27" s="403"/>
      <c r="O27" s="401"/>
      <c r="P27" s="401"/>
      <c r="Q27" s="404"/>
      <c r="R27" s="404"/>
      <c r="S27" s="404"/>
      <c r="T27" s="405"/>
      <c r="U27" s="399"/>
      <c r="V27" s="399"/>
      <c r="W27" s="399"/>
      <c r="X27" s="399"/>
      <c r="Y27" s="399"/>
      <c r="Z27" s="406"/>
      <c r="AA27" s="406"/>
      <c r="AB27" s="406"/>
      <c r="AC27" s="406"/>
      <c r="AD27" s="407"/>
      <c r="AE27" s="149"/>
      <c r="AF27" s="149"/>
      <c r="AG27" s="149"/>
      <c r="AH27" s="128">
        <f ca="1">IFERROR(__xludf.DUMMYFUNCTION("""COMPUTED_VALUE"""),45415.6666666666)</f>
        <v>45415.666666666599</v>
      </c>
      <c r="AI27" s="143">
        <f ca="1">IFERROR(__xludf.DUMMYFUNCTION("""COMPUTED_VALUE"""),11.08)</f>
        <v>11.08</v>
      </c>
      <c r="AJ27" s="128">
        <f ca="1">IFERROR(__xludf.DUMMYFUNCTION("""COMPUTED_VALUE"""),45412.6666666666)</f>
        <v>45412.666666666599</v>
      </c>
      <c r="AK27" s="143">
        <f ca="1">IFERROR(__xludf.DUMMYFUNCTION("""COMPUTED_VALUE"""),11.25)</f>
        <v>11.25</v>
      </c>
      <c r="AL27" s="128">
        <f ca="1">IFERROR(__xludf.DUMMYFUNCTION("""COMPUTED_VALUE"""),45376.6666666666)</f>
        <v>45376.666666666599</v>
      </c>
      <c r="AM27" s="143">
        <f ca="1">IFERROR(__xludf.DUMMYFUNCTION("""COMPUTED_VALUE"""),10.38)</f>
        <v>10.38</v>
      </c>
      <c r="AN27" s="128">
        <f ca="1">IFERROR(__xludf.DUMMYFUNCTION("""COMPUTED_VALUE"""),45286.6666666666)</f>
        <v>45286.666666666599</v>
      </c>
      <c r="AO27" s="143">
        <f ca="1">IFERROR(__xludf.DUMMYFUNCTION("""COMPUTED_VALUE"""),13.8)</f>
        <v>13.8</v>
      </c>
      <c r="AP27" s="128">
        <f ca="1">IFERROR(__xludf.DUMMYFUNCTION("""COMPUTED_VALUE"""),45289.6666666666)</f>
        <v>45289.666666666599</v>
      </c>
      <c r="AQ27" s="143">
        <f ca="1">IFERROR(__xludf.DUMMYFUNCTION("""COMPUTED_VALUE"""),13.67)</f>
        <v>13.67</v>
      </c>
      <c r="AR27" s="408"/>
      <c r="AS27" s="408"/>
      <c r="AT27" s="408"/>
      <c r="AU27" s="408"/>
      <c r="AV27" s="409"/>
      <c r="AW27" s="409"/>
      <c r="AX27" s="408"/>
      <c r="AY27" s="409"/>
      <c r="AZ27" s="409"/>
      <c r="BA27" s="409"/>
      <c r="BB27" s="409"/>
      <c r="BC27" s="409"/>
      <c r="BD27" s="408"/>
      <c r="BE27" s="408"/>
      <c r="BF27" s="408"/>
      <c r="BG27" s="408"/>
      <c r="BH27" s="408"/>
      <c r="BI27" s="408"/>
      <c r="BJ27" s="408"/>
      <c r="BK27" s="408"/>
      <c r="BL27" s="408"/>
      <c r="BM27" s="408"/>
      <c r="BN27" s="409"/>
      <c r="BO27" s="409"/>
      <c r="BP27" s="409"/>
      <c r="BQ27" s="409"/>
      <c r="BR27" s="409"/>
      <c r="BS27" s="409"/>
      <c r="BT27" s="409"/>
      <c r="BU27" s="409"/>
      <c r="BV27" s="409"/>
      <c r="BW27" s="409"/>
      <c r="BX27" s="409"/>
      <c r="BY27" s="409"/>
      <c r="BZ27" s="409"/>
      <c r="CA27" s="409"/>
      <c r="CB27" s="409"/>
      <c r="CC27" s="409"/>
    </row>
    <row r="28" spans="1:81" ht="13.2">
      <c r="A28" s="357">
        <f>A26+1</f>
        <v>13</v>
      </c>
      <c r="B28" s="1" t="s">
        <v>230</v>
      </c>
      <c r="C28" s="48" t="str">
        <f ca="1">IFERROR(__xludf.DUMMYFUNCTION("GoogleFinance(B28,""name"")"),"ProShares Short Dow30")</f>
        <v>ProShares Short Dow30</v>
      </c>
      <c r="D28" s="49" t="str">
        <f ca="1">IFERROR(__xludf.DUMMYFUNCTION("GoogleFinance(B28,""marketcap"")/1000000"),"#N/A")</f>
        <v>#N/A</v>
      </c>
      <c r="E28" s="50" t="s">
        <v>231</v>
      </c>
      <c r="F28" s="50" t="s">
        <v>222</v>
      </c>
      <c r="G28" s="51">
        <v>45331</v>
      </c>
      <c r="H28" s="363">
        <f ca="1">IFERROR(__xludf.DUMMYFUNCTION("GOOGLEFINANCE(B28)"),29.22)</f>
        <v>29.22</v>
      </c>
      <c r="I28" s="53">
        <v>29.23</v>
      </c>
      <c r="J28" s="54">
        <v>136.84570646595964</v>
      </c>
      <c r="K28" s="55">
        <v>4000</v>
      </c>
      <c r="L28" s="166">
        <f ca="1">J28*H28</f>
        <v>3998.6315429353403</v>
      </c>
      <c r="M28" s="167">
        <f ca="1">L28-K28</f>
        <v>-1.3684570646596512</v>
      </c>
      <c r="N28" s="168">
        <f ca="1">H28/I28-1</f>
        <v>-3.421142661649279E-4</v>
      </c>
      <c r="O28" s="394">
        <f ca="1">TODAY()-G28</f>
        <v>136</v>
      </c>
      <c r="P28" s="59">
        <v>28</v>
      </c>
      <c r="Q28" s="150">
        <f ca="1">P28/H28-1</f>
        <v>-4.1752224503764479E-2</v>
      </c>
      <c r="R28" s="50">
        <v>32</v>
      </c>
      <c r="S28" s="24">
        <f ca="1">R28/H28-1</f>
        <v>9.5140314852840469E-2</v>
      </c>
      <c r="T28" s="9">
        <f ca="1">IFERROR(__xludf.DUMMYFUNCTION("GoogleFinance(B28,""changepct"")/100"),0)</f>
        <v>0</v>
      </c>
      <c r="U28" s="420">
        <f ca="1">H28/AI29-1</f>
        <v>-3.7504261847937093E-3</v>
      </c>
      <c r="V28" s="421">
        <f ca="1">H28/AK29-1</f>
        <v>-2.5025025025025016E-2</v>
      </c>
      <c r="W28" s="422">
        <f ca="1">H28/AM29-1</f>
        <v>2.1321216357916839E-2</v>
      </c>
      <c r="X28" s="422">
        <f ca="1">H28/AO29-1</f>
        <v>-1.8804566823371505E-2</v>
      </c>
      <c r="Y28" s="421">
        <f ca="1">H28/AQ29-1</f>
        <v>-1.6161616161616155E-2</v>
      </c>
      <c r="Z28" s="247" t="s">
        <v>122</v>
      </c>
      <c r="AA28" s="61" t="s">
        <v>79</v>
      </c>
      <c r="AB28" s="61" t="s">
        <v>70</v>
      </c>
      <c r="AC28" s="62" t="s">
        <v>95</v>
      </c>
      <c r="AD28" s="397"/>
      <c r="AE28" s="24"/>
      <c r="AF28" s="24"/>
      <c r="AG28" s="24"/>
      <c r="AH28" s="381" t="str">
        <f ca="1">IFERROR(__xludf.DUMMYFUNCTION("GoogleFinance(B28,""price"",DATE(2024,5,3))"),"Date")</f>
        <v>Date</v>
      </c>
      <c r="AI28" s="382" t="str">
        <f ca="1">IFERROR(__xludf.DUMMYFUNCTION("""COMPUTED_VALUE"""),"Close")</f>
        <v>Close</v>
      </c>
      <c r="AJ28" s="381" t="str">
        <f ca="1">IFERROR(__xludf.DUMMYFUNCTION("GoogleFinance(B28,""price"",DATE(2024,4,30))"),"Date")</f>
        <v>Date</v>
      </c>
      <c r="AK28" s="30" t="str">
        <f ca="1">IFERROR(__xludf.DUMMYFUNCTION("""COMPUTED_VALUE"""),"Close")</f>
        <v>Close</v>
      </c>
      <c r="AL28" s="24" t="str">
        <f ca="1">IFERROR(__xludf.DUMMYFUNCTION("GoogleFinance(B28,""price"",today()-91)"),"Date")</f>
        <v>Date</v>
      </c>
      <c r="AM28" s="30" t="str">
        <f ca="1">IFERROR(__xludf.DUMMYFUNCTION("""COMPUTED_VALUE"""),"Close")</f>
        <v>Close</v>
      </c>
      <c r="AN28" s="24" t="str">
        <f ca="1">IFERROR(__xludf.DUMMYFUNCTION("GoogleFinance(B28,""price"",today()-182)"),"Date")</f>
        <v>Date</v>
      </c>
      <c r="AO28" s="30" t="str">
        <f ca="1">IFERROR(__xludf.DUMMYFUNCTION("""COMPUTED_VALUE"""),"Close")</f>
        <v>Close</v>
      </c>
      <c r="AP28" s="24" t="str">
        <f ca="1">IFERROR(__xludf.DUMMYFUNCTION("GoogleFinance(B28,""price"",DATE(2023,12,29))"),"Date")</f>
        <v>Date</v>
      </c>
      <c r="AQ28" s="30" t="str">
        <f ca="1">IFERROR(__xludf.DUMMYFUNCTION("""COMPUTED_VALUE"""),"Close")</f>
        <v>Close</v>
      </c>
      <c r="AR28" s="5"/>
      <c r="AS28" s="5"/>
      <c r="AT28" s="5"/>
      <c r="AU28" s="5"/>
      <c r="AX28" s="5"/>
      <c r="BD28" s="5"/>
      <c r="BE28" s="5"/>
      <c r="BF28" s="5"/>
      <c r="BG28" s="5"/>
      <c r="BH28" s="5"/>
      <c r="BI28" s="5"/>
      <c r="BJ28" s="5"/>
      <c r="BK28" s="5"/>
      <c r="BL28" s="5"/>
      <c r="BM28" s="5"/>
    </row>
    <row r="29" spans="1:81" ht="13.2" hidden="1">
      <c r="A29" s="357">
        <f>A7+1</f>
        <v>3</v>
      </c>
      <c r="B29" s="385"/>
      <c r="C29" s="386"/>
      <c r="D29" s="385"/>
      <c r="E29" s="385"/>
      <c r="F29" s="385"/>
      <c r="G29" s="385"/>
      <c r="H29" s="363"/>
      <c r="I29" s="387"/>
      <c r="J29" s="387"/>
      <c r="K29" s="387"/>
      <c r="L29" s="387"/>
      <c r="M29" s="56"/>
      <c r="N29" s="388"/>
      <c r="O29" s="387"/>
      <c r="P29" s="387"/>
      <c r="Q29" s="389"/>
      <c r="R29" s="389"/>
      <c r="S29" s="389"/>
      <c r="T29" s="390"/>
      <c r="U29" s="385"/>
      <c r="V29" s="385"/>
      <c r="W29" s="385"/>
      <c r="X29" s="385"/>
      <c r="Y29" s="385"/>
      <c r="Z29" s="391"/>
      <c r="AA29" s="391"/>
      <c r="AB29" s="391"/>
      <c r="AC29" s="391"/>
      <c r="AD29" s="392"/>
      <c r="AE29" s="24"/>
      <c r="AF29" s="24"/>
      <c r="AG29" s="24"/>
      <c r="AH29" s="99">
        <f ca="1">IFERROR(__xludf.DUMMYFUNCTION("""COMPUTED_VALUE"""),45415.6666666666)</f>
        <v>45415.666666666599</v>
      </c>
      <c r="AI29" s="100">
        <f ca="1">IFERROR(__xludf.DUMMYFUNCTION("""COMPUTED_VALUE"""),29.33)</f>
        <v>29.33</v>
      </c>
      <c r="AJ29" s="99">
        <f ca="1">IFERROR(__xludf.DUMMYFUNCTION("""COMPUTED_VALUE"""),45412.6666666666)</f>
        <v>45412.666666666599</v>
      </c>
      <c r="AK29" s="100">
        <f ca="1">IFERROR(__xludf.DUMMYFUNCTION("""COMPUTED_VALUE"""),29.97)</f>
        <v>29.97</v>
      </c>
      <c r="AL29" s="99">
        <f ca="1">IFERROR(__xludf.DUMMYFUNCTION("""COMPUTED_VALUE"""),45376.6666666666)</f>
        <v>45376.666666666599</v>
      </c>
      <c r="AM29" s="100">
        <f ca="1">IFERROR(__xludf.DUMMYFUNCTION("""COMPUTED_VALUE"""),28.61)</f>
        <v>28.61</v>
      </c>
      <c r="AN29" s="99">
        <f ca="1">IFERROR(__xludf.DUMMYFUNCTION("""COMPUTED_VALUE"""),45286.6666666666)</f>
        <v>45286.666666666599</v>
      </c>
      <c r="AO29" s="100">
        <f ca="1">IFERROR(__xludf.DUMMYFUNCTION("""COMPUTED_VALUE"""),29.78)</f>
        <v>29.78</v>
      </c>
      <c r="AP29" s="99">
        <f ca="1">IFERROR(__xludf.DUMMYFUNCTION("""COMPUTED_VALUE"""),45289.6666666666)</f>
        <v>45289.666666666599</v>
      </c>
      <c r="AQ29" s="100">
        <f ca="1">IFERROR(__xludf.DUMMYFUNCTION("""COMPUTED_VALUE"""),29.7)</f>
        <v>29.7</v>
      </c>
      <c r="AR29" s="27"/>
      <c r="AS29" s="27"/>
      <c r="AT29" s="27"/>
      <c r="AU29" s="27"/>
      <c r="AV29" s="393"/>
      <c r="AW29" s="393"/>
      <c r="AX29" s="27"/>
      <c r="AY29" s="393"/>
      <c r="AZ29" s="393"/>
      <c r="BA29" s="393"/>
      <c r="BB29" s="393"/>
      <c r="BC29" s="393"/>
      <c r="BD29" s="27"/>
      <c r="BE29" s="27"/>
      <c r="BF29" s="27"/>
      <c r="BG29" s="27"/>
      <c r="BH29" s="27"/>
      <c r="BI29" s="27"/>
      <c r="BJ29" s="27"/>
      <c r="BK29" s="27"/>
      <c r="BL29" s="27"/>
      <c r="BM29" s="27"/>
      <c r="BN29" s="393"/>
      <c r="BO29" s="393"/>
      <c r="BP29" s="393"/>
      <c r="BQ29" s="393"/>
      <c r="BR29" s="393"/>
      <c r="BS29" s="393"/>
      <c r="BT29" s="393"/>
      <c r="BU29" s="393"/>
      <c r="BV29" s="393"/>
      <c r="BW29" s="393"/>
      <c r="BX29" s="393"/>
      <c r="BY29" s="393"/>
      <c r="BZ29" s="393"/>
      <c r="CA29" s="393"/>
      <c r="CB29" s="393"/>
      <c r="CC29" s="393"/>
    </row>
    <row r="30" spans="1:81" ht="13.2" hidden="1">
      <c r="A30" s="357" t="e">
        <f t="shared" ref="A30:A31" si="2">#REF!+1</f>
        <v>#REF!</v>
      </c>
      <c r="B30" s="1" t="s">
        <v>5</v>
      </c>
      <c r="C30" s="48" t="str">
        <f ca="1">IFERROR(__xludf.DUMMYFUNCTION("GoogleFinance(B30,""name"")"),"SPDR S&amp;P 500 ETF Trust")</f>
        <v>SPDR S&amp;P 500 ETF Trust</v>
      </c>
      <c r="D30" s="49">
        <f ca="1">IFERROR(__xludf.DUMMYFUNCTION("GoogleFinance(B30,""marketcap"")/1000000"),491475.224873)</f>
        <v>491475.224873</v>
      </c>
      <c r="E30" s="50" t="s">
        <v>65</v>
      </c>
      <c r="F30" s="50" t="s">
        <v>232</v>
      </c>
      <c r="G30" s="51">
        <v>45309</v>
      </c>
      <c r="H30" s="52">
        <f ca="1">IFERROR(__xludf.DUMMYFUNCTION("GOOGLEFINANCE(B30)"),544.51)</f>
        <v>544.51</v>
      </c>
      <c r="I30" s="53"/>
      <c r="J30" s="54"/>
      <c r="K30" s="55">
        <f>J30*I30</f>
        <v>0</v>
      </c>
      <c r="L30" s="56">
        <f ca="1">H30*J30</f>
        <v>0</v>
      </c>
      <c r="M30" s="56">
        <f ca="1">L30-K30</f>
        <v>0</v>
      </c>
      <c r="N30" s="57"/>
      <c r="O30" s="58">
        <f ca="1">TODAY()-G30</f>
        <v>158</v>
      </c>
      <c r="P30" s="59">
        <v>465</v>
      </c>
      <c r="Q30" s="57">
        <f ca="1">P30/H30-1</f>
        <v>-0.14602119336651298</v>
      </c>
      <c r="R30" s="50">
        <v>482</v>
      </c>
      <c r="S30" s="109">
        <f ca="1">R30/H30-1</f>
        <v>-0.11480046280141776</v>
      </c>
      <c r="T30" s="11">
        <f ca="1">IFERROR(__xludf.DUMMYFUNCTION("GoogleFinance(B30,""changepct"")/100"),0)</f>
        <v>0</v>
      </c>
      <c r="U30" s="11">
        <f ca="1">H30/AI31-1</f>
        <v>8.6412609736632007E-2</v>
      </c>
      <c r="V30" s="11">
        <f ca="1">H30/AK31-1</f>
        <v>0.12763005301524188</v>
      </c>
      <c r="W30" s="11">
        <f ca="1">H30/AM31-1</f>
        <v>4.7597976027858424E-2</v>
      </c>
      <c r="X30" s="11">
        <f ca="1">H30/AO31-1</f>
        <v>0.14477031430673826</v>
      </c>
      <c r="Y30" s="11">
        <f ca="1">H30/AQ31-1</f>
        <v>0.14558919442048346</v>
      </c>
      <c r="Z30" s="60" t="s">
        <v>122</v>
      </c>
      <c r="AA30" s="61" t="s">
        <v>79</v>
      </c>
      <c r="AB30" s="61" t="s">
        <v>70</v>
      </c>
      <c r="AC30" s="62" t="s">
        <v>95</v>
      </c>
      <c r="AD30" s="397" t="s">
        <v>233</v>
      </c>
      <c r="AE30" s="2"/>
      <c r="AF30" s="2"/>
      <c r="AG30" s="2"/>
      <c r="AH30" s="24" t="str">
        <f ca="1">IFERROR(__xludf.DUMMYFUNCTION("GoogleFinance(B30,""price"",DATE(2024,2,9))"),"Date")</f>
        <v>Date</v>
      </c>
      <c r="AI30" s="30" t="str">
        <f ca="1">IFERROR(__xludf.DUMMYFUNCTION("""COMPUTED_VALUE"""),"Close")</f>
        <v>Close</v>
      </c>
      <c r="AJ30" s="24" t="str">
        <f ca="1">IFERROR(__xludf.DUMMYFUNCTION("GoogleFinance(B30,""price"",DATE(2024,1,31))"),"Date")</f>
        <v>Date</v>
      </c>
      <c r="AK30" s="30" t="str">
        <f ca="1">IFERROR(__xludf.DUMMYFUNCTION("""COMPUTED_VALUE"""),"Close")</f>
        <v>Close</v>
      </c>
      <c r="AL30" s="24" t="str">
        <f ca="1">IFERROR(__xludf.DUMMYFUNCTION("GoogleFinance(B30,""price"",today()-91)"),"Date")</f>
        <v>Date</v>
      </c>
      <c r="AM30" s="30" t="str">
        <f ca="1">IFERROR(__xludf.DUMMYFUNCTION("""COMPUTED_VALUE"""),"Close")</f>
        <v>Close</v>
      </c>
      <c r="AN30" s="24" t="str">
        <f ca="1">IFERROR(__xludf.DUMMYFUNCTION("GoogleFinance(B30,""price"",today()-182)"),"Date")</f>
        <v>Date</v>
      </c>
      <c r="AO30" s="30" t="str">
        <f ca="1">IFERROR(__xludf.DUMMYFUNCTION("""COMPUTED_VALUE"""),"Close")</f>
        <v>Close</v>
      </c>
      <c r="AP30" s="24" t="str">
        <f ca="1">IFERROR(__xludf.DUMMYFUNCTION("GoogleFinance(B30,""price"",DATE(2023,12,29))"),"Date")</f>
        <v>Date</v>
      </c>
      <c r="AQ30" s="30" t="str">
        <f ca="1">IFERROR(__xludf.DUMMYFUNCTION("""COMPUTED_VALUE"""),"Close")</f>
        <v>Close</v>
      </c>
      <c r="AR30" s="5"/>
      <c r="AS30" s="5"/>
      <c r="AT30" s="5"/>
      <c r="AU30" s="5"/>
      <c r="AX30" s="5"/>
      <c r="BD30" s="5"/>
      <c r="BE30" s="5"/>
      <c r="BF30" s="5"/>
      <c r="BG30" s="5"/>
      <c r="BH30" s="5"/>
      <c r="BI30" s="5"/>
      <c r="BJ30" s="5"/>
      <c r="BK30" s="5"/>
      <c r="BL30" s="5"/>
      <c r="BM30" s="5"/>
    </row>
    <row r="31" spans="1:81" ht="13.2" hidden="1">
      <c r="A31" s="47" t="e">
        <f t="shared" si="2"/>
        <v>#REF!</v>
      </c>
      <c r="B31" s="385"/>
      <c r="C31" s="386"/>
      <c r="D31" s="385"/>
      <c r="E31" s="385"/>
      <c r="F31" s="385"/>
      <c r="G31" s="385"/>
      <c r="H31" s="387"/>
      <c r="I31" s="387"/>
      <c r="J31" s="387"/>
      <c r="K31" s="387"/>
      <c r="L31" s="387"/>
      <c r="M31" s="56"/>
      <c r="N31" s="388"/>
      <c r="O31" s="387"/>
      <c r="P31" s="387"/>
      <c r="Q31" s="389"/>
      <c r="R31" s="389"/>
      <c r="S31" s="389"/>
      <c r="T31" s="390"/>
      <c r="U31" s="385"/>
      <c r="V31" s="385"/>
      <c r="W31" s="385"/>
      <c r="X31" s="385"/>
      <c r="Y31" s="385"/>
      <c r="Z31" s="391"/>
      <c r="AA31" s="391"/>
      <c r="AB31" s="391"/>
      <c r="AC31" s="391"/>
      <c r="AD31" s="392"/>
      <c r="AE31" s="24"/>
      <c r="AF31" s="24"/>
      <c r="AG31" s="24"/>
      <c r="AH31" s="99">
        <f ca="1">IFERROR(__xludf.DUMMYFUNCTION("""COMPUTED_VALUE"""),45331.6666666666)</f>
        <v>45331.666666666599</v>
      </c>
      <c r="AI31" s="100">
        <f ca="1">IFERROR(__xludf.DUMMYFUNCTION("""COMPUTED_VALUE"""),501.2)</f>
        <v>501.2</v>
      </c>
      <c r="AJ31" s="99">
        <f ca="1">IFERROR(__xludf.DUMMYFUNCTION("""COMPUTED_VALUE"""),45322.6666666666)</f>
        <v>45322.666666666599</v>
      </c>
      <c r="AK31" s="100">
        <f ca="1">IFERROR(__xludf.DUMMYFUNCTION("""COMPUTED_VALUE"""),482.88)</f>
        <v>482.88</v>
      </c>
      <c r="AL31" s="99">
        <f ca="1">IFERROR(__xludf.DUMMYFUNCTION("""COMPUTED_VALUE"""),45376.6666666666)</f>
        <v>45376.666666666599</v>
      </c>
      <c r="AM31" s="100">
        <f ca="1">IFERROR(__xludf.DUMMYFUNCTION("""COMPUTED_VALUE"""),519.77)</f>
        <v>519.77</v>
      </c>
      <c r="AN31" s="99">
        <f ca="1">IFERROR(__xludf.DUMMYFUNCTION("""COMPUTED_VALUE"""),45286.6666666666)</f>
        <v>45286.666666666599</v>
      </c>
      <c r="AO31" s="100">
        <f ca="1">IFERROR(__xludf.DUMMYFUNCTION("""COMPUTED_VALUE"""),475.65)</f>
        <v>475.65</v>
      </c>
      <c r="AP31" s="99">
        <f ca="1">IFERROR(__xludf.DUMMYFUNCTION("""COMPUTED_VALUE"""),45289.6666666666)</f>
        <v>45289.666666666599</v>
      </c>
      <c r="AQ31" s="100">
        <f ca="1">IFERROR(__xludf.DUMMYFUNCTION("""COMPUTED_VALUE"""),475.31)</f>
        <v>475.31</v>
      </c>
      <c r="AR31" s="27"/>
      <c r="AS31" s="27"/>
      <c r="AT31" s="27"/>
      <c r="AU31" s="27"/>
      <c r="AV31" s="393"/>
      <c r="AW31" s="393"/>
      <c r="AX31" s="27"/>
      <c r="AY31" s="393"/>
      <c r="AZ31" s="393"/>
      <c r="BA31" s="393"/>
      <c r="BB31" s="393"/>
      <c r="BC31" s="393"/>
      <c r="BD31" s="27"/>
      <c r="BE31" s="27"/>
      <c r="BF31" s="27"/>
      <c r="BG31" s="27"/>
      <c r="BH31" s="27"/>
      <c r="BI31" s="27"/>
      <c r="BJ31" s="27"/>
      <c r="BK31" s="27"/>
      <c r="BL31" s="27"/>
      <c r="BM31" s="27"/>
      <c r="BN31" s="393"/>
      <c r="BO31" s="393"/>
      <c r="BP31" s="393"/>
      <c r="BQ31" s="393"/>
      <c r="BR31" s="393"/>
      <c r="BS31" s="393"/>
      <c r="BT31" s="393"/>
      <c r="BU31" s="393"/>
      <c r="BV31" s="393"/>
      <c r="BW31" s="393"/>
      <c r="BX31" s="393"/>
      <c r="BY31" s="393"/>
      <c r="BZ31" s="393"/>
      <c r="CA31" s="393"/>
      <c r="CB31" s="393"/>
      <c r="CC31" s="393"/>
    </row>
    <row r="32" spans="1:81" ht="5.25" customHeight="1">
      <c r="A32" s="244"/>
      <c r="B32" s="428"/>
      <c r="C32" s="429"/>
      <c r="D32" s="428"/>
      <c r="E32" s="428"/>
      <c r="F32" s="428"/>
      <c r="G32" s="428"/>
      <c r="H32" s="428"/>
      <c r="I32" s="428"/>
      <c r="J32" s="428"/>
      <c r="K32" s="428"/>
      <c r="L32" s="428"/>
      <c r="M32" s="430"/>
      <c r="N32" s="431"/>
      <c r="O32" s="432"/>
      <c r="P32" s="428"/>
      <c r="Q32" s="433"/>
      <c r="R32" s="433"/>
      <c r="S32" s="433"/>
      <c r="T32" s="432"/>
      <c r="U32" s="428"/>
      <c r="V32" s="428"/>
      <c r="W32" s="428"/>
      <c r="X32" s="428"/>
      <c r="Y32" s="428"/>
      <c r="Z32" s="434"/>
      <c r="AA32" s="434"/>
      <c r="AB32" s="434"/>
      <c r="AC32" s="434"/>
      <c r="AD32" s="435"/>
      <c r="AE32" s="24"/>
      <c r="AF32" s="24"/>
      <c r="AG32" s="24"/>
      <c r="AH32" s="24"/>
      <c r="AI32" s="30"/>
      <c r="AJ32" s="24"/>
      <c r="AK32" s="30"/>
      <c r="AL32" s="24"/>
      <c r="AM32" s="30"/>
      <c r="AN32" s="24"/>
      <c r="AO32" s="30"/>
      <c r="AP32" s="24"/>
      <c r="AQ32" s="30"/>
      <c r="AR32" s="27"/>
      <c r="AS32" s="27"/>
      <c r="AT32" s="27"/>
      <c r="AU32" s="27"/>
      <c r="AX32" s="27"/>
      <c r="BD32" s="27"/>
      <c r="BE32" s="27"/>
      <c r="BF32" s="27"/>
      <c r="BG32" s="27"/>
      <c r="BH32" s="27"/>
      <c r="BI32" s="27"/>
      <c r="BJ32" s="27"/>
      <c r="BK32" s="27"/>
      <c r="BL32" s="27"/>
      <c r="BM32" s="27"/>
    </row>
    <row r="33" spans="1:81" ht="48">
      <c r="A33" s="244"/>
      <c r="B33" s="39" t="s">
        <v>0</v>
      </c>
      <c r="C33" s="40" t="s">
        <v>1</v>
      </c>
      <c r="D33" s="39" t="s">
        <v>35</v>
      </c>
      <c r="E33" s="39" t="s">
        <v>2</v>
      </c>
      <c r="F33" s="39" t="s">
        <v>36</v>
      </c>
      <c r="G33" s="39" t="s">
        <v>37</v>
      </c>
      <c r="H33" s="41" t="s">
        <v>3</v>
      </c>
      <c r="I33" s="41" t="s">
        <v>234</v>
      </c>
      <c r="J33" s="41" t="s">
        <v>41</v>
      </c>
      <c r="K33" s="41" t="s">
        <v>235</v>
      </c>
      <c r="L33" s="41" t="s">
        <v>43</v>
      </c>
      <c r="M33" s="41" t="s">
        <v>44</v>
      </c>
      <c r="N33" s="41" t="s">
        <v>45</v>
      </c>
      <c r="O33" s="41" t="s">
        <v>46</v>
      </c>
      <c r="P33" s="41" t="s">
        <v>47</v>
      </c>
      <c r="Q33" s="42" t="s">
        <v>48</v>
      </c>
      <c r="R33" s="42" t="s">
        <v>49</v>
      </c>
      <c r="S33" s="42" t="s">
        <v>50</v>
      </c>
      <c r="T33" s="43" t="s">
        <v>4</v>
      </c>
      <c r="U33" s="39" t="s">
        <v>51</v>
      </c>
      <c r="V33" s="39" t="s">
        <v>52</v>
      </c>
      <c r="W33" s="39" t="s">
        <v>53</v>
      </c>
      <c r="X33" s="39" t="s">
        <v>54</v>
      </c>
      <c r="Y33" s="39" t="s">
        <v>55</v>
      </c>
      <c r="Z33" s="44" t="s">
        <v>236</v>
      </c>
      <c r="AA33" s="44" t="s">
        <v>206</v>
      </c>
      <c r="AB33" s="44" t="s">
        <v>207</v>
      </c>
      <c r="AC33" s="44" t="s">
        <v>61</v>
      </c>
      <c r="AD33" s="45" t="s">
        <v>63</v>
      </c>
      <c r="AE33" s="24"/>
      <c r="AF33" s="24"/>
      <c r="AG33" s="24"/>
      <c r="AH33" s="24"/>
      <c r="AI33" s="30"/>
      <c r="AJ33" s="24"/>
      <c r="AK33" s="30"/>
      <c r="AL33" s="24"/>
      <c r="AM33" s="30"/>
      <c r="AN33" s="24"/>
      <c r="AO33" s="30"/>
      <c r="AP33" s="24"/>
      <c r="AQ33" s="30"/>
      <c r="AR33" s="27"/>
      <c r="AS33" s="27"/>
      <c r="AT33" s="27"/>
      <c r="AU33" s="27"/>
      <c r="AX33" s="27"/>
      <c r="BD33" s="27"/>
      <c r="BE33" s="27"/>
      <c r="BF33" s="27"/>
      <c r="BG33" s="27"/>
      <c r="BH33" s="27"/>
      <c r="BI33" s="27"/>
      <c r="BJ33" s="27"/>
      <c r="BK33" s="27"/>
      <c r="BL33" s="27"/>
      <c r="BM33" s="27"/>
    </row>
    <row r="34" spans="1:81" ht="13.2">
      <c r="A34" s="244"/>
      <c r="B34" s="436" t="s">
        <v>237</v>
      </c>
      <c r="C34" s="437"/>
      <c r="D34" s="438"/>
      <c r="E34" s="439"/>
      <c r="F34" s="439"/>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24"/>
      <c r="AF34" s="24"/>
      <c r="AG34" s="24"/>
      <c r="AH34" s="24"/>
      <c r="AI34" s="30"/>
      <c r="AJ34" s="24"/>
      <c r="AK34" s="30"/>
      <c r="AL34" s="24"/>
      <c r="AM34" s="30"/>
      <c r="AN34" s="24"/>
      <c r="AO34" s="30"/>
      <c r="AP34" s="24"/>
      <c r="AQ34" s="30"/>
      <c r="AR34" s="27"/>
      <c r="AS34" s="27"/>
      <c r="AT34" s="27"/>
      <c r="AU34" s="27"/>
      <c r="AX34" s="27"/>
      <c r="BD34" s="27"/>
      <c r="BE34" s="27"/>
      <c r="BF34" s="27"/>
      <c r="BG34" s="27"/>
      <c r="BH34" s="27"/>
      <c r="BI34" s="27"/>
      <c r="BJ34" s="27"/>
      <c r="BK34" s="27"/>
      <c r="BL34" s="27"/>
      <c r="BM34" s="27"/>
    </row>
    <row r="35" spans="1:81" ht="17.25" customHeight="1">
      <c r="A35" s="47">
        <v>1</v>
      </c>
      <c r="B35" s="1" t="s">
        <v>238</v>
      </c>
      <c r="C35" s="48" t="str">
        <f ca="1">IFERROR(__xludf.DUMMYFUNCTION("GoogleFinance(B35,""name"")"),"MercadoLibre Inc")</f>
        <v>MercadoLibre Inc</v>
      </c>
      <c r="D35" s="49">
        <f ca="1">IFERROR(__xludf.DUMMYFUNCTION("GoogleFinance(B35,""marketcap"")/1000000"),81118.441347)</f>
        <v>81118.441347</v>
      </c>
      <c r="E35" s="50" t="s">
        <v>9</v>
      </c>
      <c r="F35" s="50" t="s">
        <v>20</v>
      </c>
      <c r="G35" s="441">
        <v>45415</v>
      </c>
      <c r="H35" s="363">
        <f ca="1">IFERROR(__xludf.DUMMYFUNCTION("GOOGLEFINANCE(B35)"),1600.05)</f>
        <v>1600.05</v>
      </c>
      <c r="I35" s="53">
        <v>1648</v>
      </c>
      <c r="J35" s="54">
        <f>3000/I35</f>
        <v>1.8203883495145632</v>
      </c>
      <c r="K35" s="55">
        <v>3000</v>
      </c>
      <c r="L35" s="55">
        <f ca="1">H35*J35</f>
        <v>2912.7123786407769</v>
      </c>
      <c r="M35" s="56">
        <f ca="1">K35-L35</f>
        <v>87.287621359223067</v>
      </c>
      <c r="N35" s="168">
        <f ca="1">I35/H35-1</f>
        <v>2.9967813505827889E-2</v>
      </c>
      <c r="O35" s="394">
        <f ca="1">TODAY()-G35</f>
        <v>52</v>
      </c>
      <c r="P35" s="59">
        <v>1830</v>
      </c>
      <c r="Q35" s="57">
        <f ca="1">H35/P35-1</f>
        <v>-0.125655737704918</v>
      </c>
      <c r="R35" s="50">
        <v>1200</v>
      </c>
      <c r="S35" s="109">
        <f ca="1">H35/R35-1</f>
        <v>0.33337499999999998</v>
      </c>
      <c r="T35" s="9">
        <f ca="1">IFERROR(__xludf.DUMMYFUNCTION("GoogleFinance(B35,""changepct"")/100"),0)</f>
        <v>0</v>
      </c>
      <c r="U35" s="395">
        <f ca="1">H35/AI36-1</f>
        <v>-1.8711362967324119E-2</v>
      </c>
      <c r="V35" s="215">
        <f ca="1">H35/AK36-1</f>
        <v>9.6901350517584195E-2</v>
      </c>
      <c r="W35" s="102">
        <f ca="1">H35/AM36-1</f>
        <v>3.2243705122994459E-2</v>
      </c>
      <c r="X35" s="102">
        <f ca="1">H35/AO36-1</f>
        <v>1.4848031256342598E-2</v>
      </c>
      <c r="Y35" s="215">
        <f ca="1">H35/AQ36-1</f>
        <v>1.8141440879646753E-2</v>
      </c>
      <c r="Z35" s="60" t="s">
        <v>122</v>
      </c>
      <c r="AA35" s="61" t="s">
        <v>70</v>
      </c>
      <c r="AB35" s="61" t="s">
        <v>69</v>
      </c>
      <c r="AC35" s="62" t="s">
        <v>109</v>
      </c>
      <c r="AD35" s="397"/>
      <c r="AE35" s="2"/>
      <c r="AF35" s="2"/>
      <c r="AG35" s="2"/>
      <c r="AH35" s="381" t="str">
        <f ca="1">IFERROR(__xludf.DUMMYFUNCTION("GoogleFinance(B35,""price"",DATE(2024,5,3))"),"Date")</f>
        <v>Date</v>
      </c>
      <c r="AI35" s="382" t="str">
        <f ca="1">IFERROR(__xludf.DUMMYFUNCTION("""COMPUTED_VALUE"""),"Close")</f>
        <v>Close</v>
      </c>
      <c r="AJ35" s="381" t="str">
        <f ca="1">IFERROR(__xludf.DUMMYFUNCTION("GoogleFinance(B35,""price"",DATE(2024,4,30))"),"Date")</f>
        <v>Date</v>
      </c>
      <c r="AK35" s="30" t="str">
        <f ca="1">IFERROR(__xludf.DUMMYFUNCTION("""COMPUTED_VALUE"""),"Close")</f>
        <v>Close</v>
      </c>
      <c r="AL35" s="24" t="str">
        <f ca="1">IFERROR(__xludf.DUMMYFUNCTION("GoogleFinance(B35,""price"",today()-91)"),"Date")</f>
        <v>Date</v>
      </c>
      <c r="AM35" s="30" t="str">
        <f ca="1">IFERROR(__xludf.DUMMYFUNCTION("""COMPUTED_VALUE"""),"Close")</f>
        <v>Close</v>
      </c>
      <c r="AN35" s="24" t="str">
        <f ca="1">IFERROR(__xludf.DUMMYFUNCTION("GoogleFinance(B35,""price"",today()-182)"),"Date")</f>
        <v>Date</v>
      </c>
      <c r="AO35" s="30" t="str">
        <f ca="1">IFERROR(__xludf.DUMMYFUNCTION("""COMPUTED_VALUE"""),"Close")</f>
        <v>Close</v>
      </c>
      <c r="AP35" s="24" t="str">
        <f ca="1">IFERROR(__xludf.DUMMYFUNCTION("GoogleFinance(B35,""price"",DATE(2023,12,29))"),"Date")</f>
        <v>Date</v>
      </c>
      <c r="AQ35" s="30" t="str">
        <f ca="1">IFERROR(__xludf.DUMMYFUNCTION("""COMPUTED_VALUE"""),"Close")</f>
        <v>Close</v>
      </c>
      <c r="AR35" s="5"/>
      <c r="AS35" s="5"/>
      <c r="AT35" s="5"/>
      <c r="AU35" s="5"/>
      <c r="AX35" s="5"/>
      <c r="BD35" s="5"/>
      <c r="BE35" s="5"/>
      <c r="BF35" s="5"/>
      <c r="BG35" s="5"/>
      <c r="BH35" s="5"/>
      <c r="BI35" s="5"/>
      <c r="BJ35" s="5"/>
      <c r="BK35" s="5"/>
      <c r="BL35" s="5"/>
      <c r="BM35" s="5"/>
    </row>
    <row r="36" spans="1:81" ht="13.2" hidden="1">
      <c r="A36" s="161" t="e">
        <f>1+#REF!</f>
        <v>#REF!</v>
      </c>
      <c r="B36" s="23"/>
      <c r="C36" s="162"/>
      <c r="D36" s="163"/>
      <c r="E36" s="26"/>
      <c r="F36" s="26"/>
      <c r="G36" s="442"/>
      <c r="H36" s="161"/>
      <c r="I36" s="164"/>
      <c r="J36" s="165"/>
      <c r="K36" s="443"/>
      <c r="L36" s="166"/>
      <c r="M36" s="166"/>
      <c r="N36" s="89"/>
      <c r="O36" s="394"/>
      <c r="P36" s="26"/>
      <c r="Q36" s="89"/>
      <c r="R36" s="26"/>
      <c r="S36" s="97"/>
      <c r="T36" s="89"/>
      <c r="U36" s="89"/>
      <c r="V36" s="89"/>
      <c r="W36" s="89"/>
      <c r="X36" s="89"/>
      <c r="Y36" s="97"/>
      <c r="Z36" s="90"/>
      <c r="AA36" s="444"/>
      <c r="AB36" s="444"/>
      <c r="AC36" s="90"/>
      <c r="AD36" s="445"/>
      <c r="AE36" s="89"/>
      <c r="AF36" s="89"/>
      <c r="AG36" s="89"/>
      <c r="AH36" s="99">
        <f ca="1">IFERROR(__xludf.DUMMYFUNCTION("""COMPUTED_VALUE"""),45415.6666666666)</f>
        <v>45415.666666666599</v>
      </c>
      <c r="AI36" s="100">
        <f ca="1">IFERROR(__xludf.DUMMYFUNCTION("""COMPUTED_VALUE"""),1630.56)</f>
        <v>1630.56</v>
      </c>
      <c r="AJ36" s="99">
        <f ca="1">IFERROR(__xludf.DUMMYFUNCTION("""COMPUTED_VALUE"""),45412.6666666666)</f>
        <v>45412.666666666599</v>
      </c>
      <c r="AK36" s="100">
        <f ca="1">IFERROR(__xludf.DUMMYFUNCTION("""COMPUTED_VALUE"""),1458.7)</f>
        <v>1458.7</v>
      </c>
      <c r="AL36" s="99">
        <f ca="1">IFERROR(__xludf.DUMMYFUNCTION("""COMPUTED_VALUE"""),45376.6666666666)</f>
        <v>45376.666666666599</v>
      </c>
      <c r="AM36" s="100">
        <f ca="1">IFERROR(__xludf.DUMMYFUNCTION("""COMPUTED_VALUE"""),1550.07)</f>
        <v>1550.07</v>
      </c>
      <c r="AN36" s="99">
        <f ca="1">IFERROR(__xludf.DUMMYFUNCTION("""COMPUTED_VALUE"""),45286.6666666666)</f>
        <v>45286.666666666599</v>
      </c>
      <c r="AO36" s="100">
        <f ca="1">IFERROR(__xludf.DUMMYFUNCTION("""COMPUTED_VALUE"""),1576.64)</f>
        <v>1576.64</v>
      </c>
      <c r="AP36" s="99">
        <f ca="1">IFERROR(__xludf.DUMMYFUNCTION("""COMPUTED_VALUE"""),45289.6666666666)</f>
        <v>45289.666666666599</v>
      </c>
      <c r="AQ36" s="100">
        <f ca="1">IFERROR(__xludf.DUMMYFUNCTION("""COMPUTED_VALUE"""),1571.54)</f>
        <v>1571.54</v>
      </c>
      <c r="AR36" s="90"/>
      <c r="AS36" s="90"/>
      <c r="AT36" s="90" t="s">
        <v>76</v>
      </c>
      <c r="AU36" s="446">
        <v>4.65E-2</v>
      </c>
      <c r="AV36" s="447">
        <v>-1.0200000000000001E-2</v>
      </c>
      <c r="AW36" s="92"/>
      <c r="AX36" s="90"/>
      <c r="AY36" s="92"/>
      <c r="AZ36" s="92"/>
      <c r="BA36" s="92"/>
      <c r="BB36" s="92"/>
      <c r="BC36" s="92"/>
      <c r="BD36" s="90"/>
      <c r="BE36" s="90"/>
      <c r="BF36" s="90"/>
      <c r="BG36" s="90"/>
      <c r="BH36" s="90"/>
      <c r="BI36" s="90"/>
      <c r="BJ36" s="90"/>
      <c r="BK36" s="90"/>
      <c r="BL36" s="90"/>
      <c r="BM36" s="90"/>
      <c r="BN36" s="92"/>
      <c r="BO36" s="92"/>
      <c r="BP36" s="92"/>
      <c r="BQ36" s="92"/>
      <c r="BR36" s="92"/>
      <c r="BS36" s="92"/>
      <c r="BT36" s="92"/>
      <c r="BU36" s="92"/>
      <c r="BV36" s="92"/>
      <c r="BW36" s="92"/>
      <c r="BX36" s="92"/>
      <c r="BY36" s="92"/>
      <c r="BZ36" s="92"/>
      <c r="CA36" s="92"/>
      <c r="CB36" s="92"/>
      <c r="CC36" s="92"/>
    </row>
    <row r="37" spans="1:81" ht="17.25" customHeight="1">
      <c r="A37" s="47">
        <f>1+A35</f>
        <v>2</v>
      </c>
      <c r="B37" s="1" t="s">
        <v>239</v>
      </c>
      <c r="C37" s="48" t="str">
        <f ca="1">IFERROR(__xludf.DUMMYFUNCTION("GoogleFinance(B37,""name"")"),"Madison Square Garden Sports Corp")</f>
        <v>Madison Square Garden Sports Corp</v>
      </c>
      <c r="D37" s="49">
        <f ca="1">IFERROR(__xludf.DUMMYFUNCTION("GoogleFinance(B37,""marketcap"")/1000000"),4513.806)</f>
        <v>4513.8059999999996</v>
      </c>
      <c r="E37" s="50" t="s">
        <v>12</v>
      </c>
      <c r="F37" s="50" t="s">
        <v>99</v>
      </c>
      <c r="G37" s="441">
        <v>45421</v>
      </c>
      <c r="H37" s="363">
        <f ca="1">IFERROR(__xludf.DUMMYFUNCTION("GOOGLEFINANCE(B37)"),188.5)</f>
        <v>188.5</v>
      </c>
      <c r="I37" s="53">
        <v>189.8</v>
      </c>
      <c r="J37" s="54">
        <f>3000/I37</f>
        <v>15.806111696522654</v>
      </c>
      <c r="K37" s="55">
        <v>3000</v>
      </c>
      <c r="L37" s="55">
        <f ca="1">H37*J37</f>
        <v>2979.4520547945203</v>
      </c>
      <c r="M37" s="56">
        <f ca="1">K37-L37</f>
        <v>20.547945205479664</v>
      </c>
      <c r="N37" s="168">
        <f ca="1">I37/H37-1</f>
        <v>6.8965517241379448E-3</v>
      </c>
      <c r="O37" s="394">
        <f ca="1">TODAY()-G37</f>
        <v>46</v>
      </c>
      <c r="P37" s="59">
        <v>200</v>
      </c>
      <c r="Q37" s="57">
        <f ca="1">H37/P37-1</f>
        <v>-5.7499999999999996E-2</v>
      </c>
      <c r="R37" s="50">
        <v>160</v>
      </c>
      <c r="S37" s="109">
        <f ca="1">H37/R37-1</f>
        <v>0.17812500000000009</v>
      </c>
      <c r="T37" s="9">
        <f ca="1">IFERROR(__xludf.DUMMYFUNCTION("GoogleFinance(B37,""changepct"")/100"),0)</f>
        <v>0</v>
      </c>
      <c r="U37" s="395">
        <f ca="1">H37/AI38-1</f>
        <v>2.0850257243433479E-2</v>
      </c>
      <c r="V37" s="215">
        <f ca="1">H37/AK38-1</f>
        <v>1.387693631669551E-2</v>
      </c>
      <c r="W37" s="102">
        <f ca="1">H37/AM38-1</f>
        <v>4.0344389866990404E-2</v>
      </c>
      <c r="X37" s="102">
        <f ca="1">H37/AO38-1</f>
        <v>4.2300248824993059E-2</v>
      </c>
      <c r="Y37" s="215">
        <f ca="1">H37/AQ38-1</f>
        <v>3.6682615629983983E-2</v>
      </c>
      <c r="Z37" s="60" t="s">
        <v>122</v>
      </c>
      <c r="AA37" s="61" t="s">
        <v>70</v>
      </c>
      <c r="AB37" s="61" t="s">
        <v>69</v>
      </c>
      <c r="AC37" s="62" t="s">
        <v>109</v>
      </c>
      <c r="AD37" s="397"/>
      <c r="AE37" s="2"/>
      <c r="AF37" s="2"/>
      <c r="AG37" s="2"/>
      <c r="AH37" s="381" t="str">
        <f ca="1">IFERROR(__xludf.DUMMYFUNCTION("GoogleFinance(B37,""price"",DATE(2024,5,3))"),"Date")</f>
        <v>Date</v>
      </c>
      <c r="AI37" s="382" t="str">
        <f ca="1">IFERROR(__xludf.DUMMYFUNCTION("""COMPUTED_VALUE"""),"Close")</f>
        <v>Close</v>
      </c>
      <c r="AJ37" s="381" t="str">
        <f ca="1">IFERROR(__xludf.DUMMYFUNCTION("GoogleFinance(B37,""price"",DATE(2024,4,30))"),"Date")</f>
        <v>Date</v>
      </c>
      <c r="AK37" s="30" t="str">
        <f ca="1">IFERROR(__xludf.DUMMYFUNCTION("""COMPUTED_VALUE"""),"Close")</f>
        <v>Close</v>
      </c>
      <c r="AL37" s="24" t="str">
        <f ca="1">IFERROR(__xludf.DUMMYFUNCTION("GoogleFinance(B37,""price"",today()-91)"),"Date")</f>
        <v>Date</v>
      </c>
      <c r="AM37" s="30" t="str">
        <f ca="1">IFERROR(__xludf.DUMMYFUNCTION("""COMPUTED_VALUE"""),"Close")</f>
        <v>Close</v>
      </c>
      <c r="AN37" s="24" t="str">
        <f ca="1">IFERROR(__xludf.DUMMYFUNCTION("GoogleFinance(B37,""price"",today()-182)"),"Date")</f>
        <v>Date</v>
      </c>
      <c r="AO37" s="30" t="str">
        <f ca="1">IFERROR(__xludf.DUMMYFUNCTION("""COMPUTED_VALUE"""),"Close")</f>
        <v>Close</v>
      </c>
      <c r="AP37" s="24" t="str">
        <f ca="1">IFERROR(__xludf.DUMMYFUNCTION("GoogleFinance(B37,""price"",DATE(2023,12,29))"),"Date")</f>
        <v>Date</v>
      </c>
      <c r="AQ37" s="30" t="str">
        <f ca="1">IFERROR(__xludf.DUMMYFUNCTION("""COMPUTED_VALUE"""),"Close")</f>
        <v>Close</v>
      </c>
      <c r="AR37" s="5"/>
      <c r="AS37" s="5"/>
      <c r="AT37" s="5"/>
      <c r="AU37" s="5"/>
      <c r="AX37" s="5"/>
      <c r="BD37" s="5"/>
      <c r="BE37" s="5"/>
      <c r="BF37" s="5"/>
      <c r="BG37" s="5"/>
      <c r="BH37" s="5"/>
      <c r="BI37" s="5"/>
      <c r="BJ37" s="5"/>
      <c r="BK37" s="5"/>
      <c r="BL37" s="5"/>
      <c r="BM37" s="5"/>
    </row>
    <row r="38" spans="1:81" ht="13.2" hidden="1">
      <c r="A38" s="161" t="e">
        <f>1+#REF!</f>
        <v>#REF!</v>
      </c>
      <c r="B38" s="23"/>
      <c r="C38" s="162"/>
      <c r="D38" s="163"/>
      <c r="E38" s="26"/>
      <c r="F38" s="26"/>
      <c r="G38" s="442"/>
      <c r="H38" s="161"/>
      <c r="I38" s="164"/>
      <c r="J38" s="165"/>
      <c r="K38" s="443"/>
      <c r="L38" s="166"/>
      <c r="M38" s="166"/>
      <c r="N38" s="89"/>
      <c r="O38" s="394"/>
      <c r="P38" s="26"/>
      <c r="Q38" s="89"/>
      <c r="R38" s="26"/>
      <c r="S38" s="97"/>
      <c r="T38" s="89"/>
      <c r="U38" s="89"/>
      <c r="V38" s="89"/>
      <c r="W38" s="89"/>
      <c r="X38" s="89"/>
      <c r="Y38" s="97"/>
      <c r="Z38" s="90"/>
      <c r="AA38" s="444"/>
      <c r="AB38" s="444"/>
      <c r="AC38" s="90"/>
      <c r="AD38" s="445"/>
      <c r="AE38" s="89"/>
      <c r="AF38" s="89"/>
      <c r="AG38" s="89"/>
      <c r="AH38" s="99">
        <f ca="1">IFERROR(__xludf.DUMMYFUNCTION("""COMPUTED_VALUE"""),45415.6666666666)</f>
        <v>45415.666666666599</v>
      </c>
      <c r="AI38" s="100">
        <f ca="1">IFERROR(__xludf.DUMMYFUNCTION("""COMPUTED_VALUE"""),184.65)</f>
        <v>184.65</v>
      </c>
      <c r="AJ38" s="99">
        <f ca="1">IFERROR(__xludf.DUMMYFUNCTION("""COMPUTED_VALUE"""),45412.6666666666)</f>
        <v>45412.666666666599</v>
      </c>
      <c r="AK38" s="100">
        <f ca="1">IFERROR(__xludf.DUMMYFUNCTION("""COMPUTED_VALUE"""),185.92)</f>
        <v>185.92</v>
      </c>
      <c r="AL38" s="99">
        <f ca="1">IFERROR(__xludf.DUMMYFUNCTION("""COMPUTED_VALUE"""),45376.6666666666)</f>
        <v>45376.666666666599</v>
      </c>
      <c r="AM38" s="100">
        <f ca="1">IFERROR(__xludf.DUMMYFUNCTION("""COMPUTED_VALUE"""),181.19)</f>
        <v>181.19</v>
      </c>
      <c r="AN38" s="99">
        <f ca="1">IFERROR(__xludf.DUMMYFUNCTION("""COMPUTED_VALUE"""),45286.6666666666)</f>
        <v>45286.666666666599</v>
      </c>
      <c r="AO38" s="100">
        <f ca="1">IFERROR(__xludf.DUMMYFUNCTION("""COMPUTED_VALUE"""),180.85)</f>
        <v>180.85</v>
      </c>
      <c r="AP38" s="99">
        <f ca="1">IFERROR(__xludf.DUMMYFUNCTION("""COMPUTED_VALUE"""),45289.6666666666)</f>
        <v>45289.666666666599</v>
      </c>
      <c r="AQ38" s="100">
        <f ca="1">IFERROR(__xludf.DUMMYFUNCTION("""COMPUTED_VALUE"""),181.83)</f>
        <v>181.83</v>
      </c>
      <c r="AR38" s="90"/>
      <c r="AS38" s="90"/>
      <c r="AT38" s="90" t="s">
        <v>76</v>
      </c>
      <c r="AU38" s="446">
        <v>4.65E-2</v>
      </c>
      <c r="AV38" s="447">
        <v>-1.0200000000000001E-2</v>
      </c>
      <c r="AW38" s="92"/>
      <c r="AX38" s="90"/>
      <c r="AY38" s="92"/>
      <c r="AZ38" s="92"/>
      <c r="BA38" s="92"/>
      <c r="BB38" s="92"/>
      <c r="BC38" s="92"/>
      <c r="BD38" s="90"/>
      <c r="BE38" s="90"/>
      <c r="BF38" s="90"/>
      <c r="BG38" s="90"/>
      <c r="BH38" s="90"/>
      <c r="BI38" s="90"/>
      <c r="BJ38" s="90"/>
      <c r="BK38" s="90"/>
      <c r="BL38" s="90"/>
      <c r="BM38" s="90"/>
      <c r="BN38" s="92"/>
      <c r="BO38" s="92"/>
      <c r="BP38" s="92"/>
      <c r="BQ38" s="92"/>
      <c r="BR38" s="92"/>
      <c r="BS38" s="92"/>
      <c r="BT38" s="92"/>
      <c r="BU38" s="92"/>
      <c r="BV38" s="92"/>
      <c r="BW38" s="92"/>
      <c r="BX38" s="92"/>
      <c r="BY38" s="92"/>
      <c r="BZ38" s="92"/>
      <c r="CA38" s="92"/>
      <c r="CB38" s="92"/>
      <c r="CC38" s="92"/>
    </row>
    <row r="39" spans="1:81" ht="17.25" customHeight="1">
      <c r="A39" s="47">
        <f t="shared" ref="A39:A43" si="3">1+A37</f>
        <v>3</v>
      </c>
      <c r="B39" s="1" t="s">
        <v>240</v>
      </c>
      <c r="C39" s="48" t="str">
        <f ca="1">IFERROR(__xludf.DUMMYFUNCTION("GoogleFinance(B39,""name"")"),"Caterpillar Inc.")</f>
        <v>Caterpillar Inc.</v>
      </c>
      <c r="D39" s="49">
        <f ca="1">IFERROR(__xludf.DUMMYFUNCTION("GoogleFinance(B39,""marketcap"")/1000000"),160331.100945)</f>
        <v>160331.10094500001</v>
      </c>
      <c r="E39" s="50" t="s">
        <v>10</v>
      </c>
      <c r="F39" s="50" t="s">
        <v>241</v>
      </c>
      <c r="G39" s="99">
        <v>45435</v>
      </c>
      <c r="H39" s="363">
        <f ca="1">IFERROR(__xludf.DUMMYFUNCTION("GOOGLEFINANCE(B39)"),327.84)</f>
        <v>327.84</v>
      </c>
      <c r="I39" s="53">
        <v>355.93</v>
      </c>
      <c r="J39" s="54">
        <f>3000/I39</f>
        <v>8.4286236057651784</v>
      </c>
      <c r="K39" s="55">
        <v>3000</v>
      </c>
      <c r="L39" s="55">
        <f ca="1">H39*J39</f>
        <v>2763.2399629140559</v>
      </c>
      <c r="M39" s="56">
        <f ca="1">K39-L39</f>
        <v>236.76003708594408</v>
      </c>
      <c r="N39" s="168">
        <f ca="1">I39/H39-1</f>
        <v>8.5682040019521732E-2</v>
      </c>
      <c r="O39" s="394">
        <f ca="1">TODAY()-G39</f>
        <v>32</v>
      </c>
      <c r="P39" s="59">
        <v>390</v>
      </c>
      <c r="Q39" s="57">
        <f ca="1">H39/P39-1</f>
        <v>-0.15938461538461546</v>
      </c>
      <c r="R39" s="50">
        <v>300</v>
      </c>
      <c r="S39" s="109">
        <f ca="1">H39/R39-1</f>
        <v>9.2799999999999994E-2</v>
      </c>
      <c r="T39" s="9">
        <f ca="1">IFERROR(__xludf.DUMMYFUNCTION("GoogleFinance(B39,""changepct"")/100"),0.0004)</f>
        <v>4.0000000000000002E-4</v>
      </c>
      <c r="U39" s="395">
        <f ca="1">H39/AI40-1</f>
        <v>-2.6458797327394312E-2</v>
      </c>
      <c r="V39" s="215">
        <f ca="1">H39/AK40-1</f>
        <v>-2.0115371969991358E-2</v>
      </c>
      <c r="W39" s="102">
        <f ca="1">H39/AM40-1</f>
        <v>-7.8971765697429475E-2</v>
      </c>
      <c r="X39" s="102">
        <f ca="1">H39/AO40-1</f>
        <v>0.1089537597672765</v>
      </c>
      <c r="Y39" s="215">
        <f ca="1">H39/AQ40-1</f>
        <v>0.10880373389251519</v>
      </c>
      <c r="Z39" s="60" t="s">
        <v>122</v>
      </c>
      <c r="AA39" s="61" t="s">
        <v>70</v>
      </c>
      <c r="AB39" s="61" t="s">
        <v>69</v>
      </c>
      <c r="AC39" s="62" t="s">
        <v>109</v>
      </c>
      <c r="AD39" s="397"/>
      <c r="AE39" s="2"/>
      <c r="AF39" s="2"/>
      <c r="AG39" s="2"/>
      <c r="AH39" s="381" t="str">
        <f ca="1">IFERROR(__xludf.DUMMYFUNCTION("GoogleFinance(B39,""price"",DATE(2024,5,3))"),"Date")</f>
        <v>Date</v>
      </c>
      <c r="AI39" s="382" t="str">
        <f ca="1">IFERROR(__xludf.DUMMYFUNCTION("""COMPUTED_VALUE"""),"Close")</f>
        <v>Close</v>
      </c>
      <c r="AJ39" s="381" t="str">
        <f ca="1">IFERROR(__xludf.DUMMYFUNCTION("GoogleFinance(B39,""price"",DATE(2024,4,30))"),"Date")</f>
        <v>Date</v>
      </c>
      <c r="AK39" s="30" t="str">
        <f ca="1">IFERROR(__xludf.DUMMYFUNCTION("""COMPUTED_VALUE"""),"Close")</f>
        <v>Close</v>
      </c>
      <c r="AL39" s="24" t="str">
        <f ca="1">IFERROR(__xludf.DUMMYFUNCTION("GoogleFinance(B39,""price"",today()-91)"),"Date")</f>
        <v>Date</v>
      </c>
      <c r="AM39" s="30" t="str">
        <f ca="1">IFERROR(__xludf.DUMMYFUNCTION("""COMPUTED_VALUE"""),"Close")</f>
        <v>Close</v>
      </c>
      <c r="AN39" s="24" t="str">
        <f ca="1">IFERROR(__xludf.DUMMYFUNCTION("GoogleFinance(B39,""price"",today()-182)"),"Date")</f>
        <v>Date</v>
      </c>
      <c r="AO39" s="30" t="str">
        <f ca="1">IFERROR(__xludf.DUMMYFUNCTION("""COMPUTED_VALUE"""),"Close")</f>
        <v>Close</v>
      </c>
      <c r="AP39" s="24" t="str">
        <f ca="1">IFERROR(__xludf.DUMMYFUNCTION("GoogleFinance(B39,""price"",DATE(2023,12,29))"),"Date")</f>
        <v>Date</v>
      </c>
      <c r="AQ39" s="30" t="str">
        <f ca="1">IFERROR(__xludf.DUMMYFUNCTION("""COMPUTED_VALUE"""),"Close")</f>
        <v>Close</v>
      </c>
      <c r="AR39" s="5"/>
      <c r="AS39" s="5"/>
      <c r="AT39" s="5"/>
      <c r="AU39" s="5"/>
      <c r="AX39" s="5"/>
      <c r="BD39" s="5"/>
      <c r="BE39" s="5"/>
      <c r="BF39" s="5"/>
      <c r="BG39" s="5"/>
      <c r="BH39" s="5"/>
      <c r="BI39" s="5"/>
      <c r="BJ39" s="5"/>
      <c r="BK39" s="5"/>
      <c r="BL39" s="5"/>
      <c r="BM39" s="5"/>
    </row>
    <row r="40" spans="1:81" ht="13.2" hidden="1">
      <c r="A40" s="47" t="e">
        <f t="shared" si="3"/>
        <v>#REF!</v>
      </c>
      <c r="B40" s="283"/>
      <c r="C40" s="448"/>
      <c r="D40" s="410"/>
      <c r="E40" s="419"/>
      <c r="F40" s="419"/>
      <c r="G40" s="449"/>
      <c r="H40" s="450"/>
      <c r="I40" s="412"/>
      <c r="J40" s="413"/>
      <c r="K40" s="451"/>
      <c r="L40" s="414"/>
      <c r="M40" s="414"/>
      <c r="N40" s="178"/>
      <c r="O40" s="417"/>
      <c r="P40" s="419"/>
      <c r="Q40" s="178"/>
      <c r="R40" s="419"/>
      <c r="S40" s="182"/>
      <c r="T40" s="178"/>
      <c r="U40" s="178"/>
      <c r="V40" s="178"/>
      <c r="W40" s="178"/>
      <c r="X40" s="178"/>
      <c r="Y40" s="182"/>
      <c r="Z40" s="175"/>
      <c r="AA40" s="452"/>
      <c r="AB40" s="452"/>
      <c r="AC40" s="175"/>
      <c r="AD40" s="453"/>
      <c r="AE40" s="178"/>
      <c r="AF40" s="178"/>
      <c r="AG40" s="178"/>
      <c r="AH40" s="151">
        <f ca="1">IFERROR(__xludf.DUMMYFUNCTION("""COMPUTED_VALUE"""),45415.6666666666)</f>
        <v>45415.666666666599</v>
      </c>
      <c r="AI40" s="152">
        <f ca="1">IFERROR(__xludf.DUMMYFUNCTION("""COMPUTED_VALUE"""),336.75)</f>
        <v>336.75</v>
      </c>
      <c r="AJ40" s="151">
        <f ca="1">IFERROR(__xludf.DUMMYFUNCTION("""COMPUTED_VALUE"""),45412.6666666666)</f>
        <v>45412.666666666599</v>
      </c>
      <c r="AK40" s="152">
        <f ca="1">IFERROR(__xludf.DUMMYFUNCTION("""COMPUTED_VALUE"""),334.57)</f>
        <v>334.57</v>
      </c>
      <c r="AL40" s="151">
        <f ca="1">IFERROR(__xludf.DUMMYFUNCTION("""COMPUTED_VALUE"""),45376.6666666666)</f>
        <v>45376.666666666599</v>
      </c>
      <c r="AM40" s="152">
        <f ca="1">IFERROR(__xludf.DUMMYFUNCTION("""COMPUTED_VALUE"""),355.95)</f>
        <v>355.95</v>
      </c>
      <c r="AN40" s="151">
        <f ca="1">IFERROR(__xludf.DUMMYFUNCTION("""COMPUTED_VALUE"""),45286.6666666666)</f>
        <v>45286.666666666599</v>
      </c>
      <c r="AO40" s="152">
        <f ca="1">IFERROR(__xludf.DUMMYFUNCTION("""COMPUTED_VALUE"""),295.63)</f>
        <v>295.63</v>
      </c>
      <c r="AP40" s="151">
        <f ca="1">IFERROR(__xludf.DUMMYFUNCTION("""COMPUTED_VALUE"""),45289.6666666666)</f>
        <v>45289.666666666599</v>
      </c>
      <c r="AQ40" s="152">
        <f ca="1">IFERROR(__xludf.DUMMYFUNCTION("""COMPUTED_VALUE"""),295.67)</f>
        <v>295.67</v>
      </c>
      <c r="AR40" s="175"/>
      <c r="AS40" s="175"/>
      <c r="AT40" s="175" t="s">
        <v>76</v>
      </c>
      <c r="AU40" s="454">
        <v>4.65E-2</v>
      </c>
      <c r="AV40" s="455">
        <v>-1.0200000000000001E-2</v>
      </c>
      <c r="AW40" s="183"/>
      <c r="AX40" s="175"/>
      <c r="AY40" s="183"/>
      <c r="AZ40" s="183"/>
      <c r="BA40" s="183"/>
      <c r="BB40" s="183"/>
      <c r="BC40" s="183"/>
      <c r="BD40" s="175"/>
      <c r="BE40" s="175"/>
      <c r="BF40" s="175"/>
      <c r="BG40" s="175"/>
      <c r="BH40" s="175"/>
      <c r="BI40" s="175"/>
      <c r="BJ40" s="175"/>
      <c r="BK40" s="175"/>
      <c r="BL40" s="175"/>
      <c r="BM40" s="175"/>
      <c r="BN40" s="183"/>
      <c r="BO40" s="183"/>
      <c r="BP40" s="183"/>
      <c r="BQ40" s="183"/>
      <c r="BR40" s="183"/>
      <c r="BS40" s="183"/>
      <c r="BT40" s="183"/>
      <c r="BU40" s="183"/>
      <c r="BV40" s="183"/>
      <c r="BW40" s="183"/>
      <c r="BX40" s="183"/>
      <c r="BY40" s="183"/>
      <c r="BZ40" s="183"/>
      <c r="CA40" s="183"/>
      <c r="CB40" s="183"/>
      <c r="CC40" s="183"/>
    </row>
    <row r="41" spans="1:81" ht="17.25" customHeight="1">
      <c r="A41" s="47">
        <f t="shared" si="3"/>
        <v>4</v>
      </c>
      <c r="B41" s="1" t="s">
        <v>242</v>
      </c>
      <c r="C41" s="48" t="str">
        <f ca="1">IFERROR(__xludf.DUMMYFUNCTION("GoogleFinance(B41,""name"")"),"Palantir Technologies Inc")</f>
        <v>Palantir Technologies Inc</v>
      </c>
      <c r="D41" s="49">
        <f ca="1">IFERROR(__xludf.DUMMYFUNCTION("GoogleFinance(B41,""marketcap"")/1000000"),53089.200979)</f>
        <v>53089.200979000001</v>
      </c>
      <c r="E41" s="50" t="s">
        <v>7</v>
      </c>
      <c r="F41" s="50" t="s">
        <v>243</v>
      </c>
      <c r="G41" s="99">
        <v>45442</v>
      </c>
      <c r="H41" s="363">
        <f ca="1">IFERROR(__xludf.DUMMYFUNCTION("GOOGLEFINANCE(B41)"),23.84)</f>
        <v>23.84</v>
      </c>
      <c r="I41" s="53">
        <v>21.76</v>
      </c>
      <c r="J41" s="54">
        <f>2000/I41</f>
        <v>91.911764705882348</v>
      </c>
      <c r="K41" s="55">
        <v>2000</v>
      </c>
      <c r="L41" s="55">
        <f ca="1">H41*J41</f>
        <v>2191.1764705882351</v>
      </c>
      <c r="M41" s="56">
        <f ca="1">K41-L41</f>
        <v>-191.17647058823513</v>
      </c>
      <c r="N41" s="168">
        <f ca="1">I41/H41-1</f>
        <v>-8.7248322147650881E-2</v>
      </c>
      <c r="O41" s="394">
        <f ca="1">TODAY()-G41</f>
        <v>25</v>
      </c>
      <c r="P41" s="59">
        <v>24.6</v>
      </c>
      <c r="Q41" s="57">
        <f ca="1">H41/P41-1</f>
        <v>-3.0894308943089532E-2</v>
      </c>
      <c r="R41" s="50">
        <v>16</v>
      </c>
      <c r="S41" s="109">
        <f ca="1">H41/R41-1</f>
        <v>0.49</v>
      </c>
      <c r="T41" s="9">
        <f ca="1">IFERROR(__xludf.DUMMYFUNCTION("GoogleFinance(B41,""changepct"")/100"),0)</f>
        <v>0</v>
      </c>
      <c r="U41" s="395">
        <f ca="1">H41/AI42-1</f>
        <v>2.1860265752250418E-2</v>
      </c>
      <c r="V41" s="215">
        <f ca="1">H41/AK42-1</f>
        <v>8.5116067364588099E-2</v>
      </c>
      <c r="W41" s="102">
        <f ca="1">H41/AM42-1</f>
        <v>-2.7335781313749585E-2</v>
      </c>
      <c r="X41" s="102">
        <f ca="1">H41/AO42-1</f>
        <v>0.34841628959276028</v>
      </c>
      <c r="Y41" s="215">
        <f ca="1">H41/AQ42-1</f>
        <v>0.38846825859056477</v>
      </c>
      <c r="Z41" s="60" t="s">
        <v>122</v>
      </c>
      <c r="AA41" s="61" t="s">
        <v>70</v>
      </c>
      <c r="AB41" s="61" t="s">
        <v>69</v>
      </c>
      <c r="AC41" s="62" t="s">
        <v>109</v>
      </c>
      <c r="AD41" s="397"/>
      <c r="AE41" s="2"/>
      <c r="AF41" s="2"/>
      <c r="AG41" s="2"/>
      <c r="AH41" s="381" t="str">
        <f ca="1">IFERROR(__xludf.DUMMYFUNCTION("GoogleFinance(B41,""price"",DATE(2024,5,3))"),"Date")</f>
        <v>Date</v>
      </c>
      <c r="AI41" s="382" t="str">
        <f ca="1">IFERROR(__xludf.DUMMYFUNCTION("""COMPUTED_VALUE"""),"Close")</f>
        <v>Close</v>
      </c>
      <c r="AJ41" s="381" t="str">
        <f ca="1">IFERROR(__xludf.DUMMYFUNCTION("GoogleFinance(B41,""price"",DATE(2024,4,30))"),"Date")</f>
        <v>Date</v>
      </c>
      <c r="AK41" s="30" t="str">
        <f ca="1">IFERROR(__xludf.DUMMYFUNCTION("""COMPUTED_VALUE"""),"Close")</f>
        <v>Close</v>
      </c>
      <c r="AL41" s="24" t="str">
        <f ca="1">IFERROR(__xludf.DUMMYFUNCTION("GoogleFinance(B41,""price"",today()-91)"),"Date")</f>
        <v>Date</v>
      </c>
      <c r="AM41" s="30" t="str">
        <f ca="1">IFERROR(__xludf.DUMMYFUNCTION("""COMPUTED_VALUE"""),"Close")</f>
        <v>Close</v>
      </c>
      <c r="AN41" s="24" t="str">
        <f ca="1">IFERROR(__xludf.DUMMYFUNCTION("GoogleFinance(B41,""price"",today()-182)"),"Date")</f>
        <v>Date</v>
      </c>
      <c r="AO41" s="30" t="str">
        <f ca="1">IFERROR(__xludf.DUMMYFUNCTION("""COMPUTED_VALUE"""),"Close")</f>
        <v>Close</v>
      </c>
      <c r="AP41" s="24" t="str">
        <f ca="1">IFERROR(__xludf.DUMMYFUNCTION("GoogleFinance(B41,""price"",DATE(2023,12,29))"),"Date")</f>
        <v>Date</v>
      </c>
      <c r="AQ41" s="30" t="str">
        <f ca="1">IFERROR(__xludf.DUMMYFUNCTION("""COMPUTED_VALUE"""),"Close")</f>
        <v>Close</v>
      </c>
      <c r="AR41" s="5"/>
      <c r="AS41" s="5"/>
      <c r="AT41" s="5"/>
      <c r="AU41" s="5"/>
      <c r="AX41" s="5"/>
      <c r="BD41" s="5"/>
      <c r="BE41" s="5"/>
      <c r="BF41" s="5"/>
      <c r="BG41" s="5"/>
      <c r="BH41" s="5"/>
      <c r="BI41" s="5"/>
      <c r="BJ41" s="5"/>
      <c r="BK41" s="5"/>
      <c r="BL41" s="5"/>
      <c r="BM41" s="5"/>
    </row>
    <row r="42" spans="1:81" ht="13.2" hidden="1">
      <c r="A42" s="47" t="e">
        <f t="shared" si="3"/>
        <v>#REF!</v>
      </c>
      <c r="B42" s="283"/>
      <c r="C42" s="448"/>
      <c r="D42" s="410"/>
      <c r="E42" s="419"/>
      <c r="F42" s="419"/>
      <c r="G42" s="449"/>
      <c r="H42" s="450"/>
      <c r="I42" s="412"/>
      <c r="J42" s="413"/>
      <c r="K42" s="451"/>
      <c r="L42" s="414"/>
      <c r="M42" s="414"/>
      <c r="N42" s="178"/>
      <c r="O42" s="417"/>
      <c r="P42" s="419"/>
      <c r="Q42" s="178"/>
      <c r="R42" s="419"/>
      <c r="S42" s="182"/>
      <c r="T42" s="178"/>
      <c r="U42" s="178"/>
      <c r="V42" s="178"/>
      <c r="W42" s="178"/>
      <c r="X42" s="178"/>
      <c r="Y42" s="182"/>
      <c r="Z42" s="175"/>
      <c r="AA42" s="452"/>
      <c r="AB42" s="452"/>
      <c r="AC42" s="175"/>
      <c r="AD42" s="453"/>
      <c r="AE42" s="178"/>
      <c r="AF42" s="178"/>
      <c r="AG42" s="178"/>
      <c r="AH42" s="151">
        <f ca="1">IFERROR(__xludf.DUMMYFUNCTION("""COMPUTED_VALUE"""),45415.6666666666)</f>
        <v>45415.666666666599</v>
      </c>
      <c r="AI42" s="152">
        <f ca="1">IFERROR(__xludf.DUMMYFUNCTION("""COMPUTED_VALUE"""),23.33)</f>
        <v>23.33</v>
      </c>
      <c r="AJ42" s="151">
        <f ca="1">IFERROR(__xludf.DUMMYFUNCTION("""COMPUTED_VALUE"""),45412.6666666666)</f>
        <v>45412.666666666599</v>
      </c>
      <c r="AK42" s="152">
        <f ca="1">IFERROR(__xludf.DUMMYFUNCTION("""COMPUTED_VALUE"""),21.97)</f>
        <v>21.97</v>
      </c>
      <c r="AL42" s="151">
        <f ca="1">IFERROR(__xludf.DUMMYFUNCTION("""COMPUTED_VALUE"""),45376.6666666666)</f>
        <v>45376.666666666599</v>
      </c>
      <c r="AM42" s="152">
        <f ca="1">IFERROR(__xludf.DUMMYFUNCTION("""COMPUTED_VALUE"""),24.51)</f>
        <v>24.51</v>
      </c>
      <c r="AN42" s="151">
        <f ca="1">IFERROR(__xludf.DUMMYFUNCTION("""COMPUTED_VALUE"""),45286.6666666666)</f>
        <v>45286.666666666599</v>
      </c>
      <c r="AO42" s="152">
        <f ca="1">IFERROR(__xludf.DUMMYFUNCTION("""COMPUTED_VALUE"""),17.68)</f>
        <v>17.68</v>
      </c>
      <c r="AP42" s="151">
        <f ca="1">IFERROR(__xludf.DUMMYFUNCTION("""COMPUTED_VALUE"""),45289.6666666666)</f>
        <v>45289.666666666599</v>
      </c>
      <c r="AQ42" s="152">
        <f ca="1">IFERROR(__xludf.DUMMYFUNCTION("""COMPUTED_VALUE"""),17.17)</f>
        <v>17.170000000000002</v>
      </c>
      <c r="AR42" s="175"/>
      <c r="AS42" s="175"/>
      <c r="AT42" s="175" t="s">
        <v>76</v>
      </c>
      <c r="AU42" s="454">
        <v>4.65E-2</v>
      </c>
      <c r="AV42" s="455">
        <v>-1.0200000000000001E-2</v>
      </c>
      <c r="AW42" s="183"/>
      <c r="AX42" s="175"/>
      <c r="AY42" s="183"/>
      <c r="AZ42" s="183"/>
      <c r="BA42" s="183"/>
      <c r="BB42" s="183"/>
      <c r="BC42" s="183"/>
      <c r="BD42" s="175"/>
      <c r="BE42" s="175"/>
      <c r="BF42" s="175"/>
      <c r="BG42" s="175"/>
      <c r="BH42" s="175"/>
      <c r="BI42" s="175"/>
      <c r="BJ42" s="175"/>
      <c r="BK42" s="175"/>
      <c r="BL42" s="175"/>
      <c r="BM42" s="175"/>
      <c r="BN42" s="183"/>
      <c r="BO42" s="183"/>
      <c r="BP42" s="183"/>
      <c r="BQ42" s="183"/>
      <c r="BR42" s="183"/>
      <c r="BS42" s="183"/>
      <c r="BT42" s="183"/>
      <c r="BU42" s="183"/>
      <c r="BV42" s="183"/>
      <c r="BW42" s="183"/>
      <c r="BX42" s="183"/>
      <c r="BY42" s="183"/>
      <c r="BZ42" s="183"/>
      <c r="CA42" s="183"/>
      <c r="CB42" s="183"/>
      <c r="CC42" s="183"/>
    </row>
    <row r="43" spans="1:81" ht="17.25" customHeight="1">
      <c r="A43" s="47">
        <f t="shared" si="3"/>
        <v>5</v>
      </c>
      <c r="B43" s="1" t="s">
        <v>244</v>
      </c>
      <c r="C43" s="48" t="str">
        <f ca="1">IFERROR(__xludf.DUMMYFUNCTION("GoogleFinance(B43,""name"")"),"RH")</f>
        <v>RH</v>
      </c>
      <c r="D43" s="49">
        <f ca="1">IFERROR(__xludf.DUMMYFUNCTION("GoogleFinance(B43,""marketcap"")/1000000"),3983.614185)</f>
        <v>3983.6141849999999</v>
      </c>
      <c r="E43" s="50" t="s">
        <v>9</v>
      </c>
      <c r="F43" s="50" t="s">
        <v>245</v>
      </c>
      <c r="G43" s="441">
        <v>45429</v>
      </c>
      <c r="H43" s="363">
        <f ca="1">IFERROR(__xludf.DUMMYFUNCTION("GOOGLEFINANCE(B43)"),215.97)</f>
        <v>215.97</v>
      </c>
      <c r="I43" s="53">
        <v>283.8</v>
      </c>
      <c r="J43" s="54">
        <f>4000/I43</f>
        <v>14.09443269908386</v>
      </c>
      <c r="K43" s="55">
        <v>4000</v>
      </c>
      <c r="L43" s="55">
        <f ca="1">H43*J43</f>
        <v>3043.9746300211414</v>
      </c>
      <c r="M43" s="56">
        <f ca="1">K43-L43</f>
        <v>956.02536997885863</v>
      </c>
      <c r="N43" s="168">
        <f ca="1">I43/H43-1</f>
        <v>0.31407139880538959</v>
      </c>
      <c r="O43" s="394">
        <f ca="1">TODAY()-G43</f>
        <v>38</v>
      </c>
      <c r="P43" s="59">
        <v>340</v>
      </c>
      <c r="Q43" s="57">
        <f ca="1">H43/P43-1</f>
        <v>-0.36479411764705882</v>
      </c>
      <c r="R43" s="50">
        <v>190</v>
      </c>
      <c r="S43" s="109">
        <f ca="1">H43/R43-1</f>
        <v>0.13668421052631574</v>
      </c>
      <c r="T43" s="9">
        <f ca="1">IFERROR(__xludf.DUMMYFUNCTION("GoogleFinance(B43,""changepct"")/100"),0)</f>
        <v>0</v>
      </c>
      <c r="U43" s="395">
        <f ca="1">H43/AI44-1</f>
        <v>-0.21479730958007637</v>
      </c>
      <c r="V43" s="215">
        <f ca="1">H43/AK44-1</f>
        <v>-0.12580449301760777</v>
      </c>
      <c r="W43" s="102">
        <f ca="1">H43/AM44-1</f>
        <v>-0.24822472848788635</v>
      </c>
      <c r="X43" s="102">
        <f ca="1">H43/AO44-1</f>
        <v>-0.28482018676733567</v>
      </c>
      <c r="Y43" s="215">
        <f ca="1">H43/AQ44-1</f>
        <v>-0.25905722519555374</v>
      </c>
      <c r="Z43" s="60" t="s">
        <v>122</v>
      </c>
      <c r="AA43" s="61" t="s">
        <v>70</v>
      </c>
      <c r="AB43" s="61" t="s">
        <v>69</v>
      </c>
      <c r="AC43" s="62" t="s">
        <v>109</v>
      </c>
      <c r="AD43" s="397"/>
      <c r="AE43" s="2"/>
      <c r="AF43" s="2"/>
      <c r="AG43" s="2"/>
      <c r="AH43" s="381" t="str">
        <f ca="1">IFERROR(__xludf.DUMMYFUNCTION("GoogleFinance(B43,""price"",DATE(2024,5,3))"),"Date")</f>
        <v>Date</v>
      </c>
      <c r="AI43" s="382" t="str">
        <f ca="1">IFERROR(__xludf.DUMMYFUNCTION("""COMPUTED_VALUE"""),"Close")</f>
        <v>Close</v>
      </c>
      <c r="AJ43" s="381" t="str">
        <f ca="1">IFERROR(__xludf.DUMMYFUNCTION("GoogleFinance(B43,""price"",DATE(2024,4,30))"),"Date")</f>
        <v>Date</v>
      </c>
      <c r="AK43" s="30" t="str">
        <f ca="1">IFERROR(__xludf.DUMMYFUNCTION("""COMPUTED_VALUE"""),"Close")</f>
        <v>Close</v>
      </c>
      <c r="AL43" s="24" t="str">
        <f ca="1">IFERROR(__xludf.DUMMYFUNCTION("GoogleFinance(B43,""price"",today()-91)"),"Date")</f>
        <v>Date</v>
      </c>
      <c r="AM43" s="30" t="str">
        <f ca="1">IFERROR(__xludf.DUMMYFUNCTION("""COMPUTED_VALUE"""),"Close")</f>
        <v>Close</v>
      </c>
      <c r="AN43" s="24" t="str">
        <f ca="1">IFERROR(__xludf.DUMMYFUNCTION("GoogleFinance(B43,""price"",today()-182)"),"Date")</f>
        <v>Date</v>
      </c>
      <c r="AO43" s="30" t="str">
        <f ca="1">IFERROR(__xludf.DUMMYFUNCTION("""COMPUTED_VALUE"""),"Close")</f>
        <v>Close</v>
      </c>
      <c r="AP43" s="24" t="str">
        <f ca="1">IFERROR(__xludf.DUMMYFUNCTION("GoogleFinance(B43,""price"",DATE(2023,12,29))"),"Date")</f>
        <v>Date</v>
      </c>
      <c r="AQ43" s="30" t="str">
        <f ca="1">IFERROR(__xludf.DUMMYFUNCTION("""COMPUTED_VALUE"""),"Close")</f>
        <v>Close</v>
      </c>
      <c r="AR43" s="5"/>
      <c r="AS43" s="5"/>
      <c r="AT43" s="5"/>
      <c r="AU43" s="5"/>
      <c r="AX43" s="5"/>
      <c r="BD43" s="5"/>
      <c r="BE43" s="5"/>
      <c r="BF43" s="5"/>
      <c r="BG43" s="5"/>
      <c r="BH43" s="5"/>
      <c r="BI43" s="5"/>
      <c r="BJ43" s="5"/>
      <c r="BK43" s="5"/>
      <c r="BL43" s="5"/>
      <c r="BM43" s="5"/>
    </row>
    <row r="44" spans="1:81" ht="13.2" hidden="1">
      <c r="A44" s="161" t="e">
        <f>1+#REF!</f>
        <v>#REF!</v>
      </c>
      <c r="B44" s="23"/>
      <c r="C44" s="162"/>
      <c r="D44" s="163"/>
      <c r="E44" s="26"/>
      <c r="F44" s="26"/>
      <c r="G44" s="442"/>
      <c r="H44" s="161"/>
      <c r="I44" s="164"/>
      <c r="J44" s="165"/>
      <c r="K44" s="443"/>
      <c r="L44" s="166"/>
      <c r="M44" s="166"/>
      <c r="N44" s="89"/>
      <c r="O44" s="394"/>
      <c r="P44" s="26"/>
      <c r="Q44" s="89"/>
      <c r="R44" s="26"/>
      <c r="S44" s="97"/>
      <c r="T44" s="89"/>
      <c r="U44" s="89"/>
      <c r="V44" s="89"/>
      <c r="W44" s="89"/>
      <c r="X44" s="89"/>
      <c r="Y44" s="97"/>
      <c r="Z44" s="90"/>
      <c r="AA44" s="444"/>
      <c r="AB44" s="444"/>
      <c r="AC44" s="90"/>
      <c r="AD44" s="445"/>
      <c r="AE44" s="89"/>
      <c r="AF44" s="89"/>
      <c r="AG44" s="89"/>
      <c r="AH44" s="99">
        <f ca="1">IFERROR(__xludf.DUMMYFUNCTION("""COMPUTED_VALUE"""),45415.6666666666)</f>
        <v>45415.666666666599</v>
      </c>
      <c r="AI44" s="100">
        <f ca="1">IFERROR(__xludf.DUMMYFUNCTION("""COMPUTED_VALUE"""),275.05)</f>
        <v>275.05</v>
      </c>
      <c r="AJ44" s="99">
        <f ca="1">IFERROR(__xludf.DUMMYFUNCTION("""COMPUTED_VALUE"""),45412.6666666666)</f>
        <v>45412.666666666599</v>
      </c>
      <c r="AK44" s="100">
        <f ca="1">IFERROR(__xludf.DUMMYFUNCTION("""COMPUTED_VALUE"""),247.05)</f>
        <v>247.05</v>
      </c>
      <c r="AL44" s="99">
        <f ca="1">IFERROR(__xludf.DUMMYFUNCTION("""COMPUTED_VALUE"""),45376.6666666666)</f>
        <v>45376.666666666599</v>
      </c>
      <c r="AM44" s="100">
        <f ca="1">IFERROR(__xludf.DUMMYFUNCTION("""COMPUTED_VALUE"""),287.28)</f>
        <v>287.27999999999997</v>
      </c>
      <c r="AN44" s="99">
        <f ca="1">IFERROR(__xludf.DUMMYFUNCTION("""COMPUTED_VALUE"""),45286.6666666666)</f>
        <v>45286.666666666599</v>
      </c>
      <c r="AO44" s="100">
        <f ca="1">IFERROR(__xludf.DUMMYFUNCTION("""COMPUTED_VALUE"""),301.98)</f>
        <v>301.98</v>
      </c>
      <c r="AP44" s="99">
        <f ca="1">IFERROR(__xludf.DUMMYFUNCTION("""COMPUTED_VALUE"""),45289.6666666666)</f>
        <v>45289.666666666599</v>
      </c>
      <c r="AQ44" s="100">
        <f ca="1">IFERROR(__xludf.DUMMYFUNCTION("""COMPUTED_VALUE"""),291.48)</f>
        <v>291.48</v>
      </c>
      <c r="AR44" s="90"/>
      <c r="AS44" s="90"/>
      <c r="AT44" s="90" t="s">
        <v>76</v>
      </c>
      <c r="AU44" s="446">
        <v>4.65E-2</v>
      </c>
      <c r="AV44" s="447">
        <v>-1.0200000000000001E-2</v>
      </c>
      <c r="AW44" s="92"/>
      <c r="AX44" s="90"/>
      <c r="AY44" s="92"/>
      <c r="AZ44" s="92"/>
      <c r="BA44" s="92"/>
      <c r="BB44" s="92"/>
      <c r="BC44" s="92"/>
      <c r="BD44" s="90"/>
      <c r="BE44" s="90"/>
      <c r="BF44" s="90"/>
      <c r="BG44" s="90"/>
      <c r="BH44" s="90"/>
      <c r="BI44" s="90"/>
      <c r="BJ44" s="90"/>
      <c r="BK44" s="90"/>
      <c r="BL44" s="90"/>
      <c r="BM44" s="90"/>
      <c r="BN44" s="92"/>
      <c r="BO44" s="92"/>
      <c r="BP44" s="92"/>
      <c r="BQ44" s="92"/>
      <c r="BR44" s="92"/>
      <c r="BS44" s="92"/>
      <c r="BT44" s="92"/>
      <c r="BU44" s="92"/>
      <c r="BV44" s="92"/>
      <c r="BW44" s="92"/>
      <c r="BX44" s="92"/>
      <c r="BY44" s="92"/>
      <c r="BZ44" s="92"/>
      <c r="CA44" s="92"/>
      <c r="CB44" s="92"/>
      <c r="CC44" s="92"/>
    </row>
    <row r="45" spans="1:81" ht="17.25" customHeight="1">
      <c r="A45" s="47">
        <f>1+A43</f>
        <v>6</v>
      </c>
      <c r="B45" s="1" t="s">
        <v>246</v>
      </c>
      <c r="C45" s="48" t="str">
        <f ca="1">IFERROR(__xludf.DUMMYFUNCTION("GoogleFinance(B45,""name"")"),"Charles Schwab Corporation Common Stock")</f>
        <v>Charles Schwab Corporation Common Stock</v>
      </c>
      <c r="D45" s="49">
        <f ca="1">IFERROR(__xludf.DUMMYFUNCTION("GoogleFinance(B45,""marketcap"")/1000000"),134078.274465)</f>
        <v>134078.27446499999</v>
      </c>
      <c r="E45" s="50" t="s">
        <v>13</v>
      </c>
      <c r="F45" s="50" t="s">
        <v>18</v>
      </c>
      <c r="G45" s="441">
        <v>45455</v>
      </c>
      <c r="H45" s="363">
        <f ca="1">IFERROR(__xludf.DUMMYFUNCTION("GOOGLEFINANCE(B45)"),73.34)</f>
        <v>73.34</v>
      </c>
      <c r="I45" s="53">
        <v>73.44</v>
      </c>
      <c r="J45" s="54">
        <f>3000/I45</f>
        <v>40.849673202614383</v>
      </c>
      <c r="K45" s="55">
        <v>3000</v>
      </c>
      <c r="L45" s="55">
        <f ca="1">H45*J45</f>
        <v>2995.9150326797389</v>
      </c>
      <c r="M45" s="56">
        <f ca="1">K45-L45</f>
        <v>4.0849673202610575</v>
      </c>
      <c r="N45" s="168">
        <f ca="1">I45/H45-1</f>
        <v>1.3635124079627303E-3</v>
      </c>
      <c r="O45" s="394">
        <f ca="1">TODAY()-G45</f>
        <v>12</v>
      </c>
      <c r="P45" s="59">
        <v>340</v>
      </c>
      <c r="Q45" s="57">
        <f ca="1">H45/P45-1</f>
        <v>-0.78429411764705881</v>
      </c>
      <c r="R45" s="50">
        <v>190</v>
      </c>
      <c r="S45" s="109">
        <f ca="1">H45/R45-1</f>
        <v>-0.61399999999999999</v>
      </c>
      <c r="T45" s="9">
        <f ca="1">IFERROR(__xludf.DUMMYFUNCTION("GoogleFinance(B45,""changepct"")/100"),0)</f>
        <v>0</v>
      </c>
      <c r="U45" s="395">
        <f ca="1">H45/AI46-1</f>
        <v>-3.5507627564439814E-2</v>
      </c>
      <c r="V45" s="215">
        <f ca="1">H45/AK46-1</f>
        <v>-8.248816768086531E-3</v>
      </c>
      <c r="W45" s="102">
        <f ca="1">H45/AM46-1</f>
        <v>2.8178886863872155E-2</v>
      </c>
      <c r="X45" s="102">
        <f ca="1">H45/AO46-1</f>
        <v>6.3669325598259663E-2</v>
      </c>
      <c r="Y45" s="215">
        <f ca="1">H45/AQ46-1</f>
        <v>6.598837209302344E-2</v>
      </c>
      <c r="Z45" s="60" t="s">
        <v>122</v>
      </c>
      <c r="AA45" s="61" t="s">
        <v>70</v>
      </c>
      <c r="AB45" s="61" t="s">
        <v>69</v>
      </c>
      <c r="AC45" s="62" t="s">
        <v>109</v>
      </c>
      <c r="AD45" s="397"/>
      <c r="AE45" s="2"/>
      <c r="AF45" s="2"/>
      <c r="AG45" s="2"/>
      <c r="AH45" s="381" t="str">
        <f ca="1">IFERROR(__xludf.DUMMYFUNCTION("GoogleFinance(B45,""price"",DATE(2024,5,3))"),"Date")</f>
        <v>Date</v>
      </c>
      <c r="AI45" s="382" t="str">
        <f ca="1">IFERROR(__xludf.DUMMYFUNCTION("""COMPUTED_VALUE"""),"Close")</f>
        <v>Close</v>
      </c>
      <c r="AJ45" s="381" t="str">
        <f ca="1">IFERROR(__xludf.DUMMYFUNCTION("GoogleFinance(B45,""price"",DATE(2024,4,30))"),"Date")</f>
        <v>Date</v>
      </c>
      <c r="AK45" s="30" t="str">
        <f ca="1">IFERROR(__xludf.DUMMYFUNCTION("""COMPUTED_VALUE"""),"Close")</f>
        <v>Close</v>
      </c>
      <c r="AL45" s="24" t="str">
        <f ca="1">IFERROR(__xludf.DUMMYFUNCTION("GoogleFinance(B45,""price"",today()-91)"),"Date")</f>
        <v>Date</v>
      </c>
      <c r="AM45" s="30" t="str">
        <f ca="1">IFERROR(__xludf.DUMMYFUNCTION("""COMPUTED_VALUE"""),"Close")</f>
        <v>Close</v>
      </c>
      <c r="AN45" s="24" t="str">
        <f ca="1">IFERROR(__xludf.DUMMYFUNCTION("GoogleFinance(B45,""price"",today()-182)"),"Date")</f>
        <v>Date</v>
      </c>
      <c r="AO45" s="30" t="str">
        <f ca="1">IFERROR(__xludf.DUMMYFUNCTION("""COMPUTED_VALUE"""),"Close")</f>
        <v>Close</v>
      </c>
      <c r="AP45" s="24" t="str">
        <f ca="1">IFERROR(__xludf.DUMMYFUNCTION("GoogleFinance(B45,""price"",DATE(2023,12,29))"),"Date")</f>
        <v>Date</v>
      </c>
      <c r="AQ45" s="30" t="str">
        <f ca="1">IFERROR(__xludf.DUMMYFUNCTION("""COMPUTED_VALUE"""),"Close")</f>
        <v>Close</v>
      </c>
      <c r="AR45" s="5"/>
      <c r="AS45" s="5"/>
      <c r="AT45" s="5"/>
      <c r="AU45" s="5"/>
      <c r="AX45" s="5"/>
      <c r="BD45" s="5"/>
      <c r="BE45" s="5"/>
      <c r="BF45" s="5"/>
      <c r="BG45" s="5"/>
      <c r="BH45" s="5"/>
      <c r="BI45" s="5"/>
      <c r="BJ45" s="5"/>
      <c r="BK45" s="5"/>
      <c r="BL45" s="5"/>
      <c r="BM45" s="5"/>
    </row>
    <row r="46" spans="1:81" ht="13.2" hidden="1">
      <c r="A46" s="161" t="e">
        <f>1+#REF!</f>
        <v>#REF!</v>
      </c>
      <c r="B46" s="23"/>
      <c r="C46" s="162"/>
      <c r="D46" s="163"/>
      <c r="E46" s="26"/>
      <c r="F46" s="26"/>
      <c r="G46" s="442"/>
      <c r="H46" s="161"/>
      <c r="I46" s="164"/>
      <c r="J46" s="165"/>
      <c r="K46" s="443"/>
      <c r="L46" s="166"/>
      <c r="M46" s="166"/>
      <c r="N46" s="89"/>
      <c r="O46" s="394"/>
      <c r="P46" s="26"/>
      <c r="Q46" s="89"/>
      <c r="R46" s="26"/>
      <c r="S46" s="97"/>
      <c r="T46" s="89"/>
      <c r="U46" s="89"/>
      <c r="V46" s="89"/>
      <c r="W46" s="89"/>
      <c r="X46" s="89"/>
      <c r="Y46" s="97"/>
      <c r="Z46" s="90"/>
      <c r="AA46" s="444"/>
      <c r="AB46" s="444"/>
      <c r="AC46" s="90"/>
      <c r="AD46" s="445"/>
      <c r="AE46" s="89"/>
      <c r="AF46" s="89"/>
      <c r="AG46" s="89"/>
      <c r="AH46" s="99">
        <f ca="1">IFERROR(__xludf.DUMMYFUNCTION("""COMPUTED_VALUE"""),45415.6666666666)</f>
        <v>45415.666666666599</v>
      </c>
      <c r="AI46" s="100">
        <f ca="1">IFERROR(__xludf.DUMMYFUNCTION("""COMPUTED_VALUE"""),76.04)</f>
        <v>76.040000000000006</v>
      </c>
      <c r="AJ46" s="99">
        <f ca="1">IFERROR(__xludf.DUMMYFUNCTION("""COMPUTED_VALUE"""),45412.6666666666)</f>
        <v>45412.666666666599</v>
      </c>
      <c r="AK46" s="100">
        <f ca="1">IFERROR(__xludf.DUMMYFUNCTION("""COMPUTED_VALUE"""),73.95)</f>
        <v>73.95</v>
      </c>
      <c r="AL46" s="99">
        <f ca="1">IFERROR(__xludf.DUMMYFUNCTION("""COMPUTED_VALUE"""),45376.6666666666)</f>
        <v>45376.666666666599</v>
      </c>
      <c r="AM46" s="100">
        <f ca="1">IFERROR(__xludf.DUMMYFUNCTION("""COMPUTED_VALUE"""),71.33)</f>
        <v>71.33</v>
      </c>
      <c r="AN46" s="99">
        <f ca="1">IFERROR(__xludf.DUMMYFUNCTION("""COMPUTED_VALUE"""),45286.6666666666)</f>
        <v>45286.666666666599</v>
      </c>
      <c r="AO46" s="100">
        <f ca="1">IFERROR(__xludf.DUMMYFUNCTION("""COMPUTED_VALUE"""),68.95)</f>
        <v>68.95</v>
      </c>
      <c r="AP46" s="99">
        <f ca="1">IFERROR(__xludf.DUMMYFUNCTION("""COMPUTED_VALUE"""),45289.6666666666)</f>
        <v>45289.666666666599</v>
      </c>
      <c r="AQ46" s="100">
        <f ca="1">IFERROR(__xludf.DUMMYFUNCTION("""COMPUTED_VALUE"""),68.8)</f>
        <v>68.8</v>
      </c>
      <c r="AR46" s="90"/>
      <c r="AS46" s="90"/>
      <c r="AT46" s="90" t="s">
        <v>76</v>
      </c>
      <c r="AU46" s="446">
        <v>4.65E-2</v>
      </c>
      <c r="AV46" s="447">
        <v>-1.0200000000000001E-2</v>
      </c>
      <c r="AW46" s="92"/>
      <c r="AX46" s="90"/>
      <c r="AY46" s="92"/>
      <c r="AZ46" s="92"/>
      <c r="BA46" s="92"/>
      <c r="BB46" s="92"/>
      <c r="BC46" s="92"/>
      <c r="BD46" s="90"/>
      <c r="BE46" s="90"/>
      <c r="BF46" s="90"/>
      <c r="BG46" s="90"/>
      <c r="BH46" s="90"/>
      <c r="BI46" s="90"/>
      <c r="BJ46" s="90"/>
      <c r="BK46" s="90"/>
      <c r="BL46" s="90"/>
      <c r="BM46" s="90"/>
      <c r="BN46" s="92"/>
      <c r="BO46" s="92"/>
      <c r="BP46" s="92"/>
      <c r="BQ46" s="92"/>
      <c r="BR46" s="92"/>
      <c r="BS46" s="92"/>
      <c r="BT46" s="92"/>
      <c r="BU46" s="92"/>
      <c r="BV46" s="92"/>
      <c r="BW46" s="92"/>
      <c r="BX46" s="92"/>
      <c r="BY46" s="92"/>
      <c r="BZ46" s="92"/>
      <c r="CA46" s="92"/>
      <c r="CB46" s="92"/>
      <c r="CC46" s="92"/>
    </row>
    <row r="47" spans="1:81" ht="6.75" customHeight="1">
      <c r="A47" s="456"/>
      <c r="B47" s="456"/>
      <c r="C47" s="457"/>
      <c r="D47" s="458"/>
      <c r="E47" s="459"/>
      <c r="F47" s="460"/>
      <c r="G47" s="460"/>
      <c r="H47" s="461"/>
      <c r="I47" s="456"/>
      <c r="J47" s="456"/>
      <c r="K47" s="456"/>
      <c r="L47" s="456"/>
      <c r="M47" s="456"/>
      <c r="N47" s="456"/>
      <c r="O47" s="462"/>
      <c r="P47" s="461"/>
      <c r="Q47" s="456"/>
      <c r="R47" s="456"/>
      <c r="S47" s="463"/>
      <c r="T47" s="464"/>
      <c r="U47" s="465"/>
      <c r="V47" s="465"/>
      <c r="W47" s="465"/>
      <c r="X47" s="465"/>
      <c r="Y47" s="465"/>
      <c r="Z47" s="466"/>
      <c r="AA47" s="467"/>
      <c r="AB47" s="467"/>
      <c r="AC47" s="467"/>
      <c r="AD47" s="467"/>
      <c r="AE47" s="2"/>
      <c r="AF47" s="2"/>
      <c r="AG47" s="2"/>
      <c r="AH47" s="6"/>
      <c r="AI47" s="4"/>
      <c r="AJ47" s="51"/>
      <c r="AK47" s="4"/>
      <c r="AL47" s="51"/>
      <c r="AM47" s="4"/>
      <c r="AN47" s="51"/>
      <c r="AO47" s="4"/>
      <c r="AP47" s="6"/>
      <c r="AQ47" s="4"/>
      <c r="AR47" s="5"/>
      <c r="AS47" s="5"/>
      <c r="AT47" s="5"/>
      <c r="AU47" s="5"/>
      <c r="AV47" s="5"/>
      <c r="AW47" s="5"/>
      <c r="AX47" s="5"/>
      <c r="AY47" s="5"/>
      <c r="AZ47" s="5"/>
      <c r="BA47" s="5"/>
      <c r="BB47" s="5"/>
      <c r="BC47" s="5"/>
      <c r="BD47" s="5"/>
      <c r="BE47" s="5"/>
      <c r="BF47" s="5"/>
      <c r="BG47" s="5"/>
      <c r="BH47" s="5"/>
      <c r="BI47" s="5"/>
      <c r="BJ47" s="5"/>
      <c r="BK47" s="5"/>
      <c r="BL47" s="5"/>
      <c r="BM47" s="5"/>
    </row>
    <row r="48" spans="1:81" ht="15.75" customHeight="1">
      <c r="A48" s="293"/>
      <c r="B48" s="293"/>
      <c r="C48" s="293"/>
      <c r="D48" s="293"/>
      <c r="E48" s="293"/>
      <c r="F48" s="293"/>
      <c r="G48" s="294"/>
      <c r="H48" s="468" t="s">
        <v>31</v>
      </c>
      <c r="I48" s="469"/>
      <c r="J48" s="469"/>
      <c r="K48" s="470">
        <f ca="1">SUM(K4:K30)+SUM(L35:L46)</f>
        <v>52948.070529638469</v>
      </c>
      <c r="L48" s="470">
        <f ca="1">SUM(L4:L30)+SUM(K35:K45)</f>
        <v>56552.04446071454</v>
      </c>
      <c r="M48" s="471">
        <f ca="1">SUM(M4:M30)+SUM(M35:M45)</f>
        <v>3603.9739310760624</v>
      </c>
      <c r="N48" s="472">
        <f ca="1">L48/K48-1</f>
        <v>6.8066199486130241E-2</v>
      </c>
      <c r="O48" s="473">
        <f ca="1">AVERAGE(O4:O30,O35:O45)</f>
        <v>53.85</v>
      </c>
      <c r="P48" s="299"/>
      <c r="Q48" s="144"/>
      <c r="R48" s="144"/>
      <c r="S48" s="144"/>
      <c r="T48" s="144"/>
      <c r="U48" s="141"/>
      <c r="V48" s="141"/>
      <c r="W48" s="141"/>
      <c r="X48" s="141"/>
      <c r="Y48" s="141"/>
      <c r="Z48" s="3"/>
      <c r="AA48" s="3"/>
      <c r="AB48" s="3"/>
      <c r="AC48" s="3"/>
      <c r="AD48" s="3"/>
      <c r="AE48" s="2"/>
      <c r="AF48" s="2"/>
      <c r="AG48" s="2"/>
      <c r="AH48" s="3"/>
      <c r="AI48" s="29"/>
      <c r="AJ48" s="29"/>
      <c r="AK48" s="29"/>
      <c r="AL48" s="29"/>
      <c r="AM48" s="29"/>
      <c r="AN48" s="29"/>
      <c r="AO48" s="29"/>
      <c r="AP48" s="29"/>
      <c r="AQ48" s="29"/>
      <c r="AR48" s="29"/>
      <c r="AS48" s="29"/>
      <c r="AT48" s="5"/>
      <c r="AU48" s="5"/>
      <c r="AV48" s="5"/>
      <c r="AW48" s="5"/>
      <c r="AX48" s="5"/>
      <c r="AY48" s="5"/>
      <c r="AZ48" s="5"/>
      <c r="BA48" s="29"/>
      <c r="BB48" s="29"/>
      <c r="BC48" s="29"/>
      <c r="BD48" s="29"/>
      <c r="BE48" s="29"/>
      <c r="BF48" s="29"/>
      <c r="BG48" s="29"/>
      <c r="BH48" s="29"/>
      <c r="BI48" s="29"/>
      <c r="BJ48" s="29"/>
      <c r="BK48" s="29"/>
      <c r="BL48" s="29"/>
      <c r="BM48" s="29"/>
      <c r="BN48" s="29"/>
      <c r="BO48" s="29"/>
      <c r="BP48" s="29"/>
      <c r="BQ48" s="29"/>
      <c r="BR48" s="29"/>
      <c r="BS48" s="29"/>
      <c r="BT48" s="29"/>
      <c r="BU48" s="29"/>
      <c r="BV48" s="29"/>
      <c r="BW48" s="283"/>
      <c r="BX48" s="283"/>
      <c r="BY48" s="283"/>
      <c r="BZ48" s="283"/>
      <c r="CA48" s="283"/>
      <c r="CB48" s="283"/>
      <c r="CC48" s="283"/>
    </row>
    <row r="49" spans="1:81" ht="15.75" customHeight="1">
      <c r="A49" s="293"/>
      <c r="B49" s="293"/>
      <c r="C49" s="293"/>
      <c r="D49" s="293"/>
      <c r="E49" s="293"/>
      <c r="F49" s="293"/>
      <c r="G49" s="293"/>
      <c r="H49" s="284"/>
      <c r="I49" s="284"/>
      <c r="J49" s="284"/>
      <c r="K49" s="284"/>
      <c r="L49" s="284"/>
      <c r="M49" s="290"/>
      <c r="N49" s="290"/>
      <c r="O49" s="291"/>
      <c r="P49" s="144"/>
      <c r="Q49" s="144"/>
      <c r="R49" s="144"/>
      <c r="S49" s="144"/>
      <c r="T49" s="144"/>
      <c r="U49" s="141"/>
      <c r="V49" s="141"/>
      <c r="W49" s="141"/>
      <c r="X49" s="141"/>
      <c r="Y49" s="141"/>
      <c r="Z49" s="3"/>
      <c r="AA49" s="3"/>
      <c r="AB49" s="3"/>
      <c r="AC49" s="3"/>
      <c r="AD49" s="3"/>
      <c r="AE49" s="3"/>
      <c r="AF49" s="3"/>
      <c r="AG49" s="3"/>
      <c r="AH49" s="144" t="s">
        <v>169</v>
      </c>
      <c r="AI49" s="141"/>
      <c r="AJ49" s="144" t="s">
        <v>170</v>
      </c>
      <c r="AK49" s="141"/>
      <c r="AL49" s="144" t="s">
        <v>171</v>
      </c>
      <c r="AM49" s="145"/>
      <c r="AN49" s="144" t="s">
        <v>172</v>
      </c>
      <c r="AO49" s="145"/>
      <c r="AP49" s="144" t="s">
        <v>173</v>
      </c>
      <c r="AQ49" s="145"/>
      <c r="AR49" s="29" t="s">
        <v>55</v>
      </c>
      <c r="AS49" s="141"/>
      <c r="AT49" s="5"/>
      <c r="AU49" s="5"/>
      <c r="AV49" s="5"/>
      <c r="AW49" s="5"/>
      <c r="AX49" s="5"/>
      <c r="AY49" s="5"/>
      <c r="AZ49" s="5"/>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408"/>
      <c r="BX49" s="408"/>
      <c r="BY49" s="408"/>
      <c r="BZ49" s="408"/>
      <c r="CA49" s="408"/>
      <c r="CB49" s="408"/>
      <c r="CC49" s="408"/>
    </row>
    <row r="50" spans="1:81" ht="15.75" customHeight="1">
      <c r="A50" s="293"/>
      <c r="B50" s="293"/>
      <c r="C50" s="548" t="s">
        <v>247</v>
      </c>
      <c r="D50" s="549"/>
      <c r="E50" s="549"/>
      <c r="F50" s="549"/>
      <c r="G50" s="550"/>
      <c r="H50" s="293"/>
      <c r="I50" s="144"/>
      <c r="J50" s="144"/>
      <c r="K50" s="144"/>
      <c r="L50" s="57"/>
      <c r="M50" s="144"/>
      <c r="N50" s="144"/>
      <c r="O50" s="144"/>
      <c r="P50" s="144"/>
      <c r="Q50" s="144"/>
      <c r="R50" s="144"/>
      <c r="S50" s="144"/>
      <c r="T50" s="144"/>
      <c r="U50" s="141"/>
      <c r="V50" s="141"/>
      <c r="W50" s="141"/>
      <c r="X50" s="141"/>
      <c r="Y50" s="141"/>
      <c r="Z50" s="3"/>
      <c r="AA50" s="3"/>
      <c r="AB50" s="3"/>
      <c r="AC50" s="3"/>
      <c r="AD50" s="3"/>
      <c r="AE50" s="3"/>
      <c r="AF50" s="320" t="s">
        <v>5</v>
      </c>
      <c r="AG50" s="321" t="s">
        <v>4</v>
      </c>
      <c r="AH50" s="2" t="str">
        <f ca="1">IFERROR(__xludf.DUMMYFUNCTION("GoogleFinance(AF50,""price"",today()-7)"),"Date")</f>
        <v>Date</v>
      </c>
      <c r="AI50" s="30" t="str">
        <f ca="1">IFERROR(__xludf.DUMMYFUNCTION("""COMPUTED_VALUE"""),"Close")</f>
        <v>Close</v>
      </c>
      <c r="AJ50" s="51" t="str">
        <f ca="1">IFERROR(__xludf.DUMMYFUNCTION("GoogleFinance(AF50,""price"",today()-31)"),"Date")</f>
        <v>Date</v>
      </c>
      <c r="AK50" s="30" t="str">
        <f ca="1">IFERROR(__xludf.DUMMYFUNCTION("""COMPUTED_VALUE"""),"Close")</f>
        <v>Close</v>
      </c>
      <c r="AL50" s="51" t="str">
        <f ca="1">IFERROR(__xludf.DUMMYFUNCTION("GoogleFinance(AF50,""price"",today()-91)"),"Date")</f>
        <v>Date</v>
      </c>
      <c r="AM50" s="30" t="str">
        <f ca="1">IFERROR(__xludf.DUMMYFUNCTION("""COMPUTED_VALUE"""),"Close")</f>
        <v>Close</v>
      </c>
      <c r="AN50" s="51" t="str">
        <f ca="1">IFERROR(__xludf.DUMMYFUNCTION("GoogleFinance(AF50,""price"",today()-182)"),"Date")</f>
        <v>Date</v>
      </c>
      <c r="AO50" s="30" t="str">
        <f ca="1">IFERROR(__xludf.DUMMYFUNCTION("""COMPUTED_VALUE"""),"Close")</f>
        <v>Close</v>
      </c>
      <c r="AP50" s="51" t="str">
        <f ca="1">IFERROR(__xludf.DUMMYFUNCTION("GoogleFinance(AF50,""price"",today()-364)"),"Date")</f>
        <v>Date</v>
      </c>
      <c r="AQ50" s="30" t="str">
        <f ca="1">IFERROR(__xludf.DUMMYFUNCTION("""COMPUTED_VALUE"""),"Close")</f>
        <v>Close</v>
      </c>
      <c r="AR50" s="51" t="str">
        <f ca="1">IFERROR(__xludf.DUMMYFUNCTION("GoogleFinance(AF50,""price"",DATE(2023,12,29))"),"Date")</f>
        <v>Date</v>
      </c>
      <c r="AS50" s="30" t="str">
        <f ca="1">IFERROR(__xludf.DUMMYFUNCTION("""COMPUTED_VALUE"""),"Close")</f>
        <v>Close</v>
      </c>
      <c r="AT50" s="5"/>
      <c r="AU50" s="5"/>
      <c r="AV50" s="5"/>
      <c r="AW50" s="5"/>
      <c r="AX50" s="5"/>
      <c r="AY50" s="5"/>
      <c r="AZ50" s="5"/>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408"/>
      <c r="BX50" s="408"/>
      <c r="BY50" s="408"/>
      <c r="BZ50" s="408"/>
      <c r="CA50" s="408"/>
      <c r="CB50" s="408"/>
      <c r="CC50" s="408"/>
    </row>
    <row r="51" spans="1:81" ht="15.75" customHeight="1">
      <c r="A51" s="293"/>
      <c r="B51" s="293"/>
      <c r="C51" s="320"/>
      <c r="D51" s="8"/>
      <c r="E51" s="3"/>
      <c r="F51" s="3"/>
      <c r="G51" s="3"/>
      <c r="H51" s="3"/>
      <c r="I51" s="293"/>
      <c r="J51" s="293"/>
      <c r="K51" s="293"/>
      <c r="L51" s="293"/>
      <c r="M51" s="144"/>
      <c r="N51" s="144"/>
      <c r="O51" s="144"/>
      <c r="P51" s="144"/>
      <c r="Q51" s="144"/>
      <c r="R51" s="144"/>
      <c r="S51" s="144"/>
      <c r="T51" s="144"/>
      <c r="U51" s="141"/>
      <c r="V51" s="141"/>
      <c r="W51" s="141"/>
      <c r="X51" s="141"/>
      <c r="Y51" s="141"/>
      <c r="Z51" s="141"/>
      <c r="AA51" s="141"/>
      <c r="AB51" s="141"/>
      <c r="AC51" s="141"/>
      <c r="AD51" s="3"/>
      <c r="AE51" s="3"/>
      <c r="AF51" s="3"/>
      <c r="AG51" s="47">
        <f ca="1">IFERROR(__xludf.DUMMYFUNCTION("GOOGLEFINANCE(AF50)"),544.51)</f>
        <v>544.51</v>
      </c>
      <c r="AH51" s="51">
        <f ca="1">IFERROR(__xludf.DUMMYFUNCTION("""COMPUTED_VALUE"""),45460.6666666666)</f>
        <v>45460.666666666599</v>
      </c>
      <c r="AI51" s="30">
        <f ca="1">IFERROR(__xludf.DUMMYFUNCTION("""COMPUTED_VALUE"""),547.1)</f>
        <v>547.1</v>
      </c>
      <c r="AJ51" s="51">
        <f ca="1">IFERROR(__xludf.DUMMYFUNCTION("""COMPUTED_VALUE"""),45436.6666666666)</f>
        <v>45436.666666666599</v>
      </c>
      <c r="AK51" s="30">
        <f ca="1">IFERROR(__xludf.DUMMYFUNCTION("""COMPUTED_VALUE"""),529.44)</f>
        <v>529.44000000000005</v>
      </c>
      <c r="AL51" s="51">
        <f ca="1">IFERROR(__xludf.DUMMYFUNCTION("""COMPUTED_VALUE"""),45376.6666666666)</f>
        <v>45376.666666666599</v>
      </c>
      <c r="AM51" s="30">
        <f ca="1">IFERROR(__xludf.DUMMYFUNCTION("""COMPUTED_VALUE"""),519.77)</f>
        <v>519.77</v>
      </c>
      <c r="AN51" s="51">
        <f ca="1">IFERROR(__xludf.DUMMYFUNCTION("""COMPUTED_VALUE"""),45286.6666666666)</f>
        <v>45286.666666666599</v>
      </c>
      <c r="AO51" s="30">
        <f ca="1">IFERROR(__xludf.DUMMYFUNCTION("""COMPUTED_VALUE"""),475.65)</f>
        <v>475.65</v>
      </c>
      <c r="AP51" s="51">
        <f ca="1">IFERROR(__xludf.DUMMYFUNCTION("""COMPUTED_VALUE"""),45103.6666666666)</f>
        <v>45103.666666666599</v>
      </c>
      <c r="AQ51" s="30">
        <f ca="1">IFERROR(__xludf.DUMMYFUNCTION("""COMPUTED_VALUE"""),431.44)</f>
        <v>431.44</v>
      </c>
      <c r="AR51" s="51">
        <f ca="1">IFERROR(__xludf.DUMMYFUNCTION("""COMPUTED_VALUE"""),45289.6666666666)</f>
        <v>45289.666666666599</v>
      </c>
      <c r="AS51" s="30">
        <f ca="1">IFERROR(__xludf.DUMMYFUNCTION("""COMPUTED_VALUE"""),475.31)</f>
        <v>475.31</v>
      </c>
      <c r="AT51" s="5"/>
      <c r="AU51" s="5"/>
      <c r="AV51" s="5"/>
      <c r="AW51" s="5"/>
      <c r="AX51" s="5"/>
      <c r="AY51" s="5"/>
      <c r="AZ51" s="5"/>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408"/>
      <c r="BX51" s="408"/>
      <c r="BY51" s="408"/>
      <c r="BZ51" s="408"/>
      <c r="CA51" s="408"/>
      <c r="CB51" s="408"/>
      <c r="CC51" s="408"/>
    </row>
    <row r="52" spans="1:81" ht="15.75" customHeight="1">
      <c r="A52" s="293"/>
      <c r="B52" s="293"/>
      <c r="C52" s="474" t="s">
        <v>183</v>
      </c>
      <c r="D52" s="33">
        <f ca="1">N115</f>
        <v>5.8374889126655428E-2</v>
      </c>
      <c r="E52" s="3"/>
      <c r="F52" s="3"/>
      <c r="G52" s="3"/>
      <c r="H52" s="3"/>
      <c r="I52" s="284"/>
      <c r="J52" s="291"/>
      <c r="K52" s="291"/>
      <c r="L52" s="144"/>
      <c r="M52" s="144"/>
      <c r="N52" s="144"/>
      <c r="O52" s="144"/>
      <c r="P52" s="144"/>
      <c r="Q52" s="144"/>
      <c r="R52" s="144"/>
      <c r="S52" s="144"/>
      <c r="T52" s="144"/>
      <c r="U52" s="141"/>
      <c r="V52" s="141"/>
      <c r="W52" s="141"/>
      <c r="X52" s="141"/>
      <c r="Y52" s="141"/>
      <c r="Z52" s="141"/>
      <c r="AA52" s="141"/>
      <c r="AB52" s="141"/>
      <c r="AC52" s="141"/>
      <c r="AD52" s="3"/>
      <c r="AE52" s="3"/>
      <c r="AF52" s="3"/>
      <c r="AG52" s="3"/>
      <c r="AH52" s="3"/>
      <c r="AI52" s="475"/>
      <c r="AJ52" s="141"/>
      <c r="AK52" s="475"/>
      <c r="AL52" s="141"/>
      <c r="AM52" s="475"/>
      <c r="AN52" s="141"/>
      <c r="AO52" s="475"/>
      <c r="AP52" s="29"/>
      <c r="AQ52" s="475"/>
      <c r="AR52" s="29"/>
      <c r="AS52" s="475"/>
      <c r="AT52" s="5"/>
      <c r="AU52" s="5"/>
      <c r="AV52" s="5"/>
      <c r="AW52" s="5"/>
      <c r="AX52" s="5"/>
      <c r="AY52" s="5"/>
      <c r="AZ52" s="5"/>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408"/>
      <c r="BX52" s="408"/>
      <c r="BY52" s="408"/>
      <c r="BZ52" s="408"/>
      <c r="CA52" s="408"/>
      <c r="CB52" s="408"/>
      <c r="CC52" s="408"/>
    </row>
    <row r="53" spans="1:81" ht="15.75" customHeight="1">
      <c r="A53" s="293"/>
      <c r="B53" s="293"/>
      <c r="C53" s="474" t="s">
        <v>31</v>
      </c>
      <c r="D53" s="34">
        <f ca="1">N48</f>
        <v>6.8066199486130241E-2</v>
      </c>
      <c r="E53" s="3"/>
      <c r="F53" s="3"/>
      <c r="G53" s="5"/>
      <c r="H53" s="3"/>
      <c r="I53" s="284"/>
      <c r="J53" s="291"/>
      <c r="K53" s="291"/>
      <c r="L53" s="144"/>
      <c r="M53" s="144"/>
      <c r="N53" s="144"/>
      <c r="O53" s="144"/>
      <c r="P53" s="144"/>
      <c r="Q53" s="144"/>
      <c r="R53" s="144"/>
      <c r="S53" s="144"/>
      <c r="T53" s="144"/>
      <c r="U53" s="141"/>
      <c r="V53" s="141"/>
      <c r="W53" s="141"/>
      <c r="X53" s="141"/>
      <c r="Y53" s="141"/>
      <c r="Z53" s="141"/>
      <c r="AA53" s="141"/>
      <c r="AB53" s="141"/>
      <c r="AC53" s="141"/>
      <c r="AD53" s="3"/>
      <c r="AE53" s="3"/>
      <c r="AF53" s="3"/>
      <c r="AG53" s="3"/>
      <c r="AH53" s="3"/>
      <c r="AI53" s="475"/>
      <c r="AJ53" s="141"/>
      <c r="AK53" s="475"/>
      <c r="AL53" s="141"/>
      <c r="AM53" s="475"/>
      <c r="AN53" s="141"/>
      <c r="AO53" s="475"/>
      <c r="AP53" s="29"/>
      <c r="AQ53" s="475"/>
      <c r="AR53" s="29"/>
      <c r="AS53" s="475"/>
      <c r="AT53" s="5"/>
      <c r="AU53" s="5"/>
      <c r="AV53" s="5"/>
      <c r="AW53" s="5"/>
      <c r="AX53" s="5"/>
      <c r="AY53" s="5"/>
      <c r="AZ53" s="5"/>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408"/>
      <c r="BX53" s="408"/>
      <c r="BY53" s="408"/>
      <c r="BZ53" s="408"/>
      <c r="CA53" s="408"/>
      <c r="CB53" s="408"/>
      <c r="CC53" s="408"/>
    </row>
    <row r="54" spans="1:81" ht="15.75" customHeight="1">
      <c r="A54" s="293"/>
      <c r="B54" s="293"/>
      <c r="C54" s="476" t="s">
        <v>248</v>
      </c>
      <c r="D54" s="34">
        <f ca="1">(M48+M115)/100000</f>
        <v>9.4414628437416048E-2</v>
      </c>
      <c r="F54" s="3"/>
      <c r="G54" s="3"/>
      <c r="H54" s="3"/>
      <c r="I54" s="284"/>
      <c r="J54" s="291"/>
      <c r="K54" s="291"/>
      <c r="L54" s="144"/>
      <c r="M54" s="144"/>
      <c r="N54" s="144"/>
      <c r="O54" s="144"/>
      <c r="P54" s="144"/>
      <c r="Q54" s="144"/>
      <c r="R54" s="144"/>
      <c r="S54" s="144"/>
      <c r="T54" s="144"/>
      <c r="U54" s="141"/>
      <c r="V54" s="141"/>
      <c r="W54" s="141"/>
      <c r="X54" s="141"/>
      <c r="Y54" s="141"/>
      <c r="Z54" s="141"/>
      <c r="AA54" s="141"/>
      <c r="AB54" s="141"/>
      <c r="AC54" s="141"/>
      <c r="AD54" s="3"/>
      <c r="AE54" s="3"/>
      <c r="AF54" s="3"/>
      <c r="AG54" s="3"/>
      <c r="AH54" s="3"/>
      <c r="AI54" s="475"/>
      <c r="AJ54" s="141"/>
      <c r="AK54" s="475"/>
      <c r="AL54" s="141"/>
      <c r="AM54" s="475"/>
      <c r="AN54" s="141"/>
      <c r="AO54" s="475"/>
      <c r="AP54" s="29"/>
      <c r="AQ54" s="475"/>
      <c r="AR54" s="29"/>
      <c r="AS54" s="475"/>
      <c r="AT54" s="5"/>
      <c r="AU54" s="5"/>
      <c r="AV54" s="5"/>
      <c r="AW54" s="5"/>
      <c r="AX54" s="5"/>
      <c r="AY54" s="5"/>
      <c r="AZ54" s="5"/>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408"/>
      <c r="BX54" s="408"/>
      <c r="BY54" s="408"/>
      <c r="BZ54" s="408"/>
      <c r="CA54" s="408"/>
      <c r="CB54" s="408"/>
      <c r="CC54" s="408"/>
    </row>
    <row r="55" spans="1:81" ht="15.75" customHeight="1">
      <c r="A55" s="293"/>
      <c r="B55" s="293"/>
      <c r="C55" s="320" t="s">
        <v>65</v>
      </c>
      <c r="D55" s="33">
        <v>0.14599999999999999</v>
      </c>
      <c r="E55" s="3"/>
      <c r="F55" s="3"/>
      <c r="G55" s="3"/>
      <c r="H55" s="3"/>
      <c r="I55" s="284"/>
      <c r="J55" s="291"/>
      <c r="K55" s="291"/>
      <c r="L55" s="144"/>
      <c r="M55" s="144"/>
      <c r="N55" s="144"/>
      <c r="O55" s="144"/>
      <c r="P55" s="144"/>
      <c r="Q55" s="144"/>
      <c r="R55" s="144"/>
      <c r="S55" s="144"/>
      <c r="T55" s="144"/>
      <c r="U55" s="141"/>
      <c r="V55" s="141"/>
      <c r="W55" s="141"/>
      <c r="X55" s="141"/>
      <c r="Y55" s="141"/>
      <c r="Z55" s="141"/>
      <c r="AA55" s="141"/>
      <c r="AB55" s="141"/>
      <c r="AC55" s="141"/>
      <c r="AD55" s="3"/>
      <c r="AE55" s="3"/>
      <c r="AF55" s="307"/>
      <c r="AG55" s="307"/>
      <c r="AH55" s="307"/>
      <c r="AI55" s="475"/>
      <c r="AJ55" s="477"/>
      <c r="AK55" s="475"/>
      <c r="AL55" s="141"/>
      <c r="AM55" s="475"/>
      <c r="AN55" s="141"/>
      <c r="AO55" s="475"/>
      <c r="AP55" s="29"/>
      <c r="AQ55" s="475"/>
      <c r="AR55" s="29"/>
      <c r="AS55" s="475"/>
      <c r="AT55" s="5"/>
      <c r="AU55" s="5"/>
      <c r="AV55" s="5"/>
      <c r="AW55" s="5"/>
      <c r="AX55" s="5"/>
      <c r="AY55" s="5"/>
      <c r="AZ55" s="5"/>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408"/>
      <c r="BX55" s="408"/>
      <c r="BY55" s="408"/>
      <c r="BZ55" s="408"/>
      <c r="CA55" s="408"/>
      <c r="CB55" s="408"/>
      <c r="CC55" s="408"/>
    </row>
    <row r="56" spans="1:81" ht="15.75" customHeight="1">
      <c r="A56" s="293"/>
      <c r="B56" s="293"/>
      <c r="C56" s="8"/>
      <c r="D56" s="8"/>
      <c r="E56" s="8"/>
      <c r="F56" s="8"/>
      <c r="G56" s="8"/>
      <c r="H56" s="284"/>
      <c r="I56" s="284"/>
      <c r="J56" s="291"/>
      <c r="K56" s="291"/>
      <c r="L56" s="144"/>
      <c r="M56" s="144"/>
      <c r="N56" s="144"/>
      <c r="O56" s="144"/>
      <c r="P56" s="144"/>
      <c r="Q56" s="144"/>
      <c r="R56" s="144"/>
      <c r="S56" s="144"/>
      <c r="T56" s="144"/>
      <c r="U56" s="141"/>
      <c r="V56" s="141"/>
      <c r="W56" s="141"/>
      <c r="X56" s="141"/>
      <c r="Y56" s="141"/>
      <c r="Z56" s="141"/>
      <c r="AA56" s="141"/>
      <c r="AB56" s="141"/>
      <c r="AC56" s="141"/>
      <c r="AD56" s="3"/>
      <c r="AE56" s="17"/>
      <c r="AF56" s="17"/>
      <c r="AG56" s="548" t="s">
        <v>249</v>
      </c>
      <c r="AH56" s="549"/>
      <c r="AI56" s="549"/>
      <c r="AJ56" s="549"/>
      <c r="AK56" s="550"/>
      <c r="AL56" s="478"/>
      <c r="AM56" s="475"/>
      <c r="AN56" s="141"/>
      <c r="AO56" s="475"/>
      <c r="AP56" s="29"/>
      <c r="AQ56" s="475"/>
      <c r="AR56" s="29"/>
      <c r="AS56" s="475"/>
      <c r="AT56" s="5"/>
      <c r="AU56" s="5"/>
      <c r="AV56" s="5"/>
      <c r="AW56" s="5"/>
      <c r="AX56" s="5"/>
      <c r="AY56" s="5"/>
      <c r="AZ56" s="5"/>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408"/>
      <c r="BX56" s="408"/>
      <c r="BY56" s="408"/>
      <c r="BZ56" s="408"/>
      <c r="CA56" s="408"/>
      <c r="CB56" s="408"/>
      <c r="CC56" s="408"/>
    </row>
    <row r="57" spans="1:81" ht="15.75" customHeight="1">
      <c r="A57" s="293"/>
      <c r="B57" s="293"/>
      <c r="C57" s="479" t="s">
        <v>32</v>
      </c>
      <c r="D57" s="8"/>
      <c r="E57" s="480" t="s">
        <v>250</v>
      </c>
      <c r="F57" s="481" t="s">
        <v>251</v>
      </c>
      <c r="G57" s="320"/>
      <c r="H57" s="284"/>
      <c r="I57" s="284"/>
      <c r="J57" s="291"/>
      <c r="K57" s="291"/>
      <c r="L57" s="144"/>
      <c r="M57" s="144"/>
      <c r="N57" s="144"/>
      <c r="O57" s="144"/>
      <c r="P57" s="144"/>
      <c r="Q57" s="144"/>
      <c r="R57" s="144"/>
      <c r="S57" s="144"/>
      <c r="T57" s="144"/>
      <c r="U57" s="141"/>
      <c r="V57" s="141"/>
      <c r="W57" s="141"/>
      <c r="X57" s="141"/>
      <c r="Y57" s="141"/>
      <c r="Z57" s="141"/>
      <c r="AA57" s="141"/>
      <c r="AB57" s="141"/>
      <c r="AC57" s="141"/>
      <c r="AD57" s="3"/>
      <c r="AE57" s="3"/>
      <c r="AF57" s="482"/>
      <c r="AG57" s="483" t="s">
        <v>252</v>
      </c>
      <c r="AH57" s="484" t="s">
        <v>253</v>
      </c>
      <c r="AI57" s="484" t="s">
        <v>254</v>
      </c>
      <c r="AJ57" s="484" t="s">
        <v>255</v>
      </c>
      <c r="AK57" s="484" t="s">
        <v>256</v>
      </c>
      <c r="AL57" s="141"/>
      <c r="AM57" s="475"/>
      <c r="AN57" s="141"/>
      <c r="AO57" s="475"/>
      <c r="AP57" s="29"/>
      <c r="AQ57" s="475"/>
      <c r="AR57" s="29"/>
      <c r="AS57" s="475"/>
      <c r="AT57" s="5"/>
      <c r="AU57" s="5"/>
      <c r="AV57" s="5"/>
      <c r="AW57" s="5"/>
      <c r="AX57" s="5"/>
      <c r="AY57" s="5"/>
      <c r="AZ57" s="5"/>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408"/>
      <c r="BX57" s="408"/>
      <c r="BY57" s="408"/>
      <c r="BZ57" s="408"/>
      <c r="CA57" s="408"/>
      <c r="CB57" s="408"/>
      <c r="CC57" s="408"/>
    </row>
    <row r="58" spans="1:81" ht="15.75" customHeight="1">
      <c r="A58" s="293"/>
      <c r="B58" s="293"/>
      <c r="C58" s="485"/>
      <c r="D58" s="486" t="s">
        <v>257</v>
      </c>
      <c r="E58" s="487">
        <f ca="1">AVERAGE(N78:N80,N82,N84,N89,N90,N91,N94,N95,N96,N97,N106,N107,N108,N109,N110,N111,N112)</f>
        <v>-8.2775327598041362E-2</v>
      </c>
      <c r="F58" s="488">
        <f ca="1">AVERAGE(N6,N10,N16,N18,N41,N28)</f>
        <v>-3.8439682002019547E-2</v>
      </c>
      <c r="G58" s="8"/>
      <c r="H58" s="284"/>
      <c r="I58" s="284"/>
      <c r="J58" s="291"/>
      <c r="K58" s="291"/>
      <c r="L58" s="144"/>
      <c r="M58" s="144"/>
      <c r="N58" s="144"/>
      <c r="O58" s="144"/>
      <c r="P58" s="144"/>
      <c r="Q58" s="144"/>
      <c r="R58" s="144"/>
      <c r="S58" s="144"/>
      <c r="T58" s="144"/>
      <c r="U58" s="141"/>
      <c r="V58" s="141"/>
      <c r="W58" s="141"/>
      <c r="X58" s="141"/>
      <c r="Y58" s="141"/>
      <c r="Z58" s="141"/>
      <c r="AA58" s="141"/>
      <c r="AB58" s="141"/>
      <c r="AC58" s="141"/>
      <c r="AD58" s="3"/>
      <c r="AE58" s="3"/>
      <c r="AF58" s="489">
        <v>2023</v>
      </c>
      <c r="AG58" s="47">
        <v>103</v>
      </c>
      <c r="AH58" s="490">
        <v>0.47</v>
      </c>
      <c r="AI58" s="47" t="s">
        <v>258</v>
      </c>
      <c r="AJ58" s="47" t="s">
        <v>259</v>
      </c>
      <c r="AK58" s="47" t="s">
        <v>260</v>
      </c>
      <c r="AL58" s="141"/>
      <c r="AM58" s="475"/>
      <c r="AN58" s="141"/>
      <c r="AO58" s="475"/>
      <c r="AP58" s="29"/>
      <c r="AQ58" s="475"/>
      <c r="AR58" s="29"/>
      <c r="AS58" s="475"/>
      <c r="AT58" s="5"/>
      <c r="AU58" s="5"/>
      <c r="AV58" s="5"/>
      <c r="AW58" s="5"/>
      <c r="AX58" s="5"/>
      <c r="AY58" s="5"/>
      <c r="AZ58" s="5"/>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408"/>
      <c r="BX58" s="408"/>
      <c r="BY58" s="408"/>
      <c r="BZ58" s="408"/>
      <c r="CA58" s="408"/>
      <c r="CB58" s="408"/>
      <c r="CC58" s="408"/>
    </row>
    <row r="59" spans="1:81" ht="15.75" customHeight="1">
      <c r="A59" s="293"/>
      <c r="B59" s="293"/>
      <c r="C59" s="485"/>
      <c r="D59" s="491" t="s">
        <v>261</v>
      </c>
      <c r="E59" s="34">
        <f>AVERAGE(N76:N77,N81,N83,N85,N86,N87,N88,N92,N93,N98:N105,N113)</f>
        <v>0.18742218541641775</v>
      </c>
      <c r="F59" s="492">
        <f ca="1">AVERAGE(N4,N8,N12,N14,N20,N22,N24,N26,N43,N35:N39,N45)</f>
        <v>0.19122210632159359</v>
      </c>
      <c r="G59" s="8"/>
      <c r="H59" s="284"/>
      <c r="I59" s="284"/>
      <c r="J59" s="291"/>
      <c r="K59" s="291"/>
      <c r="L59" s="144"/>
      <c r="M59" s="144"/>
      <c r="N59" s="144"/>
      <c r="O59" s="144"/>
      <c r="P59" s="144"/>
      <c r="Q59" s="144"/>
      <c r="R59" s="144"/>
      <c r="S59" s="144"/>
      <c r="T59" s="144"/>
      <c r="U59" s="141"/>
      <c r="V59" s="141"/>
      <c r="W59" s="141"/>
      <c r="X59" s="141"/>
      <c r="Y59" s="141"/>
      <c r="Z59" s="141"/>
      <c r="AA59" s="141"/>
      <c r="AB59" s="141"/>
      <c r="AC59" s="141"/>
      <c r="AD59" s="3"/>
      <c r="AE59" s="3"/>
      <c r="AF59" s="489">
        <v>2022</v>
      </c>
      <c r="AG59" s="47">
        <v>101</v>
      </c>
      <c r="AH59" s="490">
        <v>0.51</v>
      </c>
      <c r="AI59" s="47" t="s">
        <v>262</v>
      </c>
      <c r="AJ59" s="47" t="s">
        <v>263</v>
      </c>
      <c r="AK59" s="47" t="s">
        <v>264</v>
      </c>
      <c r="AL59" s="141"/>
      <c r="AM59" s="475"/>
      <c r="AN59" s="141"/>
      <c r="AO59" s="475"/>
      <c r="AP59" s="29"/>
      <c r="AQ59" s="475"/>
      <c r="AR59" s="29"/>
      <c r="AS59" s="475"/>
      <c r="AT59" s="5"/>
      <c r="AU59" s="5"/>
      <c r="AV59" s="5"/>
      <c r="AW59" s="5"/>
      <c r="AX59" s="5"/>
      <c r="AY59" s="5"/>
      <c r="AZ59" s="5"/>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408"/>
      <c r="BX59" s="408"/>
      <c r="BY59" s="408"/>
      <c r="BZ59" s="408"/>
      <c r="CA59" s="408"/>
      <c r="CB59" s="408"/>
      <c r="CC59" s="408"/>
    </row>
    <row r="60" spans="1:81" ht="15.75" customHeight="1">
      <c r="A60" s="293"/>
      <c r="B60" s="293"/>
      <c r="C60" s="493" t="s">
        <v>265</v>
      </c>
      <c r="D60" s="494"/>
      <c r="E60" s="495" t="s">
        <v>266</v>
      </c>
      <c r="F60" s="495" t="s">
        <v>267</v>
      </c>
      <c r="G60" s="8"/>
      <c r="H60" s="284"/>
      <c r="I60" s="284"/>
      <c r="J60" s="291"/>
      <c r="K60" s="291"/>
      <c r="L60" s="144"/>
      <c r="M60" s="144"/>
      <c r="N60" s="144"/>
      <c r="O60" s="144"/>
      <c r="P60" s="144"/>
      <c r="Q60" s="144"/>
      <c r="R60" s="144"/>
      <c r="S60" s="144"/>
      <c r="T60" s="144"/>
      <c r="U60" s="141"/>
      <c r="V60" s="141"/>
      <c r="W60" s="141"/>
      <c r="X60" s="141"/>
      <c r="Y60" s="141"/>
      <c r="Z60" s="141"/>
      <c r="AA60" s="141"/>
      <c r="AB60" s="141"/>
      <c r="AC60" s="141"/>
      <c r="AD60" s="3"/>
      <c r="AE60" s="3"/>
      <c r="AF60" s="489">
        <v>2021</v>
      </c>
      <c r="AG60" s="47">
        <v>107</v>
      </c>
      <c r="AH60" s="490">
        <v>0.62</v>
      </c>
      <c r="AI60" s="47" t="s">
        <v>259</v>
      </c>
      <c r="AJ60" s="47" t="s">
        <v>268</v>
      </c>
      <c r="AK60" s="47" t="s">
        <v>269</v>
      </c>
      <c r="AL60" s="141"/>
      <c r="AM60" s="475"/>
      <c r="AN60" s="141"/>
      <c r="AO60" s="475"/>
      <c r="AP60" s="29"/>
      <c r="AQ60" s="475"/>
      <c r="AR60" s="29"/>
      <c r="AS60" s="475"/>
      <c r="AT60" s="5"/>
      <c r="AU60" s="5"/>
      <c r="AV60" s="5"/>
      <c r="AW60" s="5"/>
      <c r="AX60" s="5"/>
      <c r="AY60" s="5"/>
      <c r="AZ60" s="5"/>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408"/>
      <c r="BX60" s="408"/>
      <c r="BY60" s="408"/>
      <c r="BZ60" s="408"/>
      <c r="CA60" s="408"/>
      <c r="CB60" s="408"/>
      <c r="CC60" s="408"/>
    </row>
    <row r="61" spans="1:81" ht="15.75" customHeight="1">
      <c r="A61" s="293"/>
      <c r="B61" s="294"/>
      <c r="C61" s="496"/>
      <c r="D61" s="8"/>
      <c r="E61" s="8"/>
      <c r="F61" s="8"/>
      <c r="G61" s="8"/>
      <c r="H61" s="284"/>
      <c r="I61" s="284"/>
      <c r="J61" s="291"/>
      <c r="K61" s="291"/>
      <c r="L61" s="144"/>
      <c r="M61" s="144"/>
      <c r="N61" s="144"/>
      <c r="O61" s="144"/>
      <c r="P61" s="144"/>
      <c r="Q61" s="144"/>
      <c r="R61" s="144"/>
      <c r="S61" s="144"/>
      <c r="T61" s="144"/>
      <c r="U61" s="141"/>
      <c r="V61" s="141"/>
      <c r="W61" s="141"/>
      <c r="X61" s="141"/>
      <c r="Y61" s="141"/>
      <c r="Z61" s="141"/>
      <c r="AA61" s="141"/>
      <c r="AB61" s="141"/>
      <c r="AC61" s="141"/>
      <c r="AD61" s="3"/>
      <c r="AE61" s="3"/>
      <c r="AF61" s="497">
        <v>2020</v>
      </c>
      <c r="AG61" s="47">
        <v>127</v>
      </c>
      <c r="AH61" s="490">
        <v>0.56000000000000005</v>
      </c>
      <c r="AI61" s="47" t="s">
        <v>270</v>
      </c>
      <c r="AJ61" s="47" t="s">
        <v>271</v>
      </c>
      <c r="AK61" s="47" t="s">
        <v>272</v>
      </c>
      <c r="AL61" s="141"/>
      <c r="AM61" s="475"/>
      <c r="AN61" s="141"/>
      <c r="AO61" s="475"/>
      <c r="AP61" s="29"/>
      <c r="AQ61" s="475"/>
      <c r="AR61" s="29"/>
      <c r="AS61" s="475"/>
      <c r="AT61" s="5"/>
      <c r="AU61" s="5"/>
      <c r="AV61" s="5"/>
      <c r="AW61" s="5"/>
      <c r="AX61" s="5"/>
      <c r="AY61" s="5"/>
      <c r="AZ61" s="5"/>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408"/>
      <c r="BX61" s="408"/>
      <c r="BY61" s="408"/>
      <c r="BZ61" s="408"/>
      <c r="CA61" s="408"/>
      <c r="CB61" s="408"/>
      <c r="CC61" s="408"/>
    </row>
    <row r="62" spans="1:81" ht="15.75" customHeight="1">
      <c r="A62" s="293"/>
      <c r="B62" s="293"/>
      <c r="C62" s="498" t="s">
        <v>273</v>
      </c>
      <c r="D62" s="8"/>
      <c r="E62" s="481" t="s">
        <v>250</v>
      </c>
      <c r="F62" s="481" t="s">
        <v>251</v>
      </c>
      <c r="G62" s="8"/>
      <c r="H62" s="284"/>
      <c r="I62" s="284"/>
      <c r="J62" s="291"/>
      <c r="K62" s="291"/>
      <c r="L62" s="144"/>
      <c r="M62" s="144"/>
      <c r="N62" s="144"/>
      <c r="O62" s="144"/>
      <c r="P62" s="144"/>
      <c r="Q62" s="144"/>
      <c r="R62" s="144"/>
      <c r="S62" s="144"/>
      <c r="T62" s="144"/>
      <c r="U62" s="141"/>
      <c r="V62" s="141"/>
      <c r="W62" s="141"/>
      <c r="X62" s="141"/>
      <c r="Y62" s="141"/>
      <c r="Z62" s="141"/>
      <c r="AA62" s="141"/>
      <c r="AB62" s="141"/>
      <c r="AC62" s="141"/>
      <c r="AD62" s="3"/>
      <c r="AE62" s="3"/>
      <c r="AF62" s="497">
        <v>2019</v>
      </c>
      <c r="AG62" s="47">
        <v>120</v>
      </c>
      <c r="AH62" s="490">
        <v>0.68</v>
      </c>
      <c r="AI62" s="47" t="s">
        <v>274</v>
      </c>
      <c r="AJ62" s="47" t="s">
        <v>275</v>
      </c>
      <c r="AK62" s="47" t="s">
        <v>276</v>
      </c>
      <c r="AL62" s="141"/>
      <c r="AM62" s="475"/>
      <c r="AN62" s="141"/>
      <c r="AO62" s="475"/>
      <c r="AP62" s="29"/>
      <c r="AQ62" s="475"/>
      <c r="AR62" s="29"/>
      <c r="AS62" s="475"/>
      <c r="AT62" s="5"/>
      <c r="AU62" s="5"/>
      <c r="AV62" s="5"/>
      <c r="AW62" s="5"/>
      <c r="AX62" s="5"/>
      <c r="AY62" s="5"/>
      <c r="AZ62" s="5"/>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408"/>
      <c r="BX62" s="408"/>
      <c r="BY62" s="408"/>
      <c r="BZ62" s="408"/>
      <c r="CA62" s="408"/>
      <c r="CB62" s="408"/>
      <c r="CC62" s="408"/>
    </row>
    <row r="63" spans="1:81" ht="15.75" customHeight="1">
      <c r="A63" s="293"/>
      <c r="B63" s="293"/>
      <c r="C63" s="485"/>
      <c r="D63" s="486" t="s">
        <v>277</v>
      </c>
      <c r="E63" s="499">
        <v>19</v>
      </c>
      <c r="F63" s="500">
        <v>6</v>
      </c>
      <c r="G63" s="501">
        <f>E63+F63</f>
        <v>25</v>
      </c>
      <c r="H63" s="284"/>
      <c r="I63" s="284"/>
      <c r="J63" s="291"/>
      <c r="K63" s="291"/>
      <c r="L63" s="144"/>
      <c r="M63" s="144"/>
      <c r="N63" s="144"/>
      <c r="O63" s="144"/>
      <c r="P63" s="144"/>
      <c r="Q63" s="144"/>
      <c r="R63" s="144"/>
      <c r="S63" s="144"/>
      <c r="T63" s="144"/>
      <c r="U63" s="141"/>
      <c r="V63" s="141"/>
      <c r="W63" s="141"/>
      <c r="X63" s="141"/>
      <c r="Y63" s="141"/>
      <c r="Z63" s="141"/>
      <c r="AA63" s="141"/>
      <c r="AB63" s="141"/>
      <c r="AC63" s="141"/>
      <c r="AD63" s="3"/>
      <c r="AE63" s="3"/>
      <c r="AF63" s="497">
        <v>2018</v>
      </c>
      <c r="AG63" s="47">
        <v>135</v>
      </c>
      <c r="AH63" s="490">
        <v>0.63</v>
      </c>
      <c r="AI63" s="47" t="s">
        <v>278</v>
      </c>
      <c r="AJ63" s="8"/>
      <c r="AK63" s="8"/>
      <c r="AL63" s="141"/>
      <c r="AM63" s="475"/>
      <c r="AN63" s="141"/>
      <c r="AO63" s="475"/>
      <c r="AP63" s="29"/>
      <c r="AQ63" s="475"/>
      <c r="AR63" s="29"/>
      <c r="AS63" s="475"/>
      <c r="AT63" s="5"/>
      <c r="AU63" s="5"/>
      <c r="AV63" s="5"/>
      <c r="AW63" s="5"/>
      <c r="AX63" s="5"/>
      <c r="AY63" s="5"/>
      <c r="AZ63" s="5"/>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408"/>
      <c r="BX63" s="408"/>
      <c r="BY63" s="408"/>
      <c r="BZ63" s="408"/>
      <c r="CA63" s="408"/>
      <c r="CB63" s="408"/>
      <c r="CC63" s="408"/>
    </row>
    <row r="64" spans="1:81" ht="15.75" customHeight="1">
      <c r="A64" s="293"/>
      <c r="B64" s="293"/>
      <c r="C64" s="502"/>
      <c r="D64" s="491" t="s">
        <v>279</v>
      </c>
      <c r="E64" s="503">
        <v>19</v>
      </c>
      <c r="F64" s="504">
        <v>13</v>
      </c>
      <c r="G64" s="501">
        <f>F64+E64</f>
        <v>32</v>
      </c>
      <c r="H64" s="284"/>
      <c r="I64" s="284"/>
      <c r="J64" s="291"/>
      <c r="K64" s="291"/>
      <c r="L64" s="144"/>
      <c r="M64" s="144"/>
      <c r="N64" s="144"/>
      <c r="O64" s="144"/>
      <c r="P64" s="144"/>
      <c r="Q64" s="144"/>
      <c r="R64" s="144"/>
      <c r="S64" s="144"/>
      <c r="T64" s="144"/>
      <c r="U64" s="141"/>
      <c r="V64" s="141"/>
      <c r="W64" s="141"/>
      <c r="X64" s="141"/>
      <c r="Y64" s="141"/>
      <c r="Z64" s="141"/>
      <c r="AA64" s="141"/>
      <c r="AB64" s="141"/>
      <c r="AC64" s="141"/>
      <c r="AD64" s="3"/>
      <c r="AE64" s="3"/>
      <c r="AF64" s="497">
        <v>2017</v>
      </c>
      <c r="AG64" s="47">
        <v>143</v>
      </c>
      <c r="AH64" s="490">
        <v>0.72</v>
      </c>
      <c r="AI64" s="47" t="s">
        <v>280</v>
      </c>
      <c r="AJ64" s="8"/>
      <c r="AK64" s="8"/>
      <c r="AL64" s="141"/>
      <c r="AM64" s="475"/>
      <c r="AN64" s="141"/>
      <c r="AO64" s="475"/>
      <c r="AP64" s="29"/>
      <c r="AQ64" s="475"/>
      <c r="AR64" s="29"/>
      <c r="AS64" s="475"/>
      <c r="AT64" s="5"/>
      <c r="AU64" s="5"/>
      <c r="AV64" s="5"/>
      <c r="AW64" s="5"/>
      <c r="AX64" s="5"/>
      <c r="AY64" s="5"/>
      <c r="AZ64" s="5"/>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408"/>
      <c r="BX64" s="408"/>
      <c r="BY64" s="408"/>
      <c r="BZ64" s="408"/>
      <c r="CA64" s="408"/>
      <c r="CB64" s="408"/>
      <c r="CC64" s="408"/>
    </row>
    <row r="65" spans="1:81" ht="15.75" customHeight="1">
      <c r="A65" s="293"/>
      <c r="B65" s="293"/>
      <c r="C65" s="496"/>
      <c r="D65" s="8"/>
      <c r="E65" s="495">
        <f>E64+E63</f>
        <v>38</v>
      </c>
      <c r="F65" s="495">
        <f>F63+F64</f>
        <v>19</v>
      </c>
      <c r="G65" s="505">
        <f>G64+G63</f>
        <v>57</v>
      </c>
      <c r="H65" s="284"/>
      <c r="I65" s="284"/>
      <c r="J65" s="291"/>
      <c r="K65" s="291"/>
      <c r="L65" s="144"/>
      <c r="M65" s="144"/>
      <c r="N65" s="144"/>
      <c r="O65" s="144"/>
      <c r="P65" s="144"/>
      <c r="Q65" s="144"/>
      <c r="R65" s="144"/>
      <c r="S65" s="144"/>
      <c r="T65" s="144"/>
      <c r="U65" s="141"/>
      <c r="V65" s="141"/>
      <c r="W65" s="141"/>
      <c r="X65" s="141"/>
      <c r="Y65" s="141"/>
      <c r="Z65" s="141"/>
      <c r="AA65" s="141"/>
      <c r="AB65" s="141"/>
      <c r="AC65" s="141"/>
      <c r="AD65" s="3"/>
      <c r="AE65" s="3"/>
      <c r="AF65" s="3"/>
      <c r="AG65" s="3"/>
      <c r="AH65" s="3"/>
      <c r="AI65" s="475"/>
      <c r="AJ65" s="141"/>
      <c r="AK65" s="475"/>
      <c r="AL65" s="141"/>
      <c r="AM65" s="475"/>
      <c r="AN65" s="141"/>
      <c r="AO65" s="475"/>
      <c r="AP65" s="29"/>
      <c r="AQ65" s="475"/>
      <c r="AR65" s="29"/>
      <c r="AS65" s="475"/>
      <c r="AT65" s="5"/>
      <c r="AU65" s="5"/>
      <c r="AV65" s="5"/>
      <c r="AW65" s="5"/>
      <c r="AX65" s="5"/>
      <c r="AY65" s="5"/>
      <c r="AZ65" s="5"/>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408"/>
      <c r="BX65" s="408"/>
      <c r="BY65" s="408"/>
      <c r="BZ65" s="408"/>
      <c r="CA65" s="408"/>
      <c r="CB65" s="408"/>
      <c r="CC65" s="408"/>
    </row>
    <row r="66" spans="1:81" ht="15.75" customHeight="1">
      <c r="A66" s="293"/>
      <c r="B66" s="293"/>
      <c r="C66" s="496"/>
      <c r="D66" s="8"/>
      <c r="E66" s="8"/>
      <c r="F66" s="8"/>
      <c r="G66" s="8"/>
      <c r="H66" s="284"/>
      <c r="I66" s="284"/>
      <c r="J66" s="291"/>
      <c r="K66" s="291"/>
      <c r="L66" s="144"/>
      <c r="M66" s="144"/>
      <c r="N66" s="144"/>
      <c r="O66" s="144"/>
      <c r="P66" s="144"/>
      <c r="Q66" s="144"/>
      <c r="R66" s="144"/>
      <c r="S66" s="144"/>
      <c r="T66" s="144"/>
      <c r="U66" s="141"/>
      <c r="V66" s="141"/>
      <c r="W66" s="141"/>
      <c r="X66" s="141"/>
      <c r="Y66" s="141"/>
      <c r="Z66" s="141"/>
      <c r="AA66" s="141"/>
      <c r="AB66" s="141"/>
      <c r="AC66" s="141"/>
      <c r="AD66" s="3"/>
      <c r="AE66" s="3"/>
      <c r="AF66" s="3"/>
      <c r="AG66" s="3"/>
      <c r="AH66" s="3"/>
      <c r="AI66" s="475"/>
      <c r="AJ66" s="141"/>
      <c r="AK66" s="475"/>
      <c r="AL66" s="141"/>
      <c r="AM66" s="475"/>
      <c r="AN66" s="141"/>
      <c r="AO66" s="475"/>
      <c r="AP66" s="29"/>
      <c r="AQ66" s="475"/>
      <c r="AR66" s="29"/>
      <c r="AS66" s="475"/>
      <c r="AT66" s="5"/>
      <c r="AU66" s="5"/>
      <c r="AV66" s="5"/>
      <c r="AW66" s="5"/>
      <c r="AX66" s="5"/>
      <c r="AY66" s="5"/>
      <c r="AZ66" s="5"/>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408"/>
      <c r="BX66" s="408"/>
      <c r="BY66" s="408"/>
      <c r="BZ66" s="408"/>
      <c r="CA66" s="408"/>
      <c r="CB66" s="408"/>
      <c r="CC66" s="408"/>
    </row>
    <row r="67" spans="1:81" ht="15.75" customHeight="1">
      <c r="A67" s="293"/>
      <c r="B67" s="293"/>
      <c r="C67" s="498" t="s">
        <v>281</v>
      </c>
      <c r="D67" s="8"/>
      <c r="E67" s="481" t="s">
        <v>250</v>
      </c>
      <c r="F67" s="481" t="s">
        <v>251</v>
      </c>
      <c r="G67" s="8"/>
      <c r="H67" s="284"/>
      <c r="I67" s="284"/>
      <c r="J67" s="291"/>
      <c r="K67" s="291"/>
      <c r="L67" s="144"/>
      <c r="M67" s="144"/>
      <c r="N67" s="144"/>
      <c r="O67" s="144"/>
      <c r="P67" s="144"/>
      <c r="Q67" s="144"/>
      <c r="R67" s="144"/>
      <c r="S67" s="144"/>
      <c r="T67" s="144"/>
      <c r="U67" s="141"/>
      <c r="V67" s="141"/>
      <c r="W67" s="141"/>
      <c r="X67" s="141"/>
      <c r="Y67" s="141"/>
      <c r="Z67" s="141"/>
      <c r="AA67" s="141"/>
      <c r="AB67" s="141"/>
      <c r="AC67" s="141"/>
      <c r="AD67" s="3"/>
      <c r="AE67" s="3"/>
      <c r="AF67" s="3"/>
      <c r="AG67" s="3"/>
      <c r="AH67" s="3"/>
      <c r="AI67" s="475"/>
      <c r="AJ67" s="141"/>
      <c r="AK67" s="475"/>
      <c r="AL67" s="141"/>
      <c r="AM67" s="475"/>
      <c r="AN67" s="141"/>
      <c r="AO67" s="475"/>
      <c r="AP67" s="29"/>
      <c r="AQ67" s="475"/>
      <c r="AR67" s="29"/>
      <c r="AS67" s="475"/>
      <c r="AT67" s="5"/>
      <c r="AU67" s="5"/>
      <c r="AV67" s="5"/>
      <c r="AW67" s="5"/>
      <c r="AX67" s="5"/>
      <c r="AY67" s="5"/>
      <c r="AZ67" s="5"/>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408"/>
      <c r="BX67" s="408"/>
      <c r="BY67" s="408"/>
      <c r="BZ67" s="408"/>
      <c r="CA67" s="408"/>
      <c r="CB67" s="408"/>
      <c r="CC67" s="408"/>
    </row>
    <row r="68" spans="1:81" ht="15.75" customHeight="1">
      <c r="A68" s="293"/>
      <c r="B68" s="293"/>
      <c r="C68" s="506"/>
      <c r="D68" s="507" t="s">
        <v>277</v>
      </c>
      <c r="E68" s="508">
        <f>E63/G65</f>
        <v>0.33333333333333331</v>
      </c>
      <c r="F68" s="509">
        <f>F63/G65</f>
        <v>0.10526315789473684</v>
      </c>
      <c r="G68" s="510">
        <f>E68+F68</f>
        <v>0.43859649122807015</v>
      </c>
      <c r="H68" s="284"/>
      <c r="I68" s="284"/>
      <c r="J68" s="291"/>
      <c r="K68" s="291"/>
      <c r="L68" s="144"/>
      <c r="M68" s="144"/>
      <c r="N68" s="144"/>
      <c r="O68" s="144"/>
      <c r="P68" s="144"/>
      <c r="Q68" s="144"/>
      <c r="R68" s="144"/>
      <c r="S68" s="144"/>
      <c r="T68" s="144"/>
      <c r="U68" s="141"/>
      <c r="V68" s="141"/>
      <c r="W68" s="141"/>
      <c r="X68" s="141"/>
      <c r="Y68" s="141"/>
      <c r="Z68" s="141"/>
      <c r="AA68" s="141"/>
      <c r="AB68" s="141"/>
      <c r="AC68" s="141"/>
      <c r="AD68" s="3"/>
      <c r="AE68" s="3"/>
      <c r="AF68" s="3"/>
      <c r="AG68" s="3"/>
      <c r="AH68" s="3"/>
      <c r="AI68" s="475"/>
      <c r="AJ68" s="141"/>
      <c r="AK68" s="475"/>
      <c r="AL68" s="141"/>
      <c r="AM68" s="475"/>
      <c r="AN68" s="141"/>
      <c r="AO68" s="475"/>
      <c r="AP68" s="29"/>
      <c r="AQ68" s="475"/>
      <c r="AR68" s="29"/>
      <c r="AS68" s="475"/>
      <c r="AT68" s="5"/>
      <c r="AU68" s="5"/>
      <c r="AV68" s="5"/>
      <c r="AW68" s="5"/>
      <c r="AX68" s="5"/>
      <c r="AY68" s="5"/>
      <c r="AZ68" s="5"/>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408"/>
      <c r="BX68" s="408"/>
      <c r="BY68" s="408"/>
      <c r="BZ68" s="408"/>
      <c r="CA68" s="408"/>
      <c r="CB68" s="408"/>
      <c r="CC68" s="408"/>
    </row>
    <row r="69" spans="1:81" ht="15.75" customHeight="1">
      <c r="A69" s="293"/>
      <c r="B69" s="293"/>
      <c r="C69" s="506"/>
      <c r="D69" s="491" t="s">
        <v>279</v>
      </c>
      <c r="E69" s="511">
        <f>E64/G65</f>
        <v>0.33333333333333331</v>
      </c>
      <c r="F69" s="512">
        <f>F64/G65</f>
        <v>0.22807017543859648</v>
      </c>
      <c r="G69" s="510">
        <f>F69+E69</f>
        <v>0.56140350877192979</v>
      </c>
      <c r="H69" s="284"/>
      <c r="I69" s="284"/>
      <c r="J69" s="291"/>
      <c r="K69" s="291"/>
      <c r="L69" s="144"/>
      <c r="M69" s="144"/>
      <c r="N69" s="144"/>
      <c r="O69" s="144"/>
      <c r="P69" s="144"/>
      <c r="Q69" s="144"/>
      <c r="R69" s="144"/>
      <c r="S69" s="144"/>
      <c r="T69" s="144"/>
      <c r="U69" s="141"/>
      <c r="V69" s="141"/>
      <c r="W69" s="141"/>
      <c r="X69" s="141"/>
      <c r="Y69" s="141"/>
      <c r="Z69" s="141"/>
      <c r="AA69" s="141"/>
      <c r="AB69" s="141"/>
      <c r="AC69" s="141"/>
      <c r="AD69" s="3"/>
      <c r="AE69" s="3"/>
      <c r="AF69" s="3"/>
      <c r="AG69" s="3"/>
      <c r="AH69" s="3"/>
      <c r="AI69" s="475"/>
      <c r="AJ69" s="141"/>
      <c r="AK69" s="475"/>
      <c r="AL69" s="141"/>
      <c r="AM69" s="475"/>
      <c r="AN69" s="141"/>
      <c r="AO69" s="475"/>
      <c r="AP69" s="29"/>
      <c r="AQ69" s="475"/>
      <c r="AR69" s="29"/>
      <c r="AS69" s="475"/>
      <c r="AT69" s="5"/>
      <c r="AU69" s="5"/>
      <c r="AV69" s="5"/>
      <c r="AW69" s="5"/>
      <c r="AX69" s="5"/>
      <c r="AY69" s="5"/>
      <c r="AZ69" s="5"/>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408"/>
      <c r="BX69" s="408"/>
      <c r="BY69" s="408"/>
      <c r="BZ69" s="408"/>
      <c r="CA69" s="408"/>
      <c r="CB69" s="408"/>
      <c r="CC69" s="408"/>
    </row>
    <row r="70" spans="1:81" ht="15.75" customHeight="1">
      <c r="A70" s="293"/>
      <c r="B70" s="293"/>
      <c r="C70" s="513"/>
      <c r="D70" s="513"/>
      <c r="E70" s="514">
        <f>E69+E68</f>
        <v>0.66666666666666663</v>
      </c>
      <c r="F70" s="514">
        <f>F68+F69</f>
        <v>0.33333333333333331</v>
      </c>
      <c r="G70" s="513"/>
      <c r="H70" s="284"/>
      <c r="I70" s="284"/>
      <c r="J70" s="291"/>
      <c r="K70" s="291"/>
      <c r="L70" s="144"/>
      <c r="M70" s="144"/>
      <c r="N70" s="144"/>
      <c r="O70" s="144"/>
      <c r="P70" s="144"/>
      <c r="Q70" s="144"/>
      <c r="R70" s="144"/>
      <c r="S70" s="144"/>
      <c r="T70" s="144"/>
      <c r="U70" s="141"/>
      <c r="V70" s="141"/>
      <c r="W70" s="141"/>
      <c r="X70" s="141"/>
      <c r="Y70" s="141"/>
      <c r="Z70" s="141"/>
      <c r="AA70" s="141"/>
      <c r="AB70" s="141"/>
      <c r="AC70" s="141"/>
      <c r="AD70" s="3"/>
      <c r="AE70" s="3"/>
      <c r="AF70" s="3"/>
      <c r="AG70" s="3"/>
      <c r="AH70" s="3"/>
      <c r="AI70" s="475"/>
      <c r="AJ70" s="141"/>
      <c r="AK70" s="475"/>
      <c r="AL70" s="141"/>
      <c r="AM70" s="475"/>
      <c r="AN70" s="141"/>
      <c r="AO70" s="475"/>
      <c r="AP70" s="29"/>
      <c r="AQ70" s="475"/>
      <c r="AR70" s="29"/>
      <c r="AS70" s="475"/>
      <c r="AT70" s="5"/>
      <c r="AU70" s="5"/>
      <c r="AV70" s="5"/>
      <c r="AW70" s="5"/>
      <c r="AX70" s="5"/>
      <c r="AY70" s="5"/>
      <c r="AZ70" s="5"/>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408"/>
      <c r="BX70" s="408"/>
      <c r="BY70" s="408"/>
      <c r="BZ70" s="408"/>
      <c r="CA70" s="408"/>
      <c r="CB70" s="408"/>
      <c r="CC70" s="408"/>
    </row>
    <row r="71" spans="1:81" ht="15.75" customHeight="1">
      <c r="A71" s="293"/>
      <c r="B71" s="293"/>
      <c r="C71" s="309"/>
      <c r="D71" s="309"/>
      <c r="E71" s="309"/>
      <c r="F71" s="309"/>
      <c r="G71" s="309"/>
      <c r="H71" s="284"/>
      <c r="I71" s="284"/>
      <c r="J71" s="291"/>
      <c r="K71" s="291"/>
      <c r="L71" s="144"/>
      <c r="M71" s="144"/>
      <c r="N71" s="144"/>
      <c r="O71" s="144"/>
      <c r="P71" s="144"/>
      <c r="Q71" s="144"/>
      <c r="R71" s="144"/>
      <c r="S71" s="144"/>
      <c r="T71" s="144"/>
      <c r="U71" s="141"/>
      <c r="V71" s="141"/>
      <c r="W71" s="141"/>
      <c r="X71" s="141"/>
      <c r="Y71" s="141"/>
      <c r="Z71" s="141"/>
      <c r="AA71" s="141"/>
      <c r="AB71" s="141"/>
      <c r="AC71" s="141"/>
      <c r="AD71" s="3"/>
      <c r="AE71" s="3"/>
      <c r="AF71" s="3"/>
      <c r="AG71" s="3"/>
      <c r="AH71" s="3"/>
      <c r="AI71" s="475"/>
      <c r="AJ71" s="141"/>
      <c r="AK71" s="475"/>
      <c r="AL71" s="141"/>
      <c r="AM71" s="475"/>
      <c r="AN71" s="141"/>
      <c r="AO71" s="475"/>
      <c r="AP71" s="29"/>
      <c r="AQ71" s="475"/>
      <c r="AR71" s="29"/>
      <c r="AS71" s="475"/>
      <c r="AT71" s="5"/>
      <c r="AU71" s="5"/>
      <c r="AV71" s="5"/>
      <c r="AW71" s="5"/>
      <c r="AX71" s="5"/>
      <c r="AY71" s="5"/>
      <c r="AZ71" s="5"/>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408"/>
      <c r="BX71" s="408"/>
      <c r="BY71" s="408"/>
      <c r="BZ71" s="408"/>
      <c r="CA71" s="408"/>
      <c r="CB71" s="408"/>
      <c r="CC71" s="408"/>
    </row>
    <row r="72" spans="1:81" ht="15.75" customHeight="1">
      <c r="A72" s="4"/>
      <c r="B72" s="309"/>
      <c r="C72" s="309"/>
      <c r="D72" s="309"/>
      <c r="E72" s="309"/>
      <c r="F72" s="309"/>
      <c r="G72" s="309"/>
      <c r="H72" s="3"/>
      <c r="I72" s="144"/>
      <c r="J72" s="3"/>
      <c r="K72" s="3"/>
      <c r="L72" s="3"/>
      <c r="M72" s="3"/>
      <c r="N72" s="3"/>
      <c r="O72" s="3"/>
      <c r="P72" s="3"/>
      <c r="Q72" s="3"/>
      <c r="R72" s="3"/>
      <c r="S72" s="3"/>
      <c r="T72" s="3"/>
      <c r="U72" s="3"/>
      <c r="V72" s="3"/>
      <c r="W72" s="3"/>
      <c r="X72" s="3"/>
      <c r="Y72" s="3"/>
      <c r="Z72" s="3"/>
      <c r="AA72" s="3"/>
      <c r="AB72" s="3"/>
      <c r="AC72" s="3"/>
      <c r="AD72" s="3"/>
      <c r="AE72" s="5"/>
      <c r="AF72" s="5"/>
      <c r="AG72" s="3"/>
      <c r="AH72" s="3"/>
      <c r="AI72" s="141"/>
      <c r="AJ72" s="141"/>
      <c r="AK72" s="141"/>
      <c r="AL72" s="141"/>
      <c r="AM72" s="141"/>
      <c r="AN72" s="141"/>
      <c r="AO72" s="141"/>
      <c r="AP72" s="29"/>
      <c r="AQ72" s="141"/>
      <c r="AR72" s="29"/>
      <c r="AS72" s="29"/>
      <c r="AT72" s="29"/>
      <c r="AU72" s="29"/>
      <c r="AV72" s="29"/>
      <c r="AW72" s="29"/>
      <c r="AX72" s="29"/>
      <c r="AY72" s="29"/>
      <c r="AZ72" s="5"/>
      <c r="BA72" s="5"/>
      <c r="BB72" s="5"/>
      <c r="BC72" s="5"/>
      <c r="BD72" s="5"/>
      <c r="BE72" s="5"/>
      <c r="BF72" s="5"/>
      <c r="BG72" s="5"/>
      <c r="BH72" s="5"/>
      <c r="BI72" s="5"/>
      <c r="BJ72" s="5"/>
      <c r="BK72" s="5"/>
      <c r="BL72" s="5"/>
      <c r="BM72" s="5"/>
      <c r="BN72" s="5"/>
      <c r="BO72" s="5"/>
      <c r="BP72" s="5"/>
      <c r="BQ72" s="5"/>
      <c r="BR72" s="5"/>
      <c r="BS72" s="5"/>
      <c r="BT72" s="5"/>
      <c r="BU72" s="5"/>
      <c r="BV72" s="5"/>
      <c r="BW72" s="27"/>
      <c r="BX72" s="27"/>
      <c r="BY72" s="27"/>
      <c r="BZ72" s="27"/>
      <c r="CA72" s="27"/>
      <c r="CB72" s="27"/>
      <c r="CC72" s="27"/>
    </row>
    <row r="73" spans="1:81" ht="15.75" customHeight="1">
      <c r="A73" s="4"/>
      <c r="B73" s="329" t="s">
        <v>182</v>
      </c>
      <c r="C73" s="330"/>
      <c r="D73" s="330"/>
      <c r="E73" s="330"/>
      <c r="F73" s="330"/>
      <c r="G73" s="330"/>
      <c r="H73" s="307"/>
      <c r="I73" s="332"/>
      <c r="J73" s="307"/>
      <c r="K73" s="307"/>
      <c r="L73" s="307"/>
      <c r="M73" s="307"/>
      <c r="N73" s="307"/>
      <c r="O73" s="307"/>
      <c r="P73" s="307"/>
      <c r="Q73" s="307"/>
      <c r="R73" s="307"/>
      <c r="S73" s="307"/>
      <c r="T73" s="307"/>
      <c r="U73" s="307"/>
      <c r="V73" s="307"/>
      <c r="W73" s="3"/>
      <c r="X73" s="3"/>
      <c r="Y73" s="3"/>
      <c r="Z73" s="3"/>
      <c r="AA73" s="3"/>
      <c r="AB73" s="3"/>
      <c r="AC73" s="3"/>
      <c r="AD73" s="3"/>
      <c r="AE73" s="5"/>
      <c r="AF73" s="5"/>
      <c r="AG73" s="3"/>
      <c r="AH73" s="3"/>
      <c r="AI73" s="141"/>
      <c r="AJ73" s="141"/>
      <c r="AK73" s="141"/>
      <c r="AL73" s="141"/>
      <c r="AM73" s="141"/>
      <c r="AN73" s="141"/>
      <c r="AO73" s="141"/>
      <c r="AP73" s="29"/>
      <c r="AQ73" s="141"/>
      <c r="AR73" s="29"/>
      <c r="AS73" s="29"/>
      <c r="AT73" s="29"/>
      <c r="AU73" s="29"/>
      <c r="AV73" s="29"/>
      <c r="AW73" s="29"/>
      <c r="AX73" s="29"/>
      <c r="AY73" s="29"/>
      <c r="AZ73" s="5"/>
      <c r="BA73" s="5"/>
      <c r="BB73" s="5"/>
      <c r="BC73" s="5"/>
      <c r="BD73" s="5"/>
      <c r="BE73" s="5"/>
      <c r="BF73" s="5"/>
      <c r="BG73" s="5"/>
      <c r="BH73" s="5"/>
      <c r="BI73" s="5"/>
      <c r="BJ73" s="5"/>
      <c r="BK73" s="5"/>
      <c r="BL73" s="5"/>
      <c r="BM73" s="5"/>
      <c r="BN73" s="5"/>
      <c r="BO73" s="5"/>
      <c r="BP73" s="5"/>
      <c r="BQ73" s="5"/>
      <c r="BR73" s="5"/>
      <c r="BS73" s="5"/>
      <c r="BT73" s="5"/>
      <c r="BU73" s="5"/>
      <c r="BV73" s="5"/>
      <c r="BW73" s="27"/>
      <c r="BX73" s="27"/>
      <c r="BY73" s="27"/>
      <c r="BZ73" s="27"/>
      <c r="CA73" s="27"/>
      <c r="CB73" s="27"/>
      <c r="CC73" s="27"/>
    </row>
    <row r="74" spans="1:81" ht="15.75" customHeight="1">
      <c r="A74" s="66"/>
      <c r="B74" s="66"/>
      <c r="C74" s="548" t="s">
        <v>30</v>
      </c>
      <c r="D74" s="549"/>
      <c r="E74" s="549"/>
      <c r="F74" s="549"/>
      <c r="G74" s="550"/>
      <c r="H74" s="555" t="s">
        <v>183</v>
      </c>
      <c r="I74" s="556"/>
      <c r="J74" s="556"/>
      <c r="K74" s="556"/>
      <c r="L74" s="556"/>
      <c r="M74" s="556"/>
      <c r="N74" s="556"/>
      <c r="O74" s="556"/>
      <c r="P74" s="556"/>
      <c r="Q74" s="556"/>
      <c r="R74" s="556"/>
      <c r="S74" s="556"/>
      <c r="T74" s="556"/>
      <c r="U74" s="556"/>
      <c r="V74" s="557"/>
      <c r="W74" s="3"/>
      <c r="X74" s="3"/>
      <c r="Y74" s="3"/>
      <c r="Z74" s="3"/>
      <c r="AA74" s="3"/>
      <c r="AB74" s="3"/>
      <c r="AC74" s="3"/>
      <c r="AD74" s="5"/>
      <c r="AE74" s="5"/>
      <c r="AF74" s="5"/>
      <c r="AG74" s="3"/>
      <c r="AH74" s="3"/>
      <c r="AI74" s="141"/>
      <c r="AJ74" s="141"/>
      <c r="AK74" s="141"/>
      <c r="AL74" s="141"/>
      <c r="AM74" s="141"/>
      <c r="AN74" s="141"/>
      <c r="AO74" s="141"/>
      <c r="AP74" s="29"/>
      <c r="AQ74" s="141"/>
      <c r="AR74" s="29"/>
      <c r="AS74" s="29"/>
      <c r="AT74" s="29"/>
      <c r="AU74" s="29"/>
      <c r="AV74" s="29"/>
      <c r="AW74" s="29"/>
      <c r="AX74" s="29"/>
      <c r="AY74" s="29"/>
      <c r="AZ74" s="5"/>
      <c r="BA74" s="5"/>
      <c r="BB74" s="5"/>
      <c r="BC74" s="5"/>
      <c r="BD74" s="5"/>
      <c r="BE74" s="5"/>
      <c r="BF74" s="5"/>
      <c r="BG74" s="5"/>
      <c r="BH74" s="5"/>
      <c r="BI74" s="5"/>
      <c r="BJ74" s="5"/>
      <c r="BK74" s="5"/>
      <c r="BL74" s="5"/>
      <c r="BM74" s="5"/>
      <c r="BN74" s="5"/>
      <c r="BO74" s="5"/>
      <c r="BP74" s="5"/>
      <c r="BQ74" s="5"/>
      <c r="BR74" s="5"/>
      <c r="BS74" s="5"/>
      <c r="BT74" s="5"/>
      <c r="BU74" s="5"/>
      <c r="BV74" s="5"/>
      <c r="BW74" s="27"/>
      <c r="BX74" s="27"/>
      <c r="BY74" s="27"/>
      <c r="BZ74" s="27"/>
      <c r="CA74" s="27"/>
      <c r="CB74" s="27"/>
      <c r="CC74" s="27"/>
    </row>
    <row r="75" spans="1:81" ht="48">
      <c r="A75" s="38"/>
      <c r="B75" s="39" t="s">
        <v>0</v>
      </c>
      <c r="C75" s="40" t="s">
        <v>1</v>
      </c>
      <c r="D75" s="39" t="s">
        <v>35</v>
      </c>
      <c r="E75" s="39" t="s">
        <v>2</v>
      </c>
      <c r="F75" s="39" t="s">
        <v>36</v>
      </c>
      <c r="G75" s="39" t="s">
        <v>37</v>
      </c>
      <c r="H75" s="334" t="s">
        <v>185</v>
      </c>
      <c r="I75" s="41" t="s">
        <v>40</v>
      </c>
      <c r="J75" s="41" t="s">
        <v>41</v>
      </c>
      <c r="K75" s="41" t="s">
        <v>42</v>
      </c>
      <c r="L75" s="335" t="s">
        <v>186</v>
      </c>
      <c r="M75" s="41" t="s">
        <v>44</v>
      </c>
      <c r="N75" s="41" t="s">
        <v>45</v>
      </c>
      <c r="O75" s="41" t="s">
        <v>46</v>
      </c>
      <c r="P75" s="41" t="s">
        <v>282</v>
      </c>
      <c r="Q75" s="336" t="s">
        <v>283</v>
      </c>
      <c r="R75" s="336" t="s">
        <v>187</v>
      </c>
      <c r="S75" s="515"/>
      <c r="T75" s="515"/>
      <c r="U75" s="515"/>
      <c r="V75" s="515"/>
      <c r="W75" s="516"/>
      <c r="X75" s="3"/>
      <c r="Y75" s="3"/>
      <c r="Z75" s="3"/>
      <c r="AA75" s="3"/>
      <c r="AB75" s="3"/>
      <c r="AC75" s="3"/>
      <c r="AD75" s="46"/>
      <c r="AE75" s="46"/>
      <c r="AF75" s="46"/>
      <c r="AG75" s="46"/>
      <c r="AH75" s="46"/>
      <c r="AI75" s="46"/>
      <c r="AJ75" s="46"/>
      <c r="AK75" s="46"/>
      <c r="AL75" s="46"/>
      <c r="AM75" s="46"/>
      <c r="AN75" s="46"/>
      <c r="AO75" s="46"/>
      <c r="AP75" s="46"/>
      <c r="AQ75" s="46"/>
      <c r="AR75" s="46"/>
      <c r="AS75" s="46"/>
      <c r="AT75" s="46"/>
      <c r="AU75" s="46"/>
      <c r="AV75" s="46"/>
      <c r="AW75" s="46"/>
      <c r="AX75" s="46"/>
      <c r="AY75" s="46"/>
      <c r="AZ75" s="38"/>
      <c r="BA75" s="38"/>
      <c r="BB75" s="38"/>
      <c r="BC75" s="38"/>
      <c r="BD75" s="38"/>
      <c r="BE75" s="38"/>
      <c r="BF75" s="38"/>
      <c r="BG75" s="38"/>
      <c r="BH75" s="38"/>
      <c r="BI75" s="38"/>
      <c r="BJ75" s="38"/>
      <c r="BK75" s="38"/>
      <c r="BL75" s="38"/>
      <c r="BM75" s="38"/>
    </row>
    <row r="76" spans="1:81" ht="15.75" customHeight="1">
      <c r="A76" s="47">
        <f>A74+1</f>
        <v>1</v>
      </c>
      <c r="B76" s="1" t="s">
        <v>5</v>
      </c>
      <c r="C76" s="48" t="str">
        <f ca="1">IFERROR(__xludf.DUMMYFUNCTION("GoogleFinance(B76,""name"")"),"SPDR S&amp;P 500 ETF Trust")</f>
        <v>SPDR S&amp;P 500 ETF Trust</v>
      </c>
      <c r="D76" s="49">
        <f ca="1">IFERROR(__xludf.DUMMYFUNCTION("GoogleFinance(B76,""marketcap"")/1000000"),491475.224873)</f>
        <v>491475.224873</v>
      </c>
      <c r="E76" s="50" t="s">
        <v>65</v>
      </c>
      <c r="F76" s="50" t="s">
        <v>232</v>
      </c>
      <c r="G76" s="51">
        <v>45296</v>
      </c>
      <c r="H76" s="52">
        <v>473.88</v>
      </c>
      <c r="I76" s="53">
        <v>467.3</v>
      </c>
      <c r="J76" s="54">
        <v>9</v>
      </c>
      <c r="K76" s="55">
        <f t="shared" ref="K76:K77" si="4">J76*I76</f>
        <v>4205.7</v>
      </c>
      <c r="L76" s="56">
        <f t="shared" ref="L76:L77" si="5">H76*J76</f>
        <v>4264.92</v>
      </c>
      <c r="M76" s="56">
        <f t="shared" ref="M76:M102" si="6">L76-K76</f>
        <v>59.220000000000255</v>
      </c>
      <c r="N76" s="57">
        <f t="shared" ref="N76:N77" si="7">H76/I76-1</f>
        <v>1.4080890220415032E-2</v>
      </c>
      <c r="O76" s="58">
        <f t="shared" ref="O76:O112" si="8">Q76-G76</f>
        <v>4</v>
      </c>
      <c r="P76" s="517" t="s">
        <v>284</v>
      </c>
      <c r="Q76" s="51">
        <v>45300</v>
      </c>
      <c r="R76" s="30" t="s">
        <v>191</v>
      </c>
      <c r="S76" s="30"/>
      <c r="T76" s="30"/>
      <c r="U76" s="30"/>
      <c r="V76" s="30"/>
      <c r="W76" s="30"/>
      <c r="X76" s="3"/>
      <c r="Y76" s="3"/>
      <c r="Z76" s="3"/>
      <c r="AA76" s="3"/>
      <c r="AB76" s="3"/>
      <c r="AC76" s="30"/>
      <c r="AD76" s="30"/>
      <c r="AE76" s="30"/>
      <c r="AF76" s="30"/>
      <c r="AG76" s="28"/>
      <c r="AH76" s="28"/>
      <c r="AI76" s="475"/>
      <c r="AJ76" s="475"/>
      <c r="AK76" s="475"/>
      <c r="AL76" s="475"/>
      <c r="AM76" s="475"/>
      <c r="AN76" s="475"/>
      <c r="AO76" s="475"/>
      <c r="AP76" s="283"/>
      <c r="AQ76" s="475"/>
      <c r="AR76" s="283"/>
      <c r="AS76" s="283"/>
      <c r="AT76" s="283"/>
      <c r="AU76" s="283"/>
      <c r="AV76" s="283"/>
      <c r="AW76" s="283"/>
      <c r="AX76" s="283"/>
      <c r="AY76" s="283"/>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5.75" customHeight="1">
      <c r="A77" s="161">
        <f t="shared" ref="A77:A113" si="9">A76+1</f>
        <v>2</v>
      </c>
      <c r="B77" s="1" t="s">
        <v>5</v>
      </c>
      <c r="C77" s="48" t="str">
        <f ca="1">IFERROR(__xludf.DUMMYFUNCTION("GoogleFinance(B77,""name"")"),"SPDR S&amp;P 500 ETF Trust")</f>
        <v>SPDR S&amp;P 500 ETF Trust</v>
      </c>
      <c r="D77" s="49">
        <f ca="1">IFERROR(__xludf.DUMMYFUNCTION("GoogleFinance(B77,""marketcap"")/1000000"),491475.224873)</f>
        <v>491475.224873</v>
      </c>
      <c r="E77" s="50" t="s">
        <v>65</v>
      </c>
      <c r="F77" s="50" t="s">
        <v>232</v>
      </c>
      <c r="G77" s="51">
        <v>45296</v>
      </c>
      <c r="H77" s="52">
        <v>476.2</v>
      </c>
      <c r="I77" s="53">
        <v>467.3</v>
      </c>
      <c r="J77" s="54">
        <f>149.8-9</f>
        <v>140.80000000000001</v>
      </c>
      <c r="K77" s="55">
        <f t="shared" si="4"/>
        <v>65795.840000000011</v>
      </c>
      <c r="L77" s="56">
        <f t="shared" si="5"/>
        <v>67048.960000000006</v>
      </c>
      <c r="M77" s="56">
        <f t="shared" si="6"/>
        <v>1253.1199999999953</v>
      </c>
      <c r="N77" s="57">
        <f t="shared" si="7"/>
        <v>1.9045580997218092E-2</v>
      </c>
      <c r="O77" s="58">
        <f t="shared" si="8"/>
        <v>5</v>
      </c>
      <c r="P77" s="517" t="s">
        <v>284</v>
      </c>
      <c r="Q77" s="51">
        <v>45301</v>
      </c>
      <c r="R77" s="30" t="s">
        <v>191</v>
      </c>
      <c r="S77" s="30"/>
      <c r="T77" s="30"/>
      <c r="U77" s="30"/>
      <c r="V77" s="30"/>
      <c r="W77" s="30"/>
      <c r="X77" s="3"/>
      <c r="Y77" s="3"/>
      <c r="Z77" s="3"/>
      <c r="AA77" s="3"/>
      <c r="AB77" s="3"/>
      <c r="AC77" s="30"/>
      <c r="AD77" s="30"/>
      <c r="AE77" s="30"/>
      <c r="AF77" s="30"/>
      <c r="AG77" s="28"/>
      <c r="AH77" s="28"/>
      <c r="AI77" s="475"/>
      <c r="AJ77" s="475"/>
      <c r="AK77" s="475"/>
      <c r="AL77" s="475"/>
      <c r="AM77" s="475"/>
      <c r="AN77" s="475"/>
      <c r="AO77" s="475"/>
      <c r="AP77" s="283"/>
      <c r="AQ77" s="475"/>
      <c r="AR77" s="283"/>
      <c r="AS77" s="283"/>
      <c r="AT77" s="283"/>
      <c r="AU77" s="283"/>
      <c r="AV77" s="283"/>
      <c r="AW77" s="283"/>
      <c r="AX77" s="283"/>
      <c r="AY77" s="283"/>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5.75" customHeight="1">
      <c r="A78" s="161">
        <f t="shared" si="9"/>
        <v>3</v>
      </c>
      <c r="B78" s="1" t="s">
        <v>285</v>
      </c>
      <c r="C78" s="48" t="str">
        <f ca="1">IFERROR(__xludf.DUMMYFUNCTION("GoogleFinance(B78,""name"")"),"Netflix Inc")</f>
        <v>Netflix Inc</v>
      </c>
      <c r="D78" s="49">
        <f ca="1">IFERROR(__xludf.DUMMYFUNCTION("GoogleFinance(B78,""marketcap"")/1000000"),295649.860627)</f>
        <v>295649.86062699999</v>
      </c>
      <c r="E78" s="50" t="s">
        <v>12</v>
      </c>
      <c r="F78" s="50" t="s">
        <v>99</v>
      </c>
      <c r="G78" s="51">
        <v>45260</v>
      </c>
      <c r="H78" s="52">
        <v>495</v>
      </c>
      <c r="I78" s="53">
        <v>472.5</v>
      </c>
      <c r="J78" s="54">
        <f>4000/I78</f>
        <v>8.4656084656084651</v>
      </c>
      <c r="K78" s="55">
        <f t="shared" ref="K78:K80" si="10">J78*H78</f>
        <v>4190.4761904761899</v>
      </c>
      <c r="L78" s="56">
        <f t="shared" ref="L78:L80" si="11">J78*I78</f>
        <v>4000</v>
      </c>
      <c r="M78" s="56">
        <f t="shared" si="6"/>
        <v>-190.47619047618991</v>
      </c>
      <c r="N78" s="57">
        <f t="shared" ref="N78:N80" si="12">I78/H78-1</f>
        <v>-4.5454545454545414E-2</v>
      </c>
      <c r="O78" s="58">
        <f t="shared" si="8"/>
        <v>42</v>
      </c>
      <c r="P78" s="517" t="s">
        <v>286</v>
      </c>
      <c r="Q78" s="51">
        <v>45302</v>
      </c>
      <c r="R78" s="30" t="s">
        <v>47</v>
      </c>
      <c r="S78" s="30"/>
      <c r="T78" s="30"/>
      <c r="U78" s="30"/>
      <c r="V78" s="30"/>
      <c r="W78" s="30"/>
      <c r="X78" s="3"/>
      <c r="Y78" s="3"/>
      <c r="Z78" s="3"/>
      <c r="AA78" s="3"/>
      <c r="AB78" s="3"/>
      <c r="AC78" s="30"/>
      <c r="AD78" s="30"/>
      <c r="AE78" s="30"/>
      <c r="AF78" s="30"/>
      <c r="AG78" s="28"/>
      <c r="AH78" s="28"/>
      <c r="AI78" s="475"/>
      <c r="AJ78" s="475"/>
      <c r="AK78" s="475"/>
      <c r="AL78" s="475"/>
      <c r="AM78" s="475"/>
      <c r="AN78" s="475"/>
      <c r="AO78" s="475"/>
      <c r="AP78" s="283"/>
      <c r="AQ78" s="475"/>
      <c r="AR78" s="283"/>
      <c r="AS78" s="283"/>
      <c r="AT78" s="283"/>
      <c r="AU78" s="283"/>
      <c r="AV78" s="283"/>
      <c r="AW78" s="283"/>
      <c r="AX78" s="283"/>
      <c r="AY78" s="283"/>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5.75" customHeight="1">
      <c r="A79" s="161">
        <f t="shared" si="9"/>
        <v>4</v>
      </c>
      <c r="B79" s="1" t="s">
        <v>287</v>
      </c>
      <c r="C79" s="48" t="str">
        <f ca="1">IFERROR(__xludf.DUMMYFUNCTION("GoogleFinance(B79,""name"")"),"Taiwan Semiconductor Mfg. Co. Ltd.")</f>
        <v>Taiwan Semiconductor Mfg. Co. Ltd.</v>
      </c>
      <c r="D79" s="49">
        <f ca="1">IFERROR(__xludf.DUMMYFUNCTION("GoogleFinance(B79,""marketcap"")/1000000"),24378928.2)</f>
        <v>24378928.199999999</v>
      </c>
      <c r="E79" s="50" t="s">
        <v>7</v>
      </c>
      <c r="F79" s="50" t="s">
        <v>19</v>
      </c>
      <c r="G79" s="51">
        <v>45300</v>
      </c>
      <c r="H79" s="52">
        <v>106</v>
      </c>
      <c r="I79" s="53">
        <v>101.76</v>
      </c>
      <c r="J79" s="54">
        <f t="shared" ref="J79:J80" si="13">2000/I79</f>
        <v>19.654088050314463</v>
      </c>
      <c r="K79" s="55">
        <f t="shared" si="10"/>
        <v>2083.333333333333</v>
      </c>
      <c r="L79" s="56">
        <f t="shared" si="11"/>
        <v>2000</v>
      </c>
      <c r="M79" s="56">
        <f t="shared" si="6"/>
        <v>-83.33333333333303</v>
      </c>
      <c r="N79" s="57">
        <f t="shared" si="12"/>
        <v>-3.9999999999999925E-2</v>
      </c>
      <c r="O79" s="58">
        <f t="shared" si="8"/>
        <v>9</v>
      </c>
      <c r="P79" s="517" t="s">
        <v>286</v>
      </c>
      <c r="Q79" s="51">
        <v>45309</v>
      </c>
      <c r="R79" s="30" t="s">
        <v>47</v>
      </c>
      <c r="S79" s="30"/>
      <c r="T79" s="30"/>
      <c r="U79" s="30"/>
      <c r="V79" s="30"/>
      <c r="W79" s="30"/>
      <c r="X79" s="3"/>
      <c r="Y79" s="3"/>
      <c r="Z79" s="3"/>
      <c r="AA79" s="3"/>
      <c r="AB79" s="3"/>
      <c r="AC79" s="30"/>
      <c r="AD79" s="30"/>
      <c r="AE79" s="30"/>
      <c r="AF79" s="30"/>
      <c r="AG79" s="28"/>
      <c r="AH79" s="28"/>
      <c r="AI79" s="475"/>
      <c r="AJ79" s="475"/>
      <c r="AK79" s="475"/>
      <c r="AL79" s="475"/>
      <c r="AM79" s="475"/>
      <c r="AN79" s="475"/>
      <c r="AO79" s="475"/>
      <c r="AP79" s="283"/>
      <c r="AQ79" s="475"/>
      <c r="AR79" s="283"/>
      <c r="AS79" s="283"/>
      <c r="AT79" s="283"/>
      <c r="AU79" s="283"/>
      <c r="AV79" s="283"/>
      <c r="AW79" s="283"/>
      <c r="AX79" s="283"/>
      <c r="AY79" s="283"/>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5.75" customHeight="1">
      <c r="A80" s="161">
        <f t="shared" si="9"/>
        <v>5</v>
      </c>
      <c r="B80" s="1" t="s">
        <v>288</v>
      </c>
      <c r="C80" s="48" t="str">
        <f ca="1">IFERROR(__xludf.DUMMYFUNCTION("GoogleFinance(B80,""name"")"),"Lam Research Corporation")</f>
        <v>Lam Research Corporation</v>
      </c>
      <c r="D80" s="49">
        <f ca="1">IFERROR(__xludf.DUMMYFUNCTION("GoogleFinance(B80,""marketcap"")/1000000"),137323.701123)</f>
        <v>137323.70112300001</v>
      </c>
      <c r="E80" s="50" t="s">
        <v>7</v>
      </c>
      <c r="F80" s="50" t="s">
        <v>19</v>
      </c>
      <c r="G80" s="51">
        <v>45300</v>
      </c>
      <c r="H80" s="52">
        <v>801.5</v>
      </c>
      <c r="I80" s="53">
        <v>754.23</v>
      </c>
      <c r="J80" s="54">
        <f t="shared" si="13"/>
        <v>2.6517110165334183</v>
      </c>
      <c r="K80" s="55">
        <f t="shared" si="10"/>
        <v>2125.3463797515346</v>
      </c>
      <c r="L80" s="56">
        <f t="shared" si="11"/>
        <v>2000.0000000000002</v>
      </c>
      <c r="M80" s="56">
        <f t="shared" si="6"/>
        <v>-125.34637975153441</v>
      </c>
      <c r="N80" s="57">
        <f t="shared" si="12"/>
        <v>-5.8976918278228263E-2</v>
      </c>
      <c r="O80" s="58">
        <f t="shared" si="8"/>
        <v>10</v>
      </c>
      <c r="P80" s="517" t="s">
        <v>286</v>
      </c>
      <c r="Q80" s="51">
        <v>45310</v>
      </c>
      <c r="R80" s="30" t="s">
        <v>47</v>
      </c>
      <c r="S80" s="30"/>
      <c r="T80" s="30"/>
      <c r="U80" s="30"/>
      <c r="V80" s="30"/>
      <c r="W80" s="30"/>
      <c r="X80" s="3"/>
      <c r="Y80" s="3"/>
      <c r="Z80" s="3"/>
      <c r="AA80" s="3"/>
      <c r="AB80" s="3"/>
      <c r="AC80" s="30"/>
      <c r="AD80" s="30"/>
      <c r="AE80" s="30"/>
      <c r="AF80" s="30"/>
      <c r="AG80" s="28"/>
      <c r="AH80" s="28"/>
      <c r="AI80" s="475"/>
      <c r="AJ80" s="475"/>
      <c r="AK80" s="475"/>
      <c r="AL80" s="475"/>
      <c r="AM80" s="475"/>
      <c r="AN80" s="475"/>
      <c r="AO80" s="475"/>
      <c r="AP80" s="283"/>
      <c r="AQ80" s="475"/>
      <c r="AR80" s="283"/>
      <c r="AS80" s="283"/>
      <c r="AT80" s="283"/>
      <c r="AU80" s="283"/>
      <c r="AV80" s="283"/>
      <c r="AW80" s="283"/>
      <c r="AX80" s="283"/>
      <c r="AY80" s="283"/>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5.75" customHeight="1">
      <c r="A81" s="161">
        <f t="shared" si="9"/>
        <v>6</v>
      </c>
      <c r="B81" s="1" t="s">
        <v>289</v>
      </c>
      <c r="C81" s="48" t="str">
        <f ca="1">IFERROR(__xludf.DUMMYFUNCTION("GoogleFinance(B81,""name"")"),"ProShares Short Bitcoin Strategy ETF")</f>
        <v>ProShares Short Bitcoin Strategy ETF</v>
      </c>
      <c r="D81" s="49" t="str">
        <f ca="1">IFERROR(__xludf.DUMMYFUNCTION("GoogleFinance(B81,""marketcap"")/1000000"),"#N/A")</f>
        <v>#N/A</v>
      </c>
      <c r="E81" s="50" t="s">
        <v>7</v>
      </c>
      <c r="F81" s="50" t="s">
        <v>117</v>
      </c>
      <c r="G81" s="51">
        <v>45307</v>
      </c>
      <c r="H81" s="52">
        <v>13.62</v>
      </c>
      <c r="I81" s="53">
        <v>12.68</v>
      </c>
      <c r="J81" s="54">
        <v>170</v>
      </c>
      <c r="K81" s="55">
        <f>J81*I81</f>
        <v>2155.6</v>
      </c>
      <c r="L81" s="56">
        <f t="shared" ref="L81:L85" si="14">H81*J81</f>
        <v>2315.4</v>
      </c>
      <c r="M81" s="56">
        <f t="shared" si="6"/>
        <v>159.80000000000018</v>
      </c>
      <c r="N81" s="57">
        <f t="shared" ref="N81:N88" si="15">H81/I81-1</f>
        <v>7.4132492113564652E-2</v>
      </c>
      <c r="O81" s="58">
        <f t="shared" si="8"/>
        <v>3</v>
      </c>
      <c r="P81" s="517" t="s">
        <v>284</v>
      </c>
      <c r="Q81" s="51">
        <v>45310</v>
      </c>
      <c r="R81" s="30" t="s">
        <v>191</v>
      </c>
      <c r="S81" s="30"/>
      <c r="T81" s="30"/>
      <c r="U81" s="30"/>
      <c r="V81" s="30"/>
      <c r="W81" s="30"/>
      <c r="X81" s="3"/>
      <c r="Y81" s="3"/>
      <c r="Z81" s="3"/>
      <c r="AA81" s="3"/>
      <c r="AB81" s="3"/>
      <c r="AC81" s="30"/>
      <c r="AD81" s="30"/>
      <c r="AE81" s="30"/>
      <c r="AF81" s="30"/>
      <c r="AG81" s="28"/>
      <c r="AH81" s="28"/>
      <c r="AI81" s="475"/>
      <c r="AJ81" s="475"/>
      <c r="AK81" s="475"/>
      <c r="AL81" s="475"/>
      <c r="AM81" s="475"/>
      <c r="AN81" s="475"/>
      <c r="AO81" s="475"/>
      <c r="AP81" s="283"/>
      <c r="AQ81" s="475"/>
      <c r="AR81" s="283"/>
      <c r="AS81" s="283"/>
      <c r="AT81" s="283"/>
      <c r="AU81" s="283"/>
      <c r="AV81" s="283"/>
      <c r="AW81" s="283"/>
      <c r="AX81" s="283"/>
      <c r="AY81" s="283"/>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5.75" customHeight="1">
      <c r="A82" s="161">
        <f t="shared" si="9"/>
        <v>7</v>
      </c>
      <c r="B82" s="1" t="s">
        <v>107</v>
      </c>
      <c r="C82" s="48" t="str">
        <f ca="1">IFERROR(__xludf.DUMMYFUNCTION("GoogleFinance(B82,""name"")"),"Tesla Inc")</f>
        <v>Tesla Inc</v>
      </c>
      <c r="D82" s="49">
        <f ca="1">IFERROR(__xludf.DUMMYFUNCTION("GoogleFinance(B82,""marketcap"")/1000000"),573456.327487)</f>
        <v>573456.32748700003</v>
      </c>
      <c r="E82" s="50" t="s">
        <v>9</v>
      </c>
      <c r="F82" s="50" t="s">
        <v>290</v>
      </c>
      <c r="G82" s="51">
        <v>45310</v>
      </c>
      <c r="H82" s="52">
        <v>193</v>
      </c>
      <c r="I82" s="53">
        <v>210.8</v>
      </c>
      <c r="J82" s="54">
        <f>4000/I82</f>
        <v>18.975332068311193</v>
      </c>
      <c r="K82" s="55">
        <f>4000</f>
        <v>4000</v>
      </c>
      <c r="L82" s="56">
        <f t="shared" si="14"/>
        <v>3662.23908918406</v>
      </c>
      <c r="M82" s="56">
        <f t="shared" si="6"/>
        <v>-337.76091081593995</v>
      </c>
      <c r="N82" s="57">
        <f t="shared" si="15"/>
        <v>-8.4440227703984849E-2</v>
      </c>
      <c r="O82" s="58">
        <f t="shared" si="8"/>
        <v>6</v>
      </c>
      <c r="P82" s="517" t="s">
        <v>284</v>
      </c>
      <c r="Q82" s="51">
        <v>45316</v>
      </c>
      <c r="R82" s="30" t="s">
        <v>47</v>
      </c>
      <c r="S82" s="30"/>
      <c r="T82" s="30"/>
      <c r="U82" s="30"/>
      <c r="V82" s="30"/>
      <c r="W82" s="30"/>
      <c r="X82" s="3"/>
      <c r="Y82" s="3"/>
      <c r="Z82" s="3"/>
      <c r="AA82" s="3"/>
      <c r="AB82" s="3"/>
      <c r="AC82" s="30"/>
      <c r="AD82" s="30"/>
      <c r="AE82" s="30"/>
      <c r="AF82" s="30"/>
      <c r="AG82" s="28"/>
      <c r="AH82" s="28"/>
      <c r="AI82" s="475"/>
      <c r="AJ82" s="475"/>
      <c r="AK82" s="475"/>
      <c r="AL82" s="475"/>
      <c r="AM82" s="475"/>
      <c r="AN82" s="475"/>
      <c r="AO82" s="475"/>
      <c r="AP82" s="283"/>
      <c r="AQ82" s="475"/>
      <c r="AR82" s="283"/>
      <c r="AS82" s="283"/>
      <c r="AT82" s="283"/>
      <c r="AU82" s="283"/>
      <c r="AV82" s="283"/>
      <c r="AW82" s="283"/>
      <c r="AX82" s="283"/>
      <c r="AY82" s="283"/>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5.75" customHeight="1">
      <c r="A83" s="161">
        <f t="shared" si="9"/>
        <v>8</v>
      </c>
      <c r="B83" s="1" t="s">
        <v>5</v>
      </c>
      <c r="C83" s="48" t="str">
        <f ca="1">IFERROR(__xludf.DUMMYFUNCTION("GoogleFinance(B83,""name"")"),"SPDR S&amp;P 500 ETF Trust")</f>
        <v>SPDR S&amp;P 500 ETF Trust</v>
      </c>
      <c r="D83" s="49">
        <f ca="1">IFERROR(__xludf.DUMMYFUNCTION("GoogleFinance(B83,""marketcap"")/1000000"),491475.224873)</f>
        <v>491475.224873</v>
      </c>
      <c r="E83" s="50" t="s">
        <v>65</v>
      </c>
      <c r="F83" s="50" t="s">
        <v>232</v>
      </c>
      <c r="G83" s="51">
        <v>45309</v>
      </c>
      <c r="H83" s="52">
        <v>493.23</v>
      </c>
      <c r="I83" s="53">
        <v>473.25</v>
      </c>
      <c r="J83" s="54">
        <v>140</v>
      </c>
      <c r="K83" s="55">
        <f>J83*I83</f>
        <v>66255</v>
      </c>
      <c r="L83" s="56">
        <f t="shared" si="14"/>
        <v>69052.2</v>
      </c>
      <c r="M83" s="56">
        <f t="shared" si="6"/>
        <v>2797.1999999999971</v>
      </c>
      <c r="N83" s="57">
        <f t="shared" si="15"/>
        <v>4.2218700475435744E-2</v>
      </c>
      <c r="O83" s="58">
        <f t="shared" si="8"/>
        <v>18</v>
      </c>
      <c r="P83" s="517" t="s">
        <v>284</v>
      </c>
      <c r="Q83" s="51">
        <v>45327</v>
      </c>
      <c r="R83" s="30" t="s">
        <v>191</v>
      </c>
      <c r="S83" s="30"/>
      <c r="T83" s="30"/>
      <c r="U83" s="30"/>
      <c r="V83" s="30"/>
      <c r="W83" s="30"/>
      <c r="X83" s="3"/>
      <c r="Y83" s="3"/>
      <c r="Z83" s="3"/>
      <c r="AA83" s="3"/>
      <c r="AB83" s="3"/>
      <c r="AC83" s="30"/>
      <c r="AD83" s="30"/>
      <c r="AE83" s="30"/>
      <c r="AF83" s="30"/>
      <c r="AG83" s="28"/>
      <c r="AH83" s="28"/>
      <c r="AI83" s="475"/>
      <c r="AJ83" s="475"/>
      <c r="AK83" s="475"/>
      <c r="AL83" s="475"/>
      <c r="AM83" s="475"/>
      <c r="AN83" s="475"/>
      <c r="AO83" s="475"/>
      <c r="AP83" s="283"/>
      <c r="AQ83" s="475"/>
      <c r="AR83" s="283"/>
      <c r="AS83" s="283"/>
      <c r="AT83" s="283"/>
      <c r="AU83" s="283"/>
      <c r="AV83" s="283"/>
      <c r="AW83" s="283"/>
      <c r="AX83" s="283"/>
      <c r="AY83" s="283"/>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5.75" customHeight="1">
      <c r="A84" s="161">
        <f t="shared" si="9"/>
        <v>9</v>
      </c>
      <c r="B84" s="358" t="s">
        <v>289</v>
      </c>
      <c r="C84" s="359" t="str">
        <f ca="1">IFERROR(__xludf.DUMMYFUNCTION("GoogleFinance(B84,""name"")"),"ProShares Short Bitcoin Strategy ETF")</f>
        <v>ProShares Short Bitcoin Strategy ETF</v>
      </c>
      <c r="D84" s="360" t="str">
        <f ca="1">IFERROR(__xludf.DUMMYFUNCTION("GoogleFinance(B84,""marketcap"")/1000000"),"#N/A")</f>
        <v>#N/A</v>
      </c>
      <c r="E84" s="518" t="s">
        <v>291</v>
      </c>
      <c r="F84" s="518"/>
      <c r="G84" s="519">
        <v>45307</v>
      </c>
      <c r="H84" s="520">
        <v>12</v>
      </c>
      <c r="I84" s="521">
        <v>12.68</v>
      </c>
      <c r="J84" s="522">
        <f>3000/I84-170</f>
        <v>66.593059936908531</v>
      </c>
      <c r="K84" s="523">
        <f>3000-2156</f>
        <v>844</v>
      </c>
      <c r="L84" s="524">
        <f t="shared" si="14"/>
        <v>799.11671924290238</v>
      </c>
      <c r="M84" s="524">
        <f t="shared" si="6"/>
        <v>-44.883280757097623</v>
      </c>
      <c r="N84" s="525">
        <f t="shared" si="15"/>
        <v>-5.362776025236593E-2</v>
      </c>
      <c r="O84" s="58">
        <f t="shared" si="8"/>
        <v>23</v>
      </c>
      <c r="P84" s="517" t="s">
        <v>284</v>
      </c>
      <c r="Q84" s="51">
        <v>45330</v>
      </c>
      <c r="R84" s="30" t="s">
        <v>47</v>
      </c>
      <c r="S84" s="30"/>
      <c r="T84" s="30"/>
      <c r="U84" s="30"/>
      <c r="V84" s="30"/>
      <c r="W84" s="30"/>
      <c r="X84" s="3"/>
      <c r="Y84" s="3"/>
      <c r="Z84" s="3"/>
      <c r="AA84" s="3"/>
      <c r="AB84" s="3"/>
      <c r="AC84" s="30"/>
      <c r="AD84" s="30"/>
      <c r="AE84" s="30"/>
      <c r="AF84" s="30"/>
      <c r="AG84" s="28"/>
      <c r="AH84" s="28"/>
      <c r="AI84" s="475"/>
      <c r="AJ84" s="475"/>
      <c r="AK84" s="475"/>
      <c r="AL84" s="475"/>
      <c r="AM84" s="475"/>
      <c r="AN84" s="475"/>
      <c r="AO84" s="475"/>
      <c r="AP84" s="283"/>
      <c r="AQ84" s="475"/>
      <c r="AR84" s="283"/>
      <c r="AS84" s="283"/>
      <c r="AT84" s="283"/>
      <c r="AU84" s="283"/>
      <c r="AV84" s="283"/>
      <c r="AW84" s="283"/>
      <c r="AX84" s="283"/>
      <c r="AY84" s="283"/>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5.75" customHeight="1">
      <c r="A85" s="161">
        <f t="shared" si="9"/>
        <v>10</v>
      </c>
      <c r="B85" s="1" t="s">
        <v>292</v>
      </c>
      <c r="C85" s="48" t="str">
        <f ca="1">IFERROR(__xludf.DUMMYFUNCTION("GoogleFinance(B85,""name"")"),"Marathon Digital Holdings Inc")</f>
        <v>Marathon Digital Holdings Inc</v>
      </c>
      <c r="D85" s="49">
        <f ca="1">IFERROR(__xludf.DUMMYFUNCTION("GoogleFinance(B85,""marketcap"")/1000000"),5432.343774)</f>
        <v>5432.3437739999999</v>
      </c>
      <c r="E85" s="50" t="s">
        <v>293</v>
      </c>
      <c r="F85" s="50" t="s">
        <v>294</v>
      </c>
      <c r="G85" s="51">
        <v>45310</v>
      </c>
      <c r="H85" s="52">
        <v>19.850000000000001</v>
      </c>
      <c r="I85" s="53">
        <v>14.86</v>
      </c>
      <c r="J85" s="54">
        <f>4000/I85</f>
        <v>269.17900403768505</v>
      </c>
      <c r="K85" s="55">
        <f>4000</f>
        <v>4000</v>
      </c>
      <c r="L85" s="56">
        <f t="shared" si="14"/>
        <v>5343.2032301480485</v>
      </c>
      <c r="M85" s="56">
        <f t="shared" si="6"/>
        <v>1343.2032301480485</v>
      </c>
      <c r="N85" s="57">
        <f t="shared" si="15"/>
        <v>0.33580080753701225</v>
      </c>
      <c r="O85" s="58">
        <f t="shared" si="8"/>
        <v>20</v>
      </c>
      <c r="P85" s="517" t="s">
        <v>284</v>
      </c>
      <c r="Q85" s="51">
        <v>45330</v>
      </c>
      <c r="R85" s="30" t="s">
        <v>191</v>
      </c>
      <c r="S85" s="30"/>
      <c r="T85" s="30"/>
      <c r="U85" s="30"/>
      <c r="V85" s="30"/>
      <c r="W85" s="30"/>
      <c r="X85" s="3"/>
      <c r="Y85" s="3"/>
      <c r="Z85" s="3"/>
      <c r="AA85" s="3"/>
      <c r="AB85" s="3"/>
      <c r="AC85" s="30"/>
      <c r="AD85" s="30"/>
      <c r="AE85" s="30"/>
      <c r="AF85" s="30"/>
      <c r="AG85" s="28"/>
      <c r="AH85" s="28"/>
      <c r="AI85" s="475"/>
      <c r="AJ85" s="475"/>
      <c r="AK85" s="475"/>
      <c r="AL85" s="475"/>
      <c r="AM85" s="475"/>
      <c r="AN85" s="475"/>
      <c r="AO85" s="475"/>
      <c r="AP85" s="283"/>
      <c r="AQ85" s="475"/>
      <c r="AR85" s="283"/>
      <c r="AS85" s="283"/>
      <c r="AT85" s="283"/>
      <c r="AU85" s="283"/>
      <c r="AV85" s="283"/>
      <c r="AW85" s="283"/>
      <c r="AX85" s="283"/>
      <c r="AY85" s="283"/>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5.75" customHeight="1">
      <c r="A86" s="161">
        <f t="shared" si="9"/>
        <v>11</v>
      </c>
      <c r="B86" s="358" t="s">
        <v>295</v>
      </c>
      <c r="C86" s="359" t="s">
        <v>296</v>
      </c>
      <c r="D86" s="360"/>
      <c r="E86" s="518" t="s">
        <v>61</v>
      </c>
      <c r="F86" s="161" t="s">
        <v>61</v>
      </c>
      <c r="G86" s="526">
        <v>45331</v>
      </c>
      <c r="H86" s="52">
        <v>16.25</v>
      </c>
      <c r="I86" s="53">
        <v>13.9</v>
      </c>
      <c r="J86" s="165">
        <v>150</v>
      </c>
      <c r="K86" s="166">
        <f>J86*I86</f>
        <v>2085</v>
      </c>
      <c r="L86" s="166">
        <f t="shared" ref="L86:L88" si="16">J86*H86</f>
        <v>2437.5</v>
      </c>
      <c r="M86" s="167">
        <f t="shared" si="6"/>
        <v>352.5</v>
      </c>
      <c r="N86" s="168">
        <f t="shared" si="15"/>
        <v>0.16906474820143891</v>
      </c>
      <c r="O86" s="58">
        <f t="shared" si="8"/>
        <v>4</v>
      </c>
      <c r="P86" s="517" t="s">
        <v>284</v>
      </c>
      <c r="Q86" s="51">
        <v>45335</v>
      </c>
      <c r="R86" s="30" t="s">
        <v>191</v>
      </c>
      <c r="S86" s="30"/>
      <c r="T86" s="30"/>
      <c r="U86" s="30"/>
      <c r="V86" s="30"/>
      <c r="W86" s="30"/>
      <c r="X86" s="3"/>
      <c r="Y86" s="3"/>
      <c r="Z86" s="3"/>
      <c r="AA86" s="3"/>
      <c r="AB86" s="3"/>
      <c r="AC86" s="30"/>
      <c r="AD86" s="30"/>
      <c r="AE86" s="30"/>
      <c r="AF86" s="30"/>
      <c r="AG86" s="28"/>
      <c r="AH86" s="28"/>
      <c r="AI86" s="475"/>
      <c r="AJ86" s="475"/>
      <c r="AK86" s="475"/>
      <c r="AL86" s="475"/>
      <c r="AM86" s="475"/>
      <c r="AN86" s="475"/>
      <c r="AO86" s="475"/>
      <c r="AP86" s="283"/>
      <c r="AQ86" s="475"/>
      <c r="AR86" s="283"/>
      <c r="AS86" s="283"/>
      <c r="AT86" s="283"/>
      <c r="AU86" s="283"/>
      <c r="AV86" s="283"/>
      <c r="AW86" s="283"/>
      <c r="AX86" s="283"/>
      <c r="AY86" s="283"/>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5.75" customHeight="1">
      <c r="A87" s="161">
        <f t="shared" si="9"/>
        <v>12</v>
      </c>
      <c r="B87" s="1" t="s">
        <v>297</v>
      </c>
      <c r="C87" s="48" t="str">
        <f ca="1">IFERROR(__xludf.DUMMYFUNCTION("GoogleFinance(B87,""name"")"),"Apple Inc")</f>
        <v>Apple Inc</v>
      </c>
      <c r="D87" s="49">
        <f ca="1">IFERROR(__xludf.DUMMYFUNCTION("GoogleFinance(B87,""marketcap"")/1000000"),3181668.343432)</f>
        <v>3181668.3434319999</v>
      </c>
      <c r="E87" s="50" t="s">
        <v>7</v>
      </c>
      <c r="F87" s="50" t="s">
        <v>117</v>
      </c>
      <c r="G87" s="51">
        <v>45296</v>
      </c>
      <c r="H87" s="1">
        <v>182.8</v>
      </c>
      <c r="I87" s="53">
        <v>182.5</v>
      </c>
      <c r="J87" s="54">
        <v>109.58904109589041</v>
      </c>
      <c r="K87" s="55">
        <v>20000</v>
      </c>
      <c r="L87" s="166">
        <f t="shared" si="16"/>
        <v>20032.876712328769</v>
      </c>
      <c r="M87" s="167">
        <f t="shared" si="6"/>
        <v>32.876712328768917</v>
      </c>
      <c r="N87" s="168">
        <f t="shared" si="15"/>
        <v>1.6438356164383272E-3</v>
      </c>
      <c r="O87" s="58">
        <f t="shared" si="8"/>
        <v>40</v>
      </c>
      <c r="P87" s="517" t="s">
        <v>284</v>
      </c>
      <c r="Q87" s="51">
        <v>45336</v>
      </c>
      <c r="R87" s="30" t="s">
        <v>191</v>
      </c>
      <c r="S87" s="30"/>
      <c r="T87" s="30"/>
      <c r="U87" s="30"/>
      <c r="V87" s="30"/>
      <c r="W87" s="30"/>
      <c r="X87" s="3"/>
      <c r="Y87" s="3"/>
      <c r="Z87" s="3"/>
      <c r="AA87" s="3"/>
      <c r="AB87" s="3"/>
      <c r="AC87" s="30"/>
      <c r="AD87" s="30"/>
      <c r="AE87" s="30"/>
      <c r="AF87" s="30"/>
      <c r="AG87" s="28"/>
      <c r="AH87" s="28"/>
      <c r="AI87" s="475"/>
      <c r="AJ87" s="475"/>
      <c r="AK87" s="475"/>
      <c r="AL87" s="475"/>
      <c r="AM87" s="475"/>
      <c r="AN87" s="475"/>
      <c r="AO87" s="475"/>
      <c r="AP87" s="283"/>
      <c r="AQ87" s="475"/>
      <c r="AR87" s="283"/>
      <c r="AS87" s="283"/>
      <c r="AT87" s="283"/>
      <c r="AU87" s="283"/>
      <c r="AV87" s="283"/>
      <c r="AW87" s="283"/>
      <c r="AX87" s="283"/>
      <c r="AY87" s="283"/>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5.75" customHeight="1">
      <c r="A88" s="161">
        <f t="shared" si="9"/>
        <v>13</v>
      </c>
      <c r="B88" s="1" t="s">
        <v>209</v>
      </c>
      <c r="C88" s="48" t="str">
        <f ca="1">IFERROR(__xludf.DUMMYFUNCTION("GoogleFinance(B88,""name"")"),"Grupo Financiero Galicia S.A.")</f>
        <v>Grupo Financiero Galicia S.A.</v>
      </c>
      <c r="D88" s="49">
        <f ca="1">IFERROR(__xludf.DUMMYFUNCTION("GoogleFinance(B88,""marketcap"")/1000000"),5565.667534)</f>
        <v>5565.6675340000002</v>
      </c>
      <c r="E88" s="162" t="s">
        <v>13</v>
      </c>
      <c r="F88" s="163" t="s">
        <v>18</v>
      </c>
      <c r="G88" s="99">
        <v>45238</v>
      </c>
      <c r="H88" s="1">
        <v>20.22</v>
      </c>
      <c r="I88" s="164">
        <v>11.73</v>
      </c>
      <c r="J88" s="165">
        <v>80</v>
      </c>
      <c r="K88" s="166">
        <f>J88*I88</f>
        <v>938.40000000000009</v>
      </c>
      <c r="L88" s="166">
        <f t="shared" si="16"/>
        <v>1617.6</v>
      </c>
      <c r="M88" s="167">
        <f t="shared" si="6"/>
        <v>679.19999999999982</v>
      </c>
      <c r="N88" s="168">
        <f t="shared" si="15"/>
        <v>0.72378516624040912</v>
      </c>
      <c r="O88" s="58">
        <f t="shared" si="8"/>
        <v>98</v>
      </c>
      <c r="P88" s="517" t="s">
        <v>284</v>
      </c>
      <c r="Q88" s="51">
        <v>45336</v>
      </c>
      <c r="R88" s="30" t="s">
        <v>191</v>
      </c>
      <c r="S88" s="30"/>
      <c r="T88" s="30"/>
      <c r="U88" s="30"/>
      <c r="V88" s="30"/>
      <c r="W88" s="30"/>
      <c r="X88" s="3"/>
      <c r="Y88" s="3"/>
      <c r="Z88" s="3"/>
      <c r="AA88" s="3"/>
      <c r="AB88" s="3"/>
      <c r="AC88" s="30"/>
      <c r="AD88" s="30"/>
      <c r="AE88" s="30"/>
      <c r="AF88" s="30"/>
      <c r="AG88" s="28"/>
      <c r="AH88" s="28"/>
      <c r="AI88" s="475"/>
      <c r="AJ88" s="475"/>
      <c r="AK88" s="475"/>
      <c r="AL88" s="475"/>
      <c r="AM88" s="475"/>
      <c r="AN88" s="475"/>
      <c r="AO88" s="475"/>
      <c r="AP88" s="283"/>
      <c r="AQ88" s="475"/>
      <c r="AR88" s="283"/>
      <c r="AS88" s="283"/>
      <c r="AT88" s="283"/>
      <c r="AU88" s="283"/>
      <c r="AV88" s="283"/>
      <c r="AW88" s="283"/>
      <c r="AX88" s="283"/>
      <c r="AY88" s="283"/>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5.75" customHeight="1">
      <c r="A89" s="161">
        <f t="shared" si="9"/>
        <v>14</v>
      </c>
      <c r="B89" s="1" t="s">
        <v>298</v>
      </c>
      <c r="C89" s="48" t="s">
        <v>299</v>
      </c>
      <c r="D89" s="49">
        <v>41070.531465</v>
      </c>
      <c r="E89" s="50" t="s">
        <v>7</v>
      </c>
      <c r="F89" s="50" t="s">
        <v>7</v>
      </c>
      <c r="G89" s="441">
        <v>45266</v>
      </c>
      <c r="H89" s="363">
        <v>82</v>
      </c>
      <c r="I89" s="53">
        <v>68.739999999999995</v>
      </c>
      <c r="J89" s="54">
        <v>58.190282222868788</v>
      </c>
      <c r="K89" s="166">
        <f>J89*H89</f>
        <v>4771.6031422752403</v>
      </c>
      <c r="L89" s="166">
        <v>4000</v>
      </c>
      <c r="M89" s="167">
        <f t="shared" si="6"/>
        <v>-771.60314227524032</v>
      </c>
      <c r="N89" s="57">
        <f>I89/H89-1</f>
        <v>-0.16170731707317076</v>
      </c>
      <c r="O89" s="58">
        <f t="shared" si="8"/>
        <v>79</v>
      </c>
      <c r="P89" s="517" t="s">
        <v>286</v>
      </c>
      <c r="Q89" s="51">
        <v>45345</v>
      </c>
      <c r="R89" s="30" t="s">
        <v>47</v>
      </c>
      <c r="S89" s="30"/>
      <c r="T89" s="30"/>
      <c r="U89" s="30"/>
      <c r="V89" s="30"/>
      <c r="W89" s="30"/>
      <c r="X89" s="3"/>
      <c r="Y89" s="3"/>
      <c r="Z89" s="3"/>
      <c r="AA89" s="3"/>
      <c r="AB89" s="3"/>
      <c r="AC89" s="30"/>
      <c r="AD89" s="30"/>
      <c r="AE89" s="30"/>
      <c r="AF89" s="30"/>
      <c r="AG89" s="28"/>
      <c r="AH89" s="28"/>
      <c r="AI89" s="475"/>
      <c r="AJ89" s="475"/>
      <c r="AK89" s="475"/>
      <c r="AL89" s="475"/>
      <c r="AM89" s="475"/>
      <c r="AN89" s="475"/>
      <c r="AO89" s="475"/>
      <c r="AP89" s="283"/>
      <c r="AQ89" s="475"/>
      <c r="AR89" s="283"/>
      <c r="AS89" s="283"/>
      <c r="AT89" s="283"/>
      <c r="AU89" s="283"/>
      <c r="AV89" s="283"/>
      <c r="AW89" s="283"/>
      <c r="AX89" s="283"/>
      <c r="AY89" s="283"/>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5.75" customHeight="1">
      <c r="A90" s="161">
        <f t="shared" si="9"/>
        <v>15</v>
      </c>
      <c r="B90" s="1" t="s">
        <v>220</v>
      </c>
      <c r="C90" s="48" t="str">
        <f ca="1">IFERROR(__xludf.DUMMYFUNCTION("GoogleFinance(B90,""name"")"),"Direxion Daily Semiconductor Bear 3X Shares")</f>
        <v>Direxion Daily Semiconductor Bear 3X Shares</v>
      </c>
      <c r="D90" s="49" t="str">
        <f ca="1">IFERROR(__xludf.DUMMYFUNCTION("GoogleFinance(B90,""marketcap"")/1000000"),"#N/A")</f>
        <v>#N/A</v>
      </c>
      <c r="E90" s="50" t="s">
        <v>221</v>
      </c>
      <c r="F90" s="50" t="s">
        <v>222</v>
      </c>
      <c r="G90" s="51">
        <v>45345</v>
      </c>
      <c r="H90" s="363">
        <v>3.8</v>
      </c>
      <c r="I90" s="53">
        <v>4.1100000000000003</v>
      </c>
      <c r="J90" s="54">
        <f t="shared" ref="J90:J91" si="17">1000/I90</f>
        <v>243.30900243309</v>
      </c>
      <c r="K90" s="55">
        <v>1000</v>
      </c>
      <c r="L90" s="166">
        <f t="shared" ref="L90:L93" si="18">J90*H90</f>
        <v>924.57420924574194</v>
      </c>
      <c r="M90" s="167">
        <f t="shared" si="6"/>
        <v>-75.42579075425806</v>
      </c>
      <c r="N90" s="168">
        <f t="shared" ref="N90:N93" si="19">H90/I90-1</f>
        <v>-7.5425790754258037E-2</v>
      </c>
      <c r="O90" s="58">
        <f t="shared" si="8"/>
        <v>5</v>
      </c>
      <c r="P90" s="517" t="s">
        <v>286</v>
      </c>
      <c r="Q90" s="51">
        <v>45350</v>
      </c>
      <c r="R90" s="30" t="s">
        <v>47</v>
      </c>
      <c r="S90" s="30"/>
      <c r="T90" s="30"/>
      <c r="U90" s="30"/>
      <c r="V90" s="30"/>
      <c r="W90" s="30"/>
      <c r="X90" s="3"/>
      <c r="Y90" s="3"/>
      <c r="Z90" s="3"/>
      <c r="AA90" s="3"/>
      <c r="AB90" s="3"/>
      <c r="AC90" s="30"/>
      <c r="AD90" s="30"/>
      <c r="AE90" s="30"/>
      <c r="AF90" s="30"/>
      <c r="AG90" s="28"/>
      <c r="AH90" s="28"/>
      <c r="AI90" s="475"/>
      <c r="AJ90" s="475"/>
      <c r="AK90" s="475"/>
      <c r="AL90" s="475"/>
      <c r="AM90" s="475"/>
      <c r="AN90" s="475"/>
      <c r="AO90" s="475"/>
      <c r="AP90" s="283"/>
      <c r="AQ90" s="475"/>
      <c r="AR90" s="283"/>
      <c r="AS90" s="283"/>
      <c r="AT90" s="283"/>
      <c r="AU90" s="283"/>
      <c r="AV90" s="283"/>
      <c r="AW90" s="283"/>
      <c r="AX90" s="283"/>
      <c r="AY90" s="283"/>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5.75" customHeight="1">
      <c r="A91" s="161">
        <f t="shared" si="9"/>
        <v>16</v>
      </c>
      <c r="B91" s="1" t="s">
        <v>105</v>
      </c>
      <c r="C91" s="48" t="str">
        <f ca="1">IFERROR(__xludf.DUMMYFUNCTION("GoogleFinance(B91,""name"")"),"Baidu Inc")</f>
        <v>Baidu Inc</v>
      </c>
      <c r="D91" s="49">
        <f ca="1">IFERROR(__xludf.DUMMYFUNCTION("GoogleFinance(B91,""marketcap"")/1000000"),240254.795704)</f>
        <v>240254.79570399999</v>
      </c>
      <c r="E91" s="163" t="s">
        <v>12</v>
      </c>
      <c r="F91" s="163" t="s">
        <v>20</v>
      </c>
      <c r="G91" s="99">
        <v>45349</v>
      </c>
      <c r="H91" s="363">
        <v>100</v>
      </c>
      <c r="I91" s="164">
        <v>112.07</v>
      </c>
      <c r="J91" s="165">
        <f t="shared" si="17"/>
        <v>8.92299455697332</v>
      </c>
      <c r="K91" s="166">
        <f t="shared" ref="K91:K93" si="20">J91*I91</f>
        <v>999.99999999999989</v>
      </c>
      <c r="L91" s="166">
        <f t="shared" si="18"/>
        <v>892.29945569733195</v>
      </c>
      <c r="M91" s="167">
        <f t="shared" si="6"/>
        <v>-107.70054430266794</v>
      </c>
      <c r="N91" s="168">
        <f t="shared" si="19"/>
        <v>-0.10770054430266796</v>
      </c>
      <c r="O91" s="58">
        <f t="shared" si="8"/>
        <v>7</v>
      </c>
      <c r="P91" s="517" t="s">
        <v>286</v>
      </c>
      <c r="Q91" s="51">
        <v>45356</v>
      </c>
      <c r="R91" s="30" t="s">
        <v>47</v>
      </c>
      <c r="S91" s="30"/>
      <c r="T91" s="30"/>
      <c r="U91" s="30"/>
      <c r="V91" s="30"/>
      <c r="W91" s="30"/>
      <c r="X91" s="3"/>
      <c r="Y91" s="3"/>
      <c r="Z91" s="3"/>
      <c r="AA91" s="3"/>
      <c r="AB91" s="3"/>
      <c r="AC91" s="30"/>
      <c r="AD91" s="30"/>
      <c r="AE91" s="30"/>
      <c r="AF91" s="30"/>
      <c r="AG91" s="28"/>
      <c r="AH91" s="28"/>
      <c r="AI91" s="28"/>
      <c r="AJ91" s="28"/>
      <c r="AK91" s="28"/>
      <c r="AL91" s="28"/>
      <c r="AM91" s="28"/>
      <c r="AN91" s="28"/>
      <c r="AO91" s="28"/>
      <c r="AP91" s="23"/>
      <c r="AQ91" s="28"/>
      <c r="AR91" s="23"/>
      <c r="AS91" s="23"/>
      <c r="AT91" s="23"/>
      <c r="AU91" s="23"/>
      <c r="AV91" s="23"/>
      <c r="AW91" s="23"/>
      <c r="AX91" s="23"/>
      <c r="AY91" s="23"/>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5.75" customHeight="1">
      <c r="A92" s="161">
        <f t="shared" si="9"/>
        <v>17</v>
      </c>
      <c r="B92" s="1" t="s">
        <v>300</v>
      </c>
      <c r="C92" s="48" t="str">
        <f ca="1">IFERROR(__xludf.DUMMYFUNCTION("GoogleFinance(B92,""name"")"),"T-Rex 2x Inverse Tesla Daily Target ETF")</f>
        <v>T-Rex 2x Inverse Tesla Daily Target ETF</v>
      </c>
      <c r="D92" s="49" t="str">
        <f ca="1">IFERROR(__xludf.DUMMYFUNCTION("GoogleFinance(B92,""marketcap"")/1000000"),"#N/A")</f>
        <v>#N/A</v>
      </c>
      <c r="E92" s="50" t="s">
        <v>301</v>
      </c>
      <c r="F92" s="50" t="s">
        <v>222</v>
      </c>
      <c r="G92" s="51">
        <v>45336</v>
      </c>
      <c r="H92" s="363">
        <v>41.1</v>
      </c>
      <c r="I92" s="53">
        <v>35.08</v>
      </c>
      <c r="J92" s="54">
        <v>30</v>
      </c>
      <c r="K92" s="166">
        <f t="shared" si="20"/>
        <v>1052.3999999999999</v>
      </c>
      <c r="L92" s="166">
        <f t="shared" si="18"/>
        <v>1233</v>
      </c>
      <c r="M92" s="167">
        <f t="shared" si="6"/>
        <v>180.60000000000014</v>
      </c>
      <c r="N92" s="168">
        <f t="shared" si="19"/>
        <v>0.17160775370581538</v>
      </c>
      <c r="O92" s="58">
        <f t="shared" si="8"/>
        <v>21</v>
      </c>
      <c r="P92" s="517" t="s">
        <v>284</v>
      </c>
      <c r="Q92" s="51">
        <v>45357</v>
      </c>
      <c r="R92" s="30" t="s">
        <v>191</v>
      </c>
      <c r="S92" s="30"/>
      <c r="T92" s="30"/>
      <c r="U92" s="30"/>
      <c r="V92" s="30"/>
      <c r="W92" s="30"/>
      <c r="X92" s="3"/>
      <c r="Y92" s="3"/>
      <c r="Z92" s="3"/>
      <c r="AA92" s="3"/>
      <c r="AB92" s="3"/>
      <c r="AC92" s="30"/>
      <c r="AD92" s="30"/>
      <c r="AE92" s="30"/>
      <c r="AF92" s="30"/>
      <c r="AG92" s="28"/>
      <c r="AH92" s="28"/>
      <c r="AI92" s="475"/>
      <c r="AJ92" s="475"/>
      <c r="AK92" s="475"/>
      <c r="AL92" s="475"/>
      <c r="AM92" s="475"/>
      <c r="AN92" s="475"/>
      <c r="AO92" s="475"/>
      <c r="AP92" s="283"/>
      <c r="AQ92" s="475"/>
      <c r="AR92" s="283"/>
      <c r="AS92" s="283"/>
      <c r="AT92" s="283"/>
      <c r="AU92" s="283"/>
      <c r="AV92" s="283"/>
      <c r="AW92" s="283"/>
      <c r="AX92" s="283"/>
      <c r="AY92" s="283"/>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5.75" customHeight="1">
      <c r="A93" s="161">
        <f t="shared" si="9"/>
        <v>18</v>
      </c>
      <c r="B93" s="1" t="s">
        <v>300</v>
      </c>
      <c r="C93" s="48" t="str">
        <f ca="1">IFERROR(__xludf.DUMMYFUNCTION("GoogleFinance(B93,""name"")"),"T-Rex 2x Inverse Tesla Daily Target ETF")</f>
        <v>T-Rex 2x Inverse Tesla Daily Target ETF</v>
      </c>
      <c r="D93" s="49" t="str">
        <f ca="1">IFERROR(__xludf.DUMMYFUNCTION("GoogleFinance(B93,""marketcap"")/1000000"),"#N/A")</f>
        <v>#N/A</v>
      </c>
      <c r="E93" s="50" t="s">
        <v>301</v>
      </c>
      <c r="F93" s="50" t="s">
        <v>222</v>
      </c>
      <c r="G93" s="51">
        <v>45336</v>
      </c>
      <c r="H93" s="363">
        <v>43.28</v>
      </c>
      <c r="I93" s="53">
        <v>35.08</v>
      </c>
      <c r="J93" s="54">
        <v>27</v>
      </c>
      <c r="K93" s="166">
        <f t="shared" si="20"/>
        <v>947.16</v>
      </c>
      <c r="L93" s="166">
        <f t="shared" si="18"/>
        <v>1168.56</v>
      </c>
      <c r="M93" s="167">
        <f t="shared" si="6"/>
        <v>221.39999999999998</v>
      </c>
      <c r="N93" s="168">
        <f t="shared" si="19"/>
        <v>0.23375142531356907</v>
      </c>
      <c r="O93" s="58">
        <f t="shared" si="8"/>
        <v>21</v>
      </c>
      <c r="P93" s="517" t="s">
        <v>284</v>
      </c>
      <c r="Q93" s="51">
        <v>45357</v>
      </c>
      <c r="R93" s="30" t="s">
        <v>191</v>
      </c>
      <c r="S93" s="30"/>
      <c r="T93" s="30"/>
      <c r="U93" s="30"/>
      <c r="V93" s="30"/>
      <c r="W93" s="30"/>
      <c r="X93" s="3"/>
      <c r="Y93" s="3"/>
      <c r="Z93" s="3"/>
      <c r="AA93" s="3"/>
      <c r="AB93" s="3"/>
      <c r="AC93" s="30"/>
      <c r="AD93" s="30"/>
      <c r="AE93" s="30"/>
      <c r="AF93" s="30"/>
      <c r="AG93" s="28"/>
      <c r="AH93" s="28"/>
      <c r="AI93" s="475"/>
      <c r="AJ93" s="475"/>
      <c r="AK93" s="475"/>
      <c r="AL93" s="475"/>
      <c r="AM93" s="475"/>
      <c r="AN93" s="475"/>
      <c r="AO93" s="475"/>
      <c r="AP93" s="283"/>
      <c r="AQ93" s="475"/>
      <c r="AR93" s="283"/>
      <c r="AS93" s="283"/>
      <c r="AT93" s="283"/>
      <c r="AU93" s="283"/>
      <c r="AV93" s="283"/>
      <c r="AW93" s="283"/>
      <c r="AX93" s="283"/>
      <c r="AY93" s="283"/>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5.75" customHeight="1">
      <c r="A94" s="161">
        <f t="shared" si="9"/>
        <v>19</v>
      </c>
      <c r="B94" s="1" t="s">
        <v>285</v>
      </c>
      <c r="C94" s="48" t="str">
        <f ca="1">IFERROR(__xludf.DUMMYFUNCTION("GoogleFinance(B94,""name"")"),"Netflix Inc")</f>
        <v>Netflix Inc</v>
      </c>
      <c r="D94" s="49">
        <f ca="1">IFERROR(__xludf.DUMMYFUNCTION("GoogleFinance(B94,""marketcap"")/1000000"),295649.860627)</f>
        <v>295649.86062699999</v>
      </c>
      <c r="E94" s="50" t="s">
        <v>12</v>
      </c>
      <c r="F94" s="50" t="s">
        <v>99</v>
      </c>
      <c r="G94" s="441">
        <v>45357</v>
      </c>
      <c r="H94" s="363">
        <v>625</v>
      </c>
      <c r="I94" s="53">
        <v>603.5</v>
      </c>
      <c r="J94" s="54">
        <f t="shared" ref="J94:J95" si="21">3000/I94</f>
        <v>4.9710024855012431</v>
      </c>
      <c r="K94" s="55">
        <f t="shared" ref="K94:K95" si="22">H94*J94</f>
        <v>3106.8765534382769</v>
      </c>
      <c r="L94" s="166">
        <v>3000</v>
      </c>
      <c r="M94" s="167">
        <f t="shared" si="6"/>
        <v>-106.87655343827691</v>
      </c>
      <c r="N94" s="57">
        <f t="shared" ref="N94:N95" si="23">I94/H94-1</f>
        <v>-3.4399999999999986E-2</v>
      </c>
      <c r="O94" s="58">
        <f t="shared" si="8"/>
        <v>14</v>
      </c>
      <c r="P94" s="517" t="s">
        <v>286</v>
      </c>
      <c r="Q94" s="51">
        <v>45371</v>
      </c>
      <c r="R94" s="30" t="s">
        <v>47</v>
      </c>
      <c r="S94" s="30"/>
      <c r="T94" s="30"/>
      <c r="U94" s="30"/>
      <c r="V94" s="30"/>
      <c r="W94" s="30"/>
      <c r="X94" s="3"/>
      <c r="Y94" s="3"/>
      <c r="Z94" s="3"/>
      <c r="AA94" s="3"/>
      <c r="AB94" s="3"/>
      <c r="AC94" s="30"/>
      <c r="AD94" s="30"/>
      <c r="AE94" s="30"/>
      <c r="AF94" s="30"/>
      <c r="AG94" s="28"/>
      <c r="AH94" s="28"/>
      <c r="AI94" s="475"/>
      <c r="AJ94" s="475"/>
      <c r="AK94" s="475"/>
      <c r="AL94" s="475"/>
      <c r="AM94" s="475"/>
      <c r="AN94" s="475"/>
      <c r="AO94" s="475"/>
      <c r="AP94" s="283"/>
      <c r="AQ94" s="475"/>
      <c r="AR94" s="283"/>
      <c r="AS94" s="283"/>
      <c r="AT94" s="283"/>
      <c r="AU94" s="283"/>
      <c r="AV94" s="283"/>
      <c r="AW94" s="283"/>
      <c r="AX94" s="283"/>
      <c r="AY94" s="283"/>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5.75" customHeight="1">
      <c r="A95" s="161">
        <f t="shared" si="9"/>
        <v>20</v>
      </c>
      <c r="B95" s="23" t="s">
        <v>302</v>
      </c>
      <c r="C95" s="162" t="str">
        <f ca="1">IFERROR(__xludf.DUMMYFUNCTION("GoogleFinance(B95,""name"")"),"Morgan Stanley")</f>
        <v>Morgan Stanley</v>
      </c>
      <c r="D95" s="163">
        <f ca="1">IFERROR(__xludf.DUMMYFUNCTION("GoogleFinance(B95,""marketcap"")/1000000"),157247.280708)</f>
        <v>157247.28070800001</v>
      </c>
      <c r="E95" s="26" t="s">
        <v>13</v>
      </c>
      <c r="F95" s="26" t="s">
        <v>18</v>
      </c>
      <c r="G95" s="442">
        <v>45358</v>
      </c>
      <c r="H95" s="161">
        <v>91.4</v>
      </c>
      <c r="I95" s="164">
        <v>86.74</v>
      </c>
      <c r="J95" s="165">
        <f t="shared" si="21"/>
        <v>34.586119437399127</v>
      </c>
      <c r="K95" s="166">
        <f t="shared" si="22"/>
        <v>3161.1713165782803</v>
      </c>
      <c r="L95" s="166">
        <v>3000</v>
      </c>
      <c r="M95" s="167">
        <f t="shared" si="6"/>
        <v>-161.17131657828031</v>
      </c>
      <c r="N95" s="57">
        <f t="shared" si="23"/>
        <v>-5.0984682713347995E-2</v>
      </c>
      <c r="O95" s="58">
        <f t="shared" si="8"/>
        <v>13</v>
      </c>
      <c r="P95" s="517" t="s">
        <v>286</v>
      </c>
      <c r="Q95" s="51">
        <v>45371</v>
      </c>
      <c r="R95" s="30" t="s">
        <v>47</v>
      </c>
      <c r="S95" s="30"/>
      <c r="T95" s="30"/>
      <c r="U95" s="30"/>
      <c r="V95" s="30"/>
      <c r="W95" s="30"/>
      <c r="X95" s="3"/>
      <c r="Y95" s="3"/>
      <c r="Z95" s="3"/>
      <c r="AA95" s="3"/>
      <c r="AB95" s="3"/>
      <c r="AC95" s="30"/>
      <c r="AD95" s="30"/>
      <c r="AE95" s="30"/>
      <c r="AF95" s="30"/>
      <c r="AG95" s="28"/>
      <c r="AH95" s="28"/>
      <c r="AI95" s="475"/>
      <c r="AJ95" s="475"/>
      <c r="AK95" s="475"/>
      <c r="AL95" s="475"/>
      <c r="AM95" s="475"/>
      <c r="AN95" s="475"/>
      <c r="AO95" s="475"/>
      <c r="AP95" s="283"/>
      <c r="AQ95" s="475"/>
      <c r="AR95" s="283"/>
      <c r="AS95" s="283"/>
      <c r="AT95" s="283"/>
      <c r="AU95" s="283"/>
      <c r="AV95" s="283"/>
      <c r="AW95" s="283"/>
      <c r="AX95" s="283"/>
      <c r="AY95" s="283"/>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5.75" customHeight="1">
      <c r="A96" s="161">
        <f t="shared" si="9"/>
        <v>21</v>
      </c>
      <c r="B96" s="1" t="s">
        <v>295</v>
      </c>
      <c r="C96" s="48" t="s">
        <v>296</v>
      </c>
      <c r="D96" s="49"/>
      <c r="E96" s="50" t="s">
        <v>61</v>
      </c>
      <c r="F96" s="26" t="s">
        <v>61</v>
      </c>
      <c r="G96" s="526">
        <v>45331</v>
      </c>
      <c r="H96" s="363">
        <v>13</v>
      </c>
      <c r="I96" s="53">
        <f>K96/J96</f>
        <v>14.144987499999994</v>
      </c>
      <c r="J96" s="165">
        <f>287.769784172662</f>
        <v>287.76978417266201</v>
      </c>
      <c r="K96" s="166">
        <f>1915+2155.5</f>
        <v>4070.5</v>
      </c>
      <c r="L96" s="166">
        <f>J96*H96</f>
        <v>3741.0071942446061</v>
      </c>
      <c r="M96" s="167">
        <f t="shared" si="6"/>
        <v>-329.49280575539387</v>
      </c>
      <c r="N96" s="57">
        <f>H96/I96-1</f>
        <v>-8.0946519040755227E-2</v>
      </c>
      <c r="O96" s="58">
        <f t="shared" si="8"/>
        <v>45</v>
      </c>
      <c r="P96" s="517" t="s">
        <v>284</v>
      </c>
      <c r="Q96" s="51">
        <v>45376</v>
      </c>
      <c r="R96" s="30" t="s">
        <v>47</v>
      </c>
      <c r="S96" s="30"/>
      <c r="T96" s="30"/>
      <c r="U96" s="30"/>
      <c r="V96" s="30"/>
      <c r="W96" s="30"/>
      <c r="X96" s="3"/>
      <c r="Y96" s="3"/>
      <c r="Z96" s="3"/>
      <c r="AA96" s="3"/>
      <c r="AB96" s="3"/>
      <c r="AC96" s="30"/>
      <c r="AD96" s="30"/>
      <c r="AE96" s="30"/>
      <c r="AF96" s="30"/>
      <c r="AG96" s="28"/>
      <c r="AH96" s="28"/>
      <c r="AI96" s="475"/>
      <c r="AJ96" s="475"/>
      <c r="AK96" s="475"/>
      <c r="AL96" s="475"/>
      <c r="AM96" s="475"/>
      <c r="AN96" s="475"/>
      <c r="AO96" s="475"/>
      <c r="AP96" s="283"/>
      <c r="AQ96" s="475"/>
      <c r="AR96" s="283"/>
      <c r="AS96" s="283"/>
      <c r="AT96" s="283"/>
      <c r="AU96" s="283"/>
      <c r="AV96" s="283"/>
      <c r="AW96" s="283"/>
      <c r="AX96" s="283"/>
      <c r="AY96" s="283"/>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5.75" customHeight="1">
      <c r="A97" s="161">
        <f t="shared" si="9"/>
        <v>22</v>
      </c>
      <c r="B97" s="1" t="s">
        <v>303</v>
      </c>
      <c r="C97" s="48" t="str">
        <f ca="1">IFERROR(__xludf.DUMMYFUNCTION("GoogleFinance(B97,""name"")"),"First Solar Inc")</f>
        <v>First Solar Inc</v>
      </c>
      <c r="D97" s="49">
        <f ca="1">IFERROR(__xludf.DUMMYFUNCTION("GoogleFinance(B97,""marketcap"")/1000000"),27709.806695)</f>
        <v>27709.806694999999</v>
      </c>
      <c r="E97" s="50" t="s">
        <v>7</v>
      </c>
      <c r="F97" s="50" t="s">
        <v>23</v>
      </c>
      <c r="G97" s="441">
        <v>45338</v>
      </c>
      <c r="H97" s="363">
        <v>171</v>
      </c>
      <c r="I97" s="53">
        <v>156.6</v>
      </c>
      <c r="J97" s="54">
        <f>3000/I97</f>
        <v>19.157088122605366</v>
      </c>
      <c r="K97" s="55">
        <f>H97*J97</f>
        <v>3275.8620689655177</v>
      </c>
      <c r="L97" s="166">
        <v>3000</v>
      </c>
      <c r="M97" s="167">
        <f t="shared" si="6"/>
        <v>-275.86206896551766</v>
      </c>
      <c r="N97" s="57">
        <f>I97/H97-1</f>
        <v>-8.4210526315789513E-2</v>
      </c>
      <c r="O97" s="58">
        <f t="shared" si="8"/>
        <v>45</v>
      </c>
      <c r="P97" s="517" t="s">
        <v>286</v>
      </c>
      <c r="Q97" s="51">
        <v>45383</v>
      </c>
      <c r="R97" s="30" t="s">
        <v>47</v>
      </c>
      <c r="S97" s="30"/>
      <c r="T97" s="30"/>
      <c r="U97" s="30"/>
      <c r="V97" s="30"/>
      <c r="W97" s="30"/>
      <c r="X97" s="3"/>
      <c r="Y97" s="3"/>
      <c r="Z97" s="3"/>
      <c r="AA97" s="3"/>
      <c r="AB97" s="3"/>
      <c r="AC97" s="30"/>
      <c r="AD97" s="30"/>
      <c r="AE97" s="30"/>
      <c r="AF97" s="30"/>
      <c r="AG97" s="28"/>
      <c r="AH97" s="28"/>
      <c r="AI97" s="475"/>
      <c r="AJ97" s="475"/>
      <c r="AK97" s="475"/>
      <c r="AL97" s="475"/>
      <c r="AM97" s="475"/>
      <c r="AN97" s="475"/>
      <c r="AO97" s="475"/>
      <c r="AP97" s="283"/>
      <c r="AQ97" s="475"/>
      <c r="AR97" s="283"/>
      <c r="AS97" s="283"/>
      <c r="AT97" s="283"/>
      <c r="AU97" s="283"/>
      <c r="AV97" s="283"/>
      <c r="AW97" s="283"/>
      <c r="AX97" s="283"/>
      <c r="AY97" s="283"/>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5.75" customHeight="1">
      <c r="A98" s="161">
        <f t="shared" si="9"/>
        <v>23</v>
      </c>
      <c r="B98" s="1" t="s">
        <v>220</v>
      </c>
      <c r="C98" s="48" t="str">
        <f ca="1">IFERROR(__xludf.DUMMYFUNCTION("GoogleFinance(B98,""name"")"),"Direxion Daily Semiconductor Bear 3X Shares")</f>
        <v>Direxion Daily Semiconductor Bear 3X Shares</v>
      </c>
      <c r="D98" s="49" t="str">
        <f ca="1">IFERROR(__xludf.DUMMYFUNCTION("GoogleFinance(B98,""marketcap"")/1000000"),"#N/A")</f>
        <v>#N/A</v>
      </c>
      <c r="E98" s="50" t="s">
        <v>304</v>
      </c>
      <c r="F98" s="50" t="s">
        <v>222</v>
      </c>
      <c r="G98" s="51">
        <v>45358</v>
      </c>
      <c r="H98" s="363">
        <v>40.58</v>
      </c>
      <c r="I98" s="53">
        <v>29</v>
      </c>
      <c r="J98" s="54">
        <v>50</v>
      </c>
      <c r="K98" s="55">
        <f t="shared" ref="K98:K101" si="24">J98*I98</f>
        <v>1450</v>
      </c>
      <c r="L98" s="166">
        <f t="shared" ref="L98:L101" si="25">J98*H98</f>
        <v>2029</v>
      </c>
      <c r="M98" s="167">
        <f t="shared" si="6"/>
        <v>579</v>
      </c>
      <c r="N98" s="168">
        <f t="shared" ref="N98:N101" si="26">H98/I98-1</f>
        <v>0.39931034482758609</v>
      </c>
      <c r="O98" s="58">
        <f t="shared" si="8"/>
        <v>42</v>
      </c>
      <c r="P98" s="517" t="s">
        <v>284</v>
      </c>
      <c r="Q98" s="51">
        <v>45400</v>
      </c>
      <c r="R98" s="30" t="s">
        <v>191</v>
      </c>
      <c r="S98" s="30"/>
      <c r="T98" s="30"/>
      <c r="U98" s="30"/>
      <c r="V98" s="30"/>
      <c r="W98" s="30"/>
      <c r="X98" s="3"/>
      <c r="Y98" s="3"/>
      <c r="Z98" s="3"/>
      <c r="AA98" s="3"/>
      <c r="AB98" s="3"/>
      <c r="AC98" s="30"/>
      <c r="AD98" s="30"/>
      <c r="AE98" s="30"/>
      <c r="AF98" s="30"/>
      <c r="AG98" s="28"/>
      <c r="AH98" s="28"/>
      <c r="AI98" s="475"/>
      <c r="AJ98" s="475"/>
      <c r="AK98" s="475"/>
      <c r="AL98" s="475"/>
      <c r="AM98" s="475"/>
      <c r="AN98" s="475"/>
      <c r="AO98" s="475"/>
      <c r="AP98" s="283"/>
      <c r="AQ98" s="475"/>
      <c r="AR98" s="283"/>
      <c r="AS98" s="283"/>
      <c r="AT98" s="283"/>
      <c r="AU98" s="283"/>
      <c r="AV98" s="283"/>
      <c r="AW98" s="283"/>
      <c r="AX98" s="283"/>
      <c r="AY98" s="283"/>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5.75" customHeight="1">
      <c r="A99" s="161">
        <f t="shared" si="9"/>
        <v>24</v>
      </c>
      <c r="B99" s="1" t="s">
        <v>305</v>
      </c>
      <c r="C99" s="48" t="str">
        <f ca="1">IFERROR(__xludf.DUMMYFUNCTION("GoogleFinance(B99,""name"")"),"Tradr 1.25X NVDA Bear Daily ETF")</f>
        <v>Tradr 1.25X NVDA Bear Daily ETF</v>
      </c>
      <c r="D99" s="49" t="str">
        <f ca="1">IFERROR(__xludf.DUMMYFUNCTION("GoogleFinance(B99,""marketcap"")/1000000"),"#N/A")</f>
        <v>#N/A</v>
      </c>
      <c r="E99" s="50" t="s">
        <v>306</v>
      </c>
      <c r="F99" s="50" t="s">
        <v>222</v>
      </c>
      <c r="G99" s="51">
        <v>45377</v>
      </c>
      <c r="H99" s="363">
        <v>69.06</v>
      </c>
      <c r="I99" s="53">
        <f>12.3*5</f>
        <v>61.5</v>
      </c>
      <c r="J99" s="54">
        <v>24</v>
      </c>
      <c r="K99" s="55">
        <f t="shared" si="24"/>
        <v>1476</v>
      </c>
      <c r="L99" s="166">
        <f t="shared" si="25"/>
        <v>1657.44</v>
      </c>
      <c r="M99" s="167">
        <f t="shared" si="6"/>
        <v>181.44000000000005</v>
      </c>
      <c r="N99" s="168">
        <f t="shared" si="26"/>
        <v>0.12292682926829279</v>
      </c>
      <c r="O99" s="58">
        <f t="shared" si="8"/>
        <v>23</v>
      </c>
      <c r="P99" s="517" t="s">
        <v>284</v>
      </c>
      <c r="Q99" s="51">
        <v>45400</v>
      </c>
      <c r="R99" s="30" t="s">
        <v>191</v>
      </c>
      <c r="S99" s="30"/>
      <c r="T99" s="30"/>
      <c r="U99" s="30"/>
      <c r="V99" s="30"/>
      <c r="W99" s="30"/>
      <c r="X99" s="3"/>
      <c r="Y99" s="3"/>
      <c r="Z99" s="3"/>
      <c r="AA99" s="3"/>
      <c r="AB99" s="3"/>
      <c r="AC99" s="30"/>
      <c r="AD99" s="30"/>
      <c r="AE99" s="30"/>
      <c r="AF99" s="30"/>
      <c r="AG99" s="28"/>
      <c r="AH99" s="28"/>
      <c r="AI99" s="475"/>
      <c r="AJ99" s="475"/>
      <c r="AK99" s="475"/>
      <c r="AL99" s="475"/>
      <c r="AM99" s="475"/>
      <c r="AN99" s="475"/>
      <c r="AO99" s="475"/>
      <c r="AP99" s="283"/>
      <c r="AQ99" s="475"/>
      <c r="AR99" s="283"/>
      <c r="AS99" s="283"/>
      <c r="AT99" s="283"/>
      <c r="AU99" s="283"/>
      <c r="AV99" s="283"/>
      <c r="AW99" s="283"/>
      <c r="AX99" s="283"/>
      <c r="AY99" s="283"/>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5.75" customHeight="1">
      <c r="A100" s="161">
        <f t="shared" si="9"/>
        <v>25</v>
      </c>
      <c r="B100" s="184" t="s">
        <v>220</v>
      </c>
      <c r="C100" s="185" t="str">
        <f ca="1">IFERROR(__xludf.DUMMYFUNCTION("GoogleFinance(B100,""name"")"),"Direxion Daily Semiconductor Bear 3X Shares")</f>
        <v>Direxion Daily Semiconductor Bear 3X Shares</v>
      </c>
      <c r="D100" s="186" t="str">
        <f ca="1">IFERROR(__xludf.DUMMYFUNCTION("GoogleFinance(B100,""marketcap"")/1000000"),"#N/A")</f>
        <v>#N/A</v>
      </c>
      <c r="E100" s="187" t="s">
        <v>304</v>
      </c>
      <c r="F100" s="187" t="s">
        <v>222</v>
      </c>
      <c r="G100" s="188">
        <v>45358</v>
      </c>
      <c r="H100" s="527">
        <v>44.19</v>
      </c>
      <c r="I100" s="192">
        <v>29</v>
      </c>
      <c r="J100" s="193">
        <f>3000/I100-50</f>
        <v>53.448275862068968</v>
      </c>
      <c r="K100" s="194">
        <f t="shared" si="24"/>
        <v>1550</v>
      </c>
      <c r="L100" s="345">
        <f t="shared" si="25"/>
        <v>2361.8793103448274</v>
      </c>
      <c r="M100" s="345">
        <f t="shared" si="6"/>
        <v>811.87931034482745</v>
      </c>
      <c r="N100" s="214">
        <f t="shared" si="26"/>
        <v>0.52379310344827568</v>
      </c>
      <c r="O100" s="58">
        <f t="shared" si="8"/>
        <v>43</v>
      </c>
      <c r="P100" s="517" t="s">
        <v>284</v>
      </c>
      <c r="Q100" s="51">
        <v>45401</v>
      </c>
      <c r="R100" s="30" t="s">
        <v>191</v>
      </c>
      <c r="S100" s="30"/>
      <c r="T100" s="30"/>
      <c r="U100" s="30"/>
      <c r="V100" s="30"/>
      <c r="W100" s="30"/>
      <c r="X100" s="3"/>
      <c r="Y100" s="3"/>
      <c r="Z100" s="3"/>
      <c r="AA100" s="3"/>
      <c r="AB100" s="3"/>
      <c r="AC100" s="30"/>
      <c r="AD100" s="30"/>
      <c r="AE100" s="30"/>
      <c r="AF100" s="30"/>
      <c r="AG100" s="28"/>
      <c r="AH100" s="28"/>
      <c r="AI100" s="475"/>
      <c r="AJ100" s="475"/>
      <c r="AK100" s="475"/>
      <c r="AL100" s="475"/>
      <c r="AM100" s="475"/>
      <c r="AN100" s="475"/>
      <c r="AO100" s="475"/>
      <c r="AP100" s="283"/>
      <c r="AQ100" s="475"/>
      <c r="AR100" s="283"/>
      <c r="AS100" s="283"/>
      <c r="AT100" s="283"/>
      <c r="AU100" s="283"/>
      <c r="AV100" s="283"/>
      <c r="AW100" s="283"/>
      <c r="AX100" s="283"/>
      <c r="AY100" s="283"/>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5.75" customHeight="1">
      <c r="A101" s="161">
        <f t="shared" si="9"/>
        <v>26</v>
      </c>
      <c r="B101" s="184" t="s">
        <v>305</v>
      </c>
      <c r="C101" s="185" t="str">
        <f ca="1">IFERROR(__xludf.DUMMYFUNCTION("GoogleFinance(B101,""name"")"),"Tradr 1.25X NVDA Bear Daily ETF")</f>
        <v>Tradr 1.25X NVDA Bear Daily ETF</v>
      </c>
      <c r="D101" s="186" t="str">
        <f ca="1">IFERROR(__xludf.DUMMYFUNCTION("GoogleFinance(B101,""marketcap"")/1000000"),"#N/A")</f>
        <v>#N/A</v>
      </c>
      <c r="E101" s="187" t="s">
        <v>306</v>
      </c>
      <c r="F101" s="187" t="s">
        <v>222</v>
      </c>
      <c r="G101" s="188">
        <v>45377</v>
      </c>
      <c r="H101" s="527">
        <v>72.52</v>
      </c>
      <c r="I101" s="192">
        <f>12.3*5</f>
        <v>61.5</v>
      </c>
      <c r="J101" s="193">
        <f>3000/I101-24</f>
        <v>24.780487804878049</v>
      </c>
      <c r="K101" s="194">
        <f t="shared" si="24"/>
        <v>1524</v>
      </c>
      <c r="L101" s="345">
        <f t="shared" si="25"/>
        <v>1797.080975609756</v>
      </c>
      <c r="M101" s="345">
        <f t="shared" si="6"/>
        <v>273.08097560975602</v>
      </c>
      <c r="N101" s="214">
        <f t="shared" si="26"/>
        <v>0.17918699186991871</v>
      </c>
      <c r="O101" s="58">
        <f t="shared" si="8"/>
        <v>24</v>
      </c>
      <c r="P101" s="517" t="s">
        <v>284</v>
      </c>
      <c r="Q101" s="51">
        <v>45401</v>
      </c>
      <c r="R101" s="30" t="s">
        <v>191</v>
      </c>
      <c r="S101" s="30"/>
      <c r="T101" s="30"/>
      <c r="U101" s="30"/>
      <c r="V101" s="30"/>
      <c r="W101" s="30"/>
      <c r="X101" s="3"/>
      <c r="Y101" s="3"/>
      <c r="Z101" s="3"/>
      <c r="AA101" s="3"/>
      <c r="AB101" s="3"/>
      <c r="AC101" s="30"/>
      <c r="AD101" s="30"/>
      <c r="AE101" s="30"/>
      <c r="AF101" s="30"/>
      <c r="AG101" s="28"/>
      <c r="AH101" s="28"/>
      <c r="AI101" s="475"/>
      <c r="AJ101" s="475"/>
      <c r="AK101" s="475"/>
      <c r="AL101" s="475"/>
      <c r="AM101" s="475"/>
      <c r="AN101" s="475"/>
      <c r="AO101" s="475"/>
      <c r="AP101" s="283"/>
      <c r="AQ101" s="475"/>
      <c r="AR101" s="283"/>
      <c r="AS101" s="283"/>
      <c r="AT101" s="283"/>
      <c r="AU101" s="283"/>
      <c r="AV101" s="283"/>
      <c r="AW101" s="283"/>
      <c r="AX101" s="283"/>
      <c r="AY101" s="283"/>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3.2">
      <c r="A102" s="161">
        <f t="shared" si="9"/>
        <v>27</v>
      </c>
      <c r="B102" s="1" t="s">
        <v>240</v>
      </c>
      <c r="C102" s="48" t="str">
        <f ca="1">IFERROR(__xludf.DUMMYFUNCTION("GoogleFinance(B102,""name"")"),"Caterpillar Inc.")</f>
        <v>Caterpillar Inc.</v>
      </c>
      <c r="D102" s="49">
        <f ca="1">IFERROR(__xludf.DUMMYFUNCTION("GoogleFinance(B102,""marketcap"")/1000000"),160331.100945)</f>
        <v>160331.10094500001</v>
      </c>
      <c r="E102" s="50" t="s">
        <v>10</v>
      </c>
      <c r="F102" s="50" t="s">
        <v>241</v>
      </c>
      <c r="G102" s="441">
        <v>45386</v>
      </c>
      <c r="H102" s="363">
        <v>335</v>
      </c>
      <c r="I102" s="53">
        <v>370.64</v>
      </c>
      <c r="J102" s="54">
        <f>3000/I102</f>
        <v>8.094107489747465</v>
      </c>
      <c r="K102" s="55">
        <f t="shared" ref="K102:K103" si="27">H102*J102</f>
        <v>2711.5260090654006</v>
      </c>
      <c r="L102" s="166">
        <v>3000</v>
      </c>
      <c r="M102" s="167">
        <f t="shared" si="6"/>
        <v>288.47399093459944</v>
      </c>
      <c r="N102" s="57">
        <f t="shared" ref="N102:N103" si="28">I102/H102-1</f>
        <v>0.10638805970149257</v>
      </c>
      <c r="O102" s="58">
        <f t="shared" si="8"/>
        <v>21</v>
      </c>
      <c r="P102" s="517" t="s">
        <v>286</v>
      </c>
      <c r="Q102" s="51">
        <v>45407</v>
      </c>
      <c r="R102" s="30" t="s">
        <v>191</v>
      </c>
      <c r="S102" s="30"/>
      <c r="T102" s="30"/>
      <c r="U102" s="30"/>
      <c r="V102" s="30"/>
      <c r="W102" s="30"/>
      <c r="X102" s="3"/>
      <c r="Y102" s="3"/>
      <c r="Z102" s="3"/>
      <c r="AA102" s="3"/>
      <c r="AB102" s="3"/>
      <c r="AC102" s="30"/>
      <c r="AD102" s="30"/>
      <c r="AE102" s="30"/>
      <c r="AF102" s="30"/>
      <c r="AG102" s="28"/>
      <c r="AH102" s="28"/>
      <c r="AI102" s="475"/>
      <c r="AJ102" s="475"/>
      <c r="AK102" s="475"/>
      <c r="AL102" s="475"/>
      <c r="AM102" s="475"/>
      <c r="AN102" s="475"/>
      <c r="AO102" s="475"/>
      <c r="AP102" s="283"/>
      <c r="AQ102" s="475"/>
      <c r="AR102" s="283"/>
      <c r="AS102" s="283"/>
      <c r="AT102" s="283"/>
      <c r="AU102" s="283"/>
      <c r="AV102" s="283"/>
      <c r="AW102" s="283"/>
      <c r="AX102" s="283"/>
      <c r="AY102" s="283"/>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5.75" customHeight="1">
      <c r="A103" s="161">
        <f t="shared" si="9"/>
        <v>28</v>
      </c>
      <c r="B103" s="1" t="s">
        <v>307</v>
      </c>
      <c r="C103" s="48" t="str">
        <f ca="1">IFERROR(__xludf.DUMMYFUNCTION("GoogleFinance(B103,""name"")"),"Expedia Group Inc")</f>
        <v>Expedia Group Inc</v>
      </c>
      <c r="D103" s="49">
        <f ca="1">IFERROR(__xludf.DUMMYFUNCTION("GoogleFinance(B103,""marketcap"")/1000000"),16919.132421)</f>
        <v>16919.132420999998</v>
      </c>
      <c r="E103" s="50" t="s">
        <v>9</v>
      </c>
      <c r="F103" s="50" t="s">
        <v>308</v>
      </c>
      <c r="G103" s="441">
        <v>45357</v>
      </c>
      <c r="H103" s="363">
        <v>112.27</v>
      </c>
      <c r="I103" s="53">
        <v>134.27000000000001</v>
      </c>
      <c r="J103" s="54">
        <f>4000/I103</f>
        <v>29.790720190660608</v>
      </c>
      <c r="K103" s="55">
        <f t="shared" si="27"/>
        <v>3344.6041558054662</v>
      </c>
      <c r="L103" s="166">
        <v>3000</v>
      </c>
      <c r="M103" s="56">
        <f>K103-L103</f>
        <v>344.60415580546623</v>
      </c>
      <c r="N103" s="168">
        <f t="shared" si="28"/>
        <v>0.19595617707312751</v>
      </c>
      <c r="O103" s="58">
        <f t="shared" si="8"/>
        <v>64</v>
      </c>
      <c r="P103" s="517" t="s">
        <v>286</v>
      </c>
      <c r="Q103" s="51">
        <v>45421</v>
      </c>
      <c r="R103" s="30" t="s">
        <v>191</v>
      </c>
      <c r="S103" s="30"/>
      <c r="T103" s="30"/>
      <c r="U103" s="30"/>
      <c r="V103" s="30"/>
      <c r="W103" s="30"/>
      <c r="X103" s="3"/>
      <c r="Y103" s="3"/>
      <c r="Z103" s="3"/>
      <c r="AA103" s="3"/>
      <c r="AB103" s="3"/>
      <c r="AC103" s="30"/>
      <c r="AD103" s="30"/>
      <c r="AE103" s="30"/>
      <c r="AF103" s="30"/>
      <c r="AG103" s="28"/>
      <c r="AH103" s="28"/>
      <c r="AI103" s="475"/>
      <c r="AJ103" s="475"/>
      <c r="AK103" s="475"/>
      <c r="AL103" s="475"/>
      <c r="AM103" s="475"/>
      <c r="AN103" s="475"/>
      <c r="AO103" s="475"/>
      <c r="AP103" s="283"/>
      <c r="AQ103" s="475"/>
      <c r="AR103" s="283"/>
      <c r="AS103" s="283"/>
      <c r="AT103" s="283"/>
      <c r="AU103" s="283"/>
      <c r="AV103" s="283"/>
      <c r="AW103" s="283"/>
      <c r="AX103" s="283"/>
      <c r="AY103" s="283"/>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5.75" customHeight="1">
      <c r="A104" s="161">
        <f t="shared" si="9"/>
        <v>29</v>
      </c>
      <c r="B104" s="1" t="s">
        <v>309</v>
      </c>
      <c r="C104" s="48" t="str">
        <f ca="1">IFERROR(__xludf.DUMMYFUNCTION("GoogleFinance(B104,""name"")"),"Pathward Financial Inc")</f>
        <v>Pathward Financial Inc</v>
      </c>
      <c r="D104" s="49">
        <f ca="1">IFERROR(__xludf.DUMMYFUNCTION("GoogleFinance(B104,""marketcap"")/1000000"),1375.477132)</f>
        <v>1375.477132</v>
      </c>
      <c r="E104" s="163" t="s">
        <v>13</v>
      </c>
      <c r="F104" s="163" t="s">
        <v>18</v>
      </c>
      <c r="G104" s="99">
        <v>45414</v>
      </c>
      <c r="H104" s="363">
        <v>53.91</v>
      </c>
      <c r="I104" s="164">
        <v>51.17</v>
      </c>
      <c r="J104" s="165">
        <f>3000/I104</f>
        <v>58.628102403752195</v>
      </c>
      <c r="K104" s="166">
        <f t="shared" ref="K104:K105" si="29">J104*I104</f>
        <v>3000</v>
      </c>
      <c r="L104" s="166">
        <f t="shared" ref="L104:L105" si="30">J104*H104</f>
        <v>3160.6410005862808</v>
      </c>
      <c r="M104" s="167">
        <f t="shared" ref="M104:M113" si="31">L104-K104</f>
        <v>160.64100058628082</v>
      </c>
      <c r="N104" s="168">
        <f t="shared" ref="N104:N105" si="32">H104/I104-1</f>
        <v>5.3547000195426797E-2</v>
      </c>
      <c r="O104" s="58">
        <f t="shared" si="8"/>
        <v>5</v>
      </c>
      <c r="P104" s="517" t="s">
        <v>284</v>
      </c>
      <c r="Q104" s="51">
        <v>45419</v>
      </c>
      <c r="R104" s="30" t="s">
        <v>191</v>
      </c>
      <c r="S104" s="30"/>
      <c r="T104" s="30"/>
      <c r="U104" s="30"/>
      <c r="V104" s="30"/>
      <c r="W104" s="30"/>
      <c r="X104" s="3"/>
      <c r="Y104" s="3"/>
      <c r="Z104" s="3"/>
      <c r="AA104" s="3"/>
      <c r="AB104" s="3"/>
      <c r="AC104" s="30"/>
      <c r="AD104" s="30"/>
      <c r="AE104" s="30"/>
      <c r="AF104" s="30"/>
      <c r="AG104" s="28"/>
      <c r="AH104" s="28"/>
      <c r="AI104" s="475"/>
      <c r="AJ104" s="475"/>
      <c r="AK104" s="475"/>
      <c r="AL104" s="475"/>
      <c r="AM104" s="475"/>
      <c r="AN104" s="475"/>
      <c r="AO104" s="475"/>
      <c r="AP104" s="283"/>
      <c r="AQ104" s="475"/>
      <c r="AR104" s="283"/>
      <c r="AS104" s="283"/>
      <c r="AT104" s="283"/>
      <c r="AU104" s="283"/>
      <c r="AV104" s="283"/>
      <c r="AW104" s="283"/>
      <c r="AX104" s="283"/>
      <c r="AY104" s="283"/>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5.75" customHeight="1">
      <c r="A105" s="161">
        <f t="shared" si="9"/>
        <v>30</v>
      </c>
      <c r="B105" s="1" t="s">
        <v>310</v>
      </c>
      <c r="C105" s="48" t="str">
        <f ca="1">IFERROR(__xludf.DUMMYFUNCTION("GoogleFinance(B105,""name"")"),"Palo Alto Networks Inc")</f>
        <v>Palo Alto Networks Inc</v>
      </c>
      <c r="D105" s="49">
        <f ca="1">IFERROR(__xludf.DUMMYFUNCTION("GoogleFinance(B105,""marketcap"")/1000000"),103722.881685)</f>
        <v>103722.881685</v>
      </c>
      <c r="E105" s="163" t="s">
        <v>7</v>
      </c>
      <c r="F105" s="163" t="s">
        <v>19</v>
      </c>
      <c r="G105" s="99">
        <v>45393</v>
      </c>
      <c r="H105" s="363">
        <v>306.94</v>
      </c>
      <c r="I105" s="164">
        <v>280.7</v>
      </c>
      <c r="J105" s="165">
        <f t="shared" ref="J105:J107" si="33">2000/I105</f>
        <v>7.1250445315283226</v>
      </c>
      <c r="K105" s="166">
        <f t="shared" si="29"/>
        <v>2000</v>
      </c>
      <c r="L105" s="166">
        <f t="shared" si="30"/>
        <v>2186.9611685073032</v>
      </c>
      <c r="M105" s="167">
        <f t="shared" si="31"/>
        <v>186.96116850730323</v>
      </c>
      <c r="N105" s="168">
        <f t="shared" si="32"/>
        <v>9.3480584253651688E-2</v>
      </c>
      <c r="O105" s="58">
        <f t="shared" si="8"/>
        <v>26</v>
      </c>
      <c r="P105" s="517" t="s">
        <v>284</v>
      </c>
      <c r="Q105" s="51">
        <v>45419</v>
      </c>
      <c r="R105" s="30" t="s">
        <v>191</v>
      </c>
      <c r="S105" s="30"/>
      <c r="T105" s="30"/>
      <c r="U105" s="30"/>
      <c r="V105" s="30"/>
      <c r="W105" s="30"/>
      <c r="X105" s="3"/>
      <c r="Y105" s="3"/>
      <c r="Z105" s="3"/>
      <c r="AA105" s="3"/>
      <c r="AB105" s="3"/>
      <c r="AC105" s="30"/>
      <c r="AD105" s="30"/>
      <c r="AE105" s="30"/>
      <c r="AF105" s="30"/>
      <c r="AG105" s="28"/>
      <c r="AH105" s="28"/>
      <c r="AI105" s="475"/>
      <c r="AJ105" s="475"/>
      <c r="AK105" s="475"/>
      <c r="AL105" s="475"/>
      <c r="AM105" s="475"/>
      <c r="AN105" s="475"/>
      <c r="AO105" s="475"/>
      <c r="AP105" s="283"/>
      <c r="AQ105" s="475"/>
      <c r="AR105" s="283"/>
      <c r="AS105" s="283"/>
      <c r="AT105" s="283"/>
      <c r="AU105" s="283"/>
      <c r="AV105" s="283"/>
      <c r="AW105" s="283"/>
      <c r="AX105" s="283"/>
      <c r="AY105" s="283"/>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5.75" customHeight="1">
      <c r="A106" s="161">
        <f t="shared" si="9"/>
        <v>31</v>
      </c>
      <c r="B106" s="1" t="s">
        <v>287</v>
      </c>
      <c r="C106" s="48" t="str">
        <f ca="1">IFERROR(__xludf.DUMMYFUNCTION("GoogleFinance(B106,""name"")"),"Taiwan Semiconductor Mfg. Co. Ltd.")</f>
        <v>Taiwan Semiconductor Mfg. Co. Ltd.</v>
      </c>
      <c r="D106" s="49">
        <f ca="1">IFERROR(__xludf.DUMMYFUNCTION("GoogleFinance(B106,""marketcap"")/1000000"),24378928.2)</f>
        <v>24378928.199999999</v>
      </c>
      <c r="E106" s="50" t="s">
        <v>7</v>
      </c>
      <c r="F106" s="50" t="s">
        <v>19</v>
      </c>
      <c r="G106" s="441">
        <v>45369</v>
      </c>
      <c r="H106" s="363">
        <v>158</v>
      </c>
      <c r="I106" s="53">
        <v>139.46</v>
      </c>
      <c r="J106" s="54">
        <f t="shared" si="33"/>
        <v>14.341029685931449</v>
      </c>
      <c r="K106" s="55">
        <f>H106*J106</f>
        <v>2265.8826903771692</v>
      </c>
      <c r="L106" s="55">
        <v>2000</v>
      </c>
      <c r="M106" s="167">
        <f t="shared" si="31"/>
        <v>-265.88269037716918</v>
      </c>
      <c r="N106" s="57">
        <f>I106/H106-1</f>
        <v>-0.11734177215189867</v>
      </c>
      <c r="O106" s="58">
        <f t="shared" si="8"/>
        <v>14</v>
      </c>
      <c r="P106" s="517" t="s">
        <v>286</v>
      </c>
      <c r="Q106" s="51">
        <v>45383</v>
      </c>
      <c r="R106" s="30" t="s">
        <v>47</v>
      </c>
      <c r="S106" s="30"/>
      <c r="T106" s="30"/>
      <c r="U106" s="30"/>
      <c r="V106" s="30"/>
      <c r="W106" s="30"/>
      <c r="X106" s="3"/>
      <c r="Y106" s="3"/>
      <c r="Z106" s="3"/>
      <c r="AA106" s="3"/>
      <c r="AB106" s="3"/>
      <c r="AC106" s="30"/>
      <c r="AD106" s="30"/>
      <c r="AE106" s="30"/>
      <c r="AF106" s="30"/>
      <c r="AG106" s="28"/>
      <c r="AH106" s="28"/>
      <c r="AI106" s="475"/>
      <c r="AJ106" s="475"/>
      <c r="AK106" s="475"/>
      <c r="AL106" s="475"/>
      <c r="AM106" s="475"/>
      <c r="AN106" s="475"/>
      <c r="AO106" s="475"/>
      <c r="AP106" s="283"/>
      <c r="AQ106" s="475"/>
      <c r="AR106" s="283"/>
      <c r="AS106" s="283"/>
      <c r="AT106" s="283"/>
      <c r="AU106" s="283"/>
      <c r="AV106" s="283"/>
      <c r="AW106" s="283"/>
      <c r="AX106" s="283"/>
      <c r="AY106" s="283"/>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5.75" customHeight="1">
      <c r="A107" s="161">
        <f t="shared" si="9"/>
        <v>32</v>
      </c>
      <c r="B107" s="1" t="s">
        <v>305</v>
      </c>
      <c r="C107" s="48" t="str">
        <f ca="1">IFERROR(__xludf.DUMMYFUNCTION("GoogleFinance(B107,""name"")"),"Tradr 1.25X NVDA Bear Daily ETF")</f>
        <v>Tradr 1.25X NVDA Bear Daily ETF</v>
      </c>
      <c r="D107" s="49" t="str">
        <f ca="1">IFERROR(__xludf.DUMMYFUNCTION("GoogleFinance(B107,""marketcap"")/1000000"),"#N/A")</f>
        <v>#N/A</v>
      </c>
      <c r="E107" s="163" t="s">
        <v>311</v>
      </c>
      <c r="F107" s="163" t="s">
        <v>222</v>
      </c>
      <c r="G107" s="99">
        <v>45435</v>
      </c>
      <c r="H107" s="363">
        <v>47.5</v>
      </c>
      <c r="I107" s="164">
        <v>50.26</v>
      </c>
      <c r="J107" s="165">
        <f t="shared" si="33"/>
        <v>39.793076004775173</v>
      </c>
      <c r="K107" s="166">
        <v>2000</v>
      </c>
      <c r="L107" s="166">
        <f t="shared" ref="L107:L112" si="34">J107*H107</f>
        <v>1890.1711102268207</v>
      </c>
      <c r="M107" s="167">
        <f t="shared" si="31"/>
        <v>-109.8288897731793</v>
      </c>
      <c r="N107" s="168">
        <f t="shared" ref="N107:N112" si="35">H107/I107-1</f>
        <v>-5.4914444886589697E-2</v>
      </c>
      <c r="O107" s="58">
        <f t="shared" si="8"/>
        <v>2</v>
      </c>
      <c r="P107" s="517" t="s">
        <v>286</v>
      </c>
      <c r="Q107" s="51">
        <v>45437</v>
      </c>
      <c r="R107" s="30" t="s">
        <v>47</v>
      </c>
      <c r="S107" s="30"/>
      <c r="T107" s="30"/>
      <c r="U107" s="30"/>
      <c r="V107" s="30"/>
      <c r="W107" s="30"/>
      <c r="X107" s="3"/>
      <c r="Y107" s="3"/>
      <c r="Z107" s="3"/>
      <c r="AA107" s="3"/>
      <c r="AB107" s="3"/>
      <c r="AC107" s="30"/>
      <c r="AD107" s="30"/>
      <c r="AE107" s="30"/>
      <c r="AF107" s="30"/>
      <c r="AG107" s="28"/>
      <c r="AH107" s="28"/>
      <c r="AI107" s="475"/>
      <c r="AJ107" s="475"/>
      <c r="AK107" s="475"/>
      <c r="AL107" s="475"/>
      <c r="AM107" s="475"/>
      <c r="AN107" s="475"/>
      <c r="AO107" s="475"/>
      <c r="AP107" s="283"/>
      <c r="AQ107" s="475"/>
      <c r="AR107" s="283"/>
      <c r="AS107" s="283"/>
      <c r="AT107" s="283"/>
      <c r="AU107" s="283"/>
      <c r="AV107" s="283"/>
      <c r="AW107" s="283"/>
      <c r="AX107" s="283"/>
      <c r="AY107" s="283"/>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5.75" customHeight="1">
      <c r="A108" s="161">
        <f t="shared" si="9"/>
        <v>33</v>
      </c>
      <c r="B108" s="1" t="s">
        <v>312</v>
      </c>
      <c r="C108" s="48" t="str">
        <f ca="1">IFERROR(__xludf.DUMMYFUNCTION("GoogleFinance(B108,""name"")"),"American Airlines Group Inc")</f>
        <v>American Airlines Group Inc</v>
      </c>
      <c r="D108" s="49">
        <f ca="1">IFERROR(__xludf.DUMMYFUNCTION("GoogleFinance(B108,""marketcap"")/1000000"),7348.211234)</f>
        <v>7348.2112340000003</v>
      </c>
      <c r="E108" s="163" t="s">
        <v>10</v>
      </c>
      <c r="F108" s="163" t="s">
        <v>313</v>
      </c>
      <c r="G108" s="99">
        <v>45414</v>
      </c>
      <c r="H108" s="363">
        <v>12.5</v>
      </c>
      <c r="I108" s="164">
        <v>13.75</v>
      </c>
      <c r="J108" s="165">
        <f>3000/I108</f>
        <v>218.18181818181819</v>
      </c>
      <c r="K108" s="166">
        <f>J108*I108</f>
        <v>3000</v>
      </c>
      <c r="L108" s="166">
        <f t="shared" si="34"/>
        <v>2727.2727272727275</v>
      </c>
      <c r="M108" s="167">
        <f t="shared" si="31"/>
        <v>-272.72727272727252</v>
      </c>
      <c r="N108" s="168">
        <f t="shared" si="35"/>
        <v>-9.0909090909090939E-2</v>
      </c>
      <c r="O108" s="58">
        <f t="shared" si="8"/>
        <v>27</v>
      </c>
      <c r="P108" s="517" t="s">
        <v>286</v>
      </c>
      <c r="Q108" s="51">
        <v>45441</v>
      </c>
      <c r="R108" s="30" t="s">
        <v>47</v>
      </c>
      <c r="S108" s="30"/>
      <c r="T108" s="30"/>
      <c r="U108" s="30"/>
      <c r="V108" s="30"/>
      <c r="W108" s="30"/>
      <c r="X108" s="3"/>
      <c r="Y108" s="3"/>
      <c r="Z108" s="3"/>
      <c r="AA108" s="3"/>
      <c r="AB108" s="3"/>
      <c r="AC108" s="30"/>
      <c r="AD108" s="30"/>
      <c r="AE108" s="30"/>
      <c r="AF108" s="30"/>
      <c r="AG108" s="28"/>
      <c r="AH108" s="28"/>
      <c r="AI108" s="475"/>
      <c r="AJ108" s="475"/>
      <c r="AK108" s="475"/>
      <c r="AL108" s="475"/>
      <c r="AM108" s="475"/>
      <c r="AN108" s="475"/>
      <c r="AO108" s="475"/>
      <c r="AP108" s="283"/>
      <c r="AQ108" s="475"/>
      <c r="AR108" s="283"/>
      <c r="AS108" s="283"/>
      <c r="AT108" s="283"/>
      <c r="AU108" s="283"/>
      <c r="AV108" s="283"/>
      <c r="AW108" s="283"/>
      <c r="AX108" s="283"/>
      <c r="AY108" s="283"/>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5.75" customHeight="1">
      <c r="A109" s="161">
        <f t="shared" si="9"/>
        <v>34</v>
      </c>
      <c r="B109" s="1" t="s">
        <v>314</v>
      </c>
      <c r="C109" s="48" t="str">
        <f ca="1">IFERROR(__xludf.DUMMYFUNCTION("GoogleFinance(B109,""name"")"),"ProShares UltraPro Short QQQ")</f>
        <v>ProShares UltraPro Short QQQ</v>
      </c>
      <c r="D109" s="49" t="str">
        <f ca="1">IFERROR(__xludf.DUMMYFUNCTION("GoogleFinance(B109,""marketcap"")/1000000"),"#N/A")</f>
        <v>#N/A</v>
      </c>
      <c r="E109" s="163" t="s">
        <v>315</v>
      </c>
      <c r="F109" s="163" t="s">
        <v>227</v>
      </c>
      <c r="G109" s="99">
        <v>45419</v>
      </c>
      <c r="H109" s="363">
        <f ca="1">IFERROR(__xludf.DUMMYFUNCTION("GOOGLEFINANCE(B109)"),8.4)</f>
        <v>8.4</v>
      </c>
      <c r="I109" s="164">
        <v>10.63</v>
      </c>
      <c r="J109" s="165">
        <f>2000/I109</f>
        <v>188.1467544684854</v>
      </c>
      <c r="K109" s="166">
        <v>2000</v>
      </c>
      <c r="L109" s="166">
        <f t="shared" ca="1" si="34"/>
        <v>1580.4327375352775</v>
      </c>
      <c r="M109" s="167">
        <f t="shared" ca="1" si="31"/>
        <v>-419.56726246472249</v>
      </c>
      <c r="N109" s="168">
        <f t="shared" ca="1" si="35"/>
        <v>-0.20978363123236121</v>
      </c>
      <c r="O109" s="58">
        <f t="shared" si="8"/>
        <v>29</v>
      </c>
      <c r="P109" s="517" t="s">
        <v>286</v>
      </c>
      <c r="Q109" s="51">
        <v>45448</v>
      </c>
      <c r="R109" s="30" t="s">
        <v>47</v>
      </c>
      <c r="S109" s="30"/>
      <c r="T109" s="30"/>
      <c r="U109" s="30"/>
      <c r="V109" s="30"/>
      <c r="W109" s="30"/>
      <c r="X109" s="3"/>
      <c r="Y109" s="3"/>
      <c r="Z109" s="3"/>
      <c r="AA109" s="3"/>
      <c r="AB109" s="3"/>
      <c r="AC109" s="30"/>
      <c r="AD109" s="30"/>
      <c r="AE109" s="30"/>
      <c r="AF109" s="30"/>
      <c r="AG109" s="28"/>
      <c r="AH109" s="28"/>
      <c r="AI109" s="475"/>
      <c r="AJ109" s="475"/>
      <c r="AK109" s="475"/>
      <c r="AL109" s="475"/>
      <c r="AM109" s="475"/>
      <c r="AN109" s="475"/>
      <c r="AO109" s="475"/>
      <c r="AP109" s="283"/>
      <c r="AQ109" s="475"/>
      <c r="AR109" s="283"/>
      <c r="AS109" s="283"/>
      <c r="AT109" s="283"/>
      <c r="AU109" s="283"/>
      <c r="AV109" s="283"/>
      <c r="AW109" s="283"/>
      <c r="AX109" s="283"/>
      <c r="AY109" s="283"/>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5.75" customHeight="1">
      <c r="A110" s="161">
        <f t="shared" si="9"/>
        <v>35</v>
      </c>
      <c r="B110" s="1" t="s">
        <v>316</v>
      </c>
      <c r="C110" s="48" t="str">
        <f ca="1">IFERROR(__xludf.DUMMYFUNCTION("GoogleFinance(B110,""name"")"),"Direxion Daily MSFT Bear 1X Shares")</f>
        <v>Direxion Daily MSFT Bear 1X Shares</v>
      </c>
      <c r="D110" s="49" t="str">
        <f ca="1">IFERROR(__xludf.DUMMYFUNCTION("GoogleFinance(B110,""marketcap"")/1000000"),"#N/A")</f>
        <v>#N/A</v>
      </c>
      <c r="E110" s="163" t="s">
        <v>317</v>
      </c>
      <c r="F110" s="163" t="s">
        <v>222</v>
      </c>
      <c r="G110" s="99">
        <v>45408</v>
      </c>
      <c r="H110" s="363">
        <v>13.7</v>
      </c>
      <c r="I110" s="164">
        <v>14.38</v>
      </c>
      <c r="J110" s="165">
        <f t="shared" ref="J110:J113" si="36">3000/I110</f>
        <v>208.62308762169678</v>
      </c>
      <c r="K110" s="166">
        <v>3000</v>
      </c>
      <c r="L110" s="166">
        <f t="shared" si="34"/>
        <v>2858.1363004172458</v>
      </c>
      <c r="M110" s="167">
        <f t="shared" si="31"/>
        <v>-141.86369958275418</v>
      </c>
      <c r="N110" s="168">
        <f t="shared" si="35"/>
        <v>-4.7287899860918081E-2</v>
      </c>
      <c r="O110" s="58">
        <f t="shared" si="8"/>
        <v>47</v>
      </c>
      <c r="P110" s="517" t="s">
        <v>286</v>
      </c>
      <c r="Q110" s="51">
        <v>45455</v>
      </c>
      <c r="R110" s="30" t="s">
        <v>47</v>
      </c>
      <c r="S110" s="30"/>
      <c r="T110" s="30"/>
      <c r="U110" s="30"/>
      <c r="V110" s="30"/>
      <c r="W110" s="30"/>
      <c r="X110" s="3"/>
      <c r="Y110" s="3"/>
      <c r="Z110" s="3"/>
      <c r="AA110" s="3"/>
      <c r="AB110" s="3"/>
      <c r="AC110" s="30"/>
      <c r="AD110" s="30"/>
      <c r="AE110" s="30"/>
      <c r="AF110" s="30"/>
      <c r="AG110" s="28"/>
      <c r="AH110" s="28"/>
      <c r="AI110" s="475"/>
      <c r="AJ110" s="475"/>
      <c r="AK110" s="475"/>
      <c r="AL110" s="475"/>
      <c r="AM110" s="475"/>
      <c r="AN110" s="475"/>
      <c r="AO110" s="475"/>
      <c r="AP110" s="283"/>
      <c r="AQ110" s="475"/>
      <c r="AR110" s="283"/>
      <c r="AS110" s="283"/>
      <c r="AT110" s="283"/>
      <c r="AU110" s="283"/>
      <c r="AV110" s="283"/>
      <c r="AW110" s="283"/>
      <c r="AX110" s="283"/>
      <c r="AY110" s="283"/>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5.75" customHeight="1">
      <c r="A111" s="161">
        <f t="shared" si="9"/>
        <v>36</v>
      </c>
      <c r="B111" s="1" t="s">
        <v>318</v>
      </c>
      <c r="C111" s="48" t="str">
        <f ca="1">IFERROR(__xludf.DUMMYFUNCTION("GoogleFinance(B111,""name"")"),"Matador Resources Co")</f>
        <v>Matador Resources Co</v>
      </c>
      <c r="D111" s="49">
        <f ca="1">IFERROR(__xludf.DUMMYFUNCTION("GoogleFinance(B111,""marketcap"")/1000000"),7124.949229)</f>
        <v>7124.9492289999998</v>
      </c>
      <c r="E111" s="163" t="s">
        <v>14</v>
      </c>
      <c r="F111" s="163" t="s">
        <v>29</v>
      </c>
      <c r="G111" s="99">
        <v>45414</v>
      </c>
      <c r="H111" s="363">
        <v>57</v>
      </c>
      <c r="I111" s="164">
        <v>61.73</v>
      </c>
      <c r="J111" s="165">
        <f t="shared" si="36"/>
        <v>48.598736432852746</v>
      </c>
      <c r="K111" s="166">
        <f t="shared" ref="K111:K112" si="37">J111*I111</f>
        <v>3000</v>
      </c>
      <c r="L111" s="166">
        <f t="shared" si="34"/>
        <v>2770.1279766726066</v>
      </c>
      <c r="M111" s="167">
        <f t="shared" si="31"/>
        <v>-229.87202332739344</v>
      </c>
      <c r="N111" s="168">
        <f t="shared" si="35"/>
        <v>-7.6624007775797809E-2</v>
      </c>
      <c r="O111" s="58">
        <f t="shared" si="8"/>
        <v>43</v>
      </c>
      <c r="P111" s="517" t="s">
        <v>286</v>
      </c>
      <c r="Q111" s="51">
        <v>45457</v>
      </c>
      <c r="R111" s="30" t="s">
        <v>47</v>
      </c>
      <c r="S111" s="30"/>
      <c r="T111" s="30"/>
      <c r="U111" s="30"/>
      <c r="V111" s="30"/>
      <c r="W111" s="30"/>
      <c r="X111" s="3"/>
      <c r="Y111" s="3"/>
      <c r="Z111" s="3"/>
      <c r="AA111" s="3"/>
      <c r="AB111" s="3"/>
      <c r="AC111" s="30"/>
      <c r="AD111" s="30"/>
      <c r="AE111" s="30"/>
      <c r="AF111" s="30"/>
      <c r="AG111" s="28"/>
      <c r="AH111" s="28"/>
      <c r="AI111" s="475"/>
      <c r="AJ111" s="475"/>
      <c r="AK111" s="475"/>
      <c r="AL111" s="475"/>
      <c r="AM111" s="475"/>
      <c r="AN111" s="475"/>
      <c r="AO111" s="475"/>
      <c r="AP111" s="283"/>
      <c r="AQ111" s="475"/>
      <c r="AR111" s="283"/>
      <c r="AS111" s="283"/>
      <c r="AT111" s="283"/>
      <c r="AU111" s="283"/>
      <c r="AV111" s="283"/>
      <c r="AW111" s="283"/>
      <c r="AX111" s="283"/>
      <c r="AY111" s="283"/>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5.75" customHeight="1">
      <c r="A112" s="161">
        <f t="shared" si="9"/>
        <v>37</v>
      </c>
      <c r="B112" s="1" t="s">
        <v>319</v>
      </c>
      <c r="C112" s="48" t="str">
        <f ca="1">IFERROR(__xludf.DUMMYFUNCTION("GoogleFinance(B112,""name"")"),"Propetro Holding Corp")</f>
        <v>Propetro Holding Corp</v>
      </c>
      <c r="D112" s="49">
        <f ca="1">IFERROR(__xludf.DUMMYFUNCTION("GoogleFinance(B112,""marketcap"")/1000000"),902.339645)</f>
        <v>902.33964500000002</v>
      </c>
      <c r="E112" s="163" t="s">
        <v>14</v>
      </c>
      <c r="F112" s="163" t="s">
        <v>29</v>
      </c>
      <c r="G112" s="99">
        <v>45414</v>
      </c>
      <c r="H112" s="363">
        <v>8.1</v>
      </c>
      <c r="I112" s="164">
        <v>8.98</v>
      </c>
      <c r="J112" s="165">
        <f t="shared" si="36"/>
        <v>334.07572383073494</v>
      </c>
      <c r="K112" s="166">
        <f t="shared" si="37"/>
        <v>3000</v>
      </c>
      <c r="L112" s="166">
        <f t="shared" si="34"/>
        <v>2706.0133630289529</v>
      </c>
      <c r="M112" s="167">
        <f t="shared" si="31"/>
        <v>-293.98663697104712</v>
      </c>
      <c r="N112" s="168">
        <f t="shared" si="35"/>
        <v>-9.7995545657015626E-2</v>
      </c>
      <c r="O112" s="58">
        <f t="shared" si="8"/>
        <v>43</v>
      </c>
      <c r="P112" s="517" t="s">
        <v>286</v>
      </c>
      <c r="Q112" s="51">
        <v>45457</v>
      </c>
      <c r="R112" s="30" t="s">
        <v>47</v>
      </c>
      <c r="S112" s="30"/>
      <c r="T112" s="30"/>
      <c r="U112" s="30"/>
      <c r="V112" s="30"/>
      <c r="W112" s="30"/>
      <c r="X112" s="3"/>
      <c r="Y112" s="3"/>
      <c r="Z112" s="3"/>
      <c r="AA112" s="3"/>
      <c r="AB112" s="3"/>
      <c r="AC112" s="30"/>
      <c r="AD112" s="30"/>
      <c r="AE112" s="30"/>
      <c r="AF112" s="30"/>
      <c r="AG112" s="28"/>
      <c r="AH112" s="28"/>
      <c r="AI112" s="475"/>
      <c r="AJ112" s="475"/>
      <c r="AK112" s="475"/>
      <c r="AL112" s="475"/>
      <c r="AM112" s="475"/>
      <c r="AN112" s="475"/>
      <c r="AO112" s="475"/>
      <c r="AP112" s="283"/>
      <c r="AQ112" s="475"/>
      <c r="AR112" s="283"/>
      <c r="AS112" s="283"/>
      <c r="AT112" s="283"/>
      <c r="AU112" s="283"/>
      <c r="AV112" s="283"/>
      <c r="AW112" s="283"/>
      <c r="AX112" s="283"/>
      <c r="AY112" s="283"/>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5.75" customHeight="1">
      <c r="A113" s="161">
        <f t="shared" si="9"/>
        <v>38</v>
      </c>
      <c r="B113" s="1" t="s">
        <v>320</v>
      </c>
      <c r="C113" s="48" t="str">
        <f ca="1">IFERROR(__xludf.DUMMYFUNCTION("GoogleFinance(B113,""name"")"),"Union Pacific Corp")</f>
        <v>Union Pacific Corp</v>
      </c>
      <c r="D113" s="49">
        <f ca="1">IFERROR(__xludf.DUMMYFUNCTION("GoogleFinance(B113,""marketcap"")/1000000"),137954.708403)</f>
        <v>137954.708403</v>
      </c>
      <c r="E113" s="50" t="s">
        <v>10</v>
      </c>
      <c r="F113" s="50" t="s">
        <v>241</v>
      </c>
      <c r="G113" s="441">
        <v>45369</v>
      </c>
      <c r="H113" s="363">
        <v>222.9</v>
      </c>
      <c r="I113" s="53">
        <v>245.48</v>
      </c>
      <c r="J113" s="54">
        <f t="shared" si="36"/>
        <v>12.220954863940037</v>
      </c>
      <c r="K113" s="55">
        <f>H113*J113</f>
        <v>2724.0508391722342</v>
      </c>
      <c r="L113" s="166">
        <v>3000</v>
      </c>
      <c r="M113" s="167">
        <f t="shared" si="31"/>
        <v>275.94916082776581</v>
      </c>
      <c r="N113" s="57">
        <f>I113/H113-1</f>
        <v>0.10130103185284867</v>
      </c>
      <c r="O113" s="394">
        <f ca="1">TODAY()-G113</f>
        <v>98</v>
      </c>
      <c r="P113" s="517" t="s">
        <v>286</v>
      </c>
      <c r="Q113" s="51">
        <v>45457</v>
      </c>
      <c r="R113" s="30" t="s">
        <v>191</v>
      </c>
      <c r="S113" s="30"/>
      <c r="T113" s="30"/>
      <c r="U113" s="30"/>
      <c r="V113" s="30"/>
      <c r="W113" s="30"/>
      <c r="X113" s="3"/>
      <c r="Y113" s="3"/>
      <c r="Z113" s="3"/>
      <c r="AA113" s="3"/>
      <c r="AB113" s="3"/>
      <c r="AC113" s="30"/>
      <c r="AD113" s="30"/>
      <c r="AE113" s="30"/>
      <c r="AF113" s="30"/>
      <c r="AG113" s="28"/>
      <c r="AH113" s="28"/>
      <c r="AI113" s="475"/>
      <c r="AJ113" s="475"/>
      <c r="AK113" s="475"/>
      <c r="AL113" s="475"/>
      <c r="AM113" s="475"/>
      <c r="AN113" s="475"/>
      <c r="AO113" s="475"/>
      <c r="AP113" s="283"/>
      <c r="AQ113" s="475"/>
      <c r="AR113" s="283"/>
      <c r="AS113" s="283"/>
      <c r="AT113" s="283"/>
      <c r="AU113" s="283"/>
      <c r="AV113" s="283"/>
      <c r="AW113" s="283"/>
      <c r="AX113" s="283"/>
      <c r="AY113" s="283"/>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5.75" customHeight="1">
      <c r="A114" s="161"/>
      <c r="B114" s="30"/>
      <c r="C114" s="350"/>
      <c r="D114" s="30"/>
      <c r="E114" s="30"/>
      <c r="F114" s="30"/>
      <c r="G114" s="31"/>
      <c r="H114" s="528"/>
      <c r="I114" s="529"/>
      <c r="J114" s="529"/>
      <c r="K114" s="530"/>
      <c r="L114" s="530"/>
      <c r="M114" s="531"/>
      <c r="N114" s="532"/>
      <c r="O114" s="165"/>
      <c r="P114" s="517"/>
      <c r="Q114" s="30"/>
      <c r="R114" s="30"/>
      <c r="S114" s="30"/>
      <c r="T114" s="30"/>
      <c r="U114" s="30"/>
      <c r="V114" s="30"/>
      <c r="W114" s="30"/>
      <c r="X114" s="3"/>
      <c r="Y114" s="3"/>
      <c r="Z114" s="3"/>
      <c r="AA114" s="3"/>
      <c r="AB114" s="3"/>
      <c r="AC114" s="30"/>
      <c r="AD114" s="30"/>
      <c r="AE114" s="30"/>
      <c r="AF114" s="30"/>
      <c r="AG114" s="3"/>
      <c r="AH114" s="3"/>
      <c r="AI114" s="475"/>
      <c r="AJ114" s="141"/>
      <c r="AK114" s="475"/>
      <c r="AL114" s="141"/>
      <c r="AM114" s="475"/>
      <c r="AN114" s="141"/>
      <c r="AO114" s="475"/>
      <c r="AP114" s="29"/>
      <c r="AQ114" s="475"/>
      <c r="AR114" s="29"/>
      <c r="AS114" s="29"/>
      <c r="AT114" s="29"/>
      <c r="AU114" s="29"/>
      <c r="AV114" s="283"/>
      <c r="AW114" s="283"/>
      <c r="AX114" s="29"/>
      <c r="AY114" s="283"/>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5.75" customHeight="1">
      <c r="A115" s="30"/>
      <c r="B115" s="30"/>
      <c r="C115" s="350"/>
      <c r="D115" s="30"/>
      <c r="E115" s="30"/>
      <c r="F115" s="30"/>
      <c r="G115" s="31"/>
      <c r="H115" s="468" t="s">
        <v>183</v>
      </c>
      <c r="I115" s="469"/>
      <c r="J115" s="469"/>
      <c r="K115" s="470">
        <f t="shared" ref="K115:M115" si="38">SUM(K74:K114)</f>
        <v>239110.33267923861</v>
      </c>
      <c r="L115" s="470">
        <f t="shared" ca="1" si="38"/>
        <v>244258.61328029324</v>
      </c>
      <c r="M115" s="471">
        <f t="shared" ca="1" si="38"/>
        <v>5837.4889126655426</v>
      </c>
      <c r="N115" s="532">
        <f ca="1">M115/100000</f>
        <v>5.8374889126655428E-2</v>
      </c>
      <c r="O115" s="473">
        <f ca="1">AVERAGE(O76:O114)</f>
        <v>28.5</v>
      </c>
      <c r="P115" s="517"/>
      <c r="Q115" s="30"/>
      <c r="R115" s="30"/>
      <c r="S115" s="30"/>
      <c r="T115" s="30"/>
      <c r="U115" s="30"/>
      <c r="V115" s="30"/>
      <c r="W115" s="30"/>
      <c r="X115" s="3"/>
      <c r="Y115" s="3"/>
      <c r="Z115" s="3"/>
      <c r="AA115" s="3"/>
      <c r="AB115" s="3"/>
      <c r="AC115" s="30"/>
      <c r="AD115" s="30"/>
      <c r="AE115" s="30"/>
      <c r="AF115" s="30"/>
      <c r="AG115" s="3"/>
      <c r="AH115" s="3"/>
      <c r="AI115" s="141"/>
      <c r="AJ115" s="141"/>
      <c r="AK115" s="141"/>
      <c r="AL115" s="141"/>
      <c r="AM115" s="141"/>
      <c r="AN115" s="141"/>
      <c r="AO115" s="141"/>
      <c r="AP115" s="29"/>
      <c r="AQ115" s="141"/>
      <c r="AR115" s="29"/>
      <c r="AS115" s="29"/>
      <c r="AT115" s="29"/>
      <c r="AU115" s="29"/>
      <c r="AV115" s="29"/>
      <c r="AW115" s="29"/>
      <c r="AX115" s="29"/>
      <c r="AY115" s="29"/>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5.75" customHeight="1">
      <c r="A116" s="30"/>
      <c r="B116" s="30"/>
      <c r="C116" s="350"/>
      <c r="D116" s="30"/>
      <c r="E116" s="30"/>
      <c r="F116" s="30"/>
      <c r="G116" s="31"/>
      <c r="H116" s="31"/>
      <c r="I116" s="30"/>
      <c r="J116" s="30"/>
      <c r="K116" s="30"/>
      <c r="L116" s="31"/>
      <c r="M116" s="30"/>
      <c r="N116" s="30"/>
      <c r="O116" s="30"/>
      <c r="P116" s="30"/>
      <c r="Q116" s="30"/>
      <c r="R116" s="30"/>
      <c r="S116" s="30"/>
      <c r="T116" s="30"/>
      <c r="U116" s="30"/>
      <c r="V116" s="30"/>
      <c r="W116" s="30"/>
      <c r="X116" s="3"/>
      <c r="Y116" s="3"/>
      <c r="Z116" s="3"/>
      <c r="AA116" s="3"/>
      <c r="AB116" s="3"/>
      <c r="AC116" s="30"/>
      <c r="AD116" s="30"/>
      <c r="AE116" s="30"/>
      <c r="AF116" s="30"/>
      <c r="AG116" s="3"/>
      <c r="AH116" s="3"/>
      <c r="AI116" s="141"/>
      <c r="AJ116" s="141"/>
      <c r="AK116" s="141"/>
      <c r="AL116" s="141"/>
      <c r="AM116" s="141"/>
      <c r="AN116" s="141"/>
      <c r="AO116" s="141"/>
      <c r="AP116" s="29"/>
      <c r="AQ116" s="141"/>
      <c r="AR116" s="29"/>
      <c r="AS116" s="29"/>
      <c r="AT116" s="29"/>
      <c r="AU116" s="29"/>
      <c r="AV116" s="29"/>
      <c r="AW116" s="29"/>
      <c r="AX116" s="29"/>
      <c r="AY116" s="29"/>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5.75" customHeight="1">
      <c r="A117" s="30"/>
      <c r="B117" s="30"/>
      <c r="C117" s="350"/>
      <c r="D117" s="30"/>
      <c r="E117" s="30"/>
      <c r="F117" s="30"/>
      <c r="G117" s="31"/>
      <c r="H117" s="31"/>
      <c r="I117" s="30"/>
      <c r="J117" s="30"/>
      <c r="K117" s="30"/>
      <c r="L117" s="31"/>
      <c r="M117" s="30"/>
      <c r="N117" s="30"/>
      <c r="O117" s="30"/>
      <c r="P117" s="30"/>
      <c r="Q117" s="30"/>
      <c r="R117" s="30"/>
      <c r="S117" s="30"/>
      <c r="T117" s="30"/>
      <c r="U117" s="30"/>
      <c r="V117" s="30"/>
      <c r="W117" s="30"/>
      <c r="X117" s="30"/>
      <c r="Y117" s="30"/>
      <c r="Z117" s="30"/>
      <c r="AA117" s="30"/>
      <c r="AB117" s="30"/>
      <c r="AC117" s="30"/>
      <c r="AD117" s="30"/>
      <c r="AE117" s="30"/>
      <c r="AF117" s="30"/>
      <c r="AG117" s="3"/>
      <c r="AH117" s="3"/>
      <c r="AI117" s="141"/>
      <c r="AJ117" s="141"/>
      <c r="AK117" s="141"/>
      <c r="AL117" s="141"/>
      <c r="AM117" s="141"/>
      <c r="AN117" s="141"/>
      <c r="AO117" s="141"/>
      <c r="AP117" s="29"/>
      <c r="AQ117" s="141"/>
      <c r="AR117" s="29"/>
      <c r="AS117" s="29"/>
      <c r="AT117" s="29"/>
      <c r="AU117" s="29"/>
      <c r="AV117" s="29"/>
      <c r="AW117" s="29"/>
      <c r="AX117" s="29"/>
      <c r="AY117" s="29"/>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5.75" customHeight="1">
      <c r="A118" s="30"/>
      <c r="B118" s="30"/>
      <c r="C118" s="350"/>
      <c r="D118" s="30"/>
      <c r="E118" s="30"/>
      <c r="F118" s="30"/>
      <c r="G118" s="31"/>
      <c r="H118" s="31"/>
      <c r="I118" s="30"/>
      <c r="J118" s="30"/>
      <c r="K118" s="30"/>
      <c r="L118" s="31"/>
      <c r="M118" s="30"/>
      <c r="N118" s="30"/>
      <c r="O118" s="30"/>
      <c r="P118" s="30"/>
      <c r="Q118" s="30"/>
      <c r="R118" s="30"/>
      <c r="S118" s="30"/>
      <c r="T118" s="30"/>
      <c r="U118" s="30"/>
      <c r="V118" s="30"/>
      <c r="W118" s="30"/>
      <c r="X118" s="30"/>
      <c r="Y118" s="30"/>
      <c r="Z118" s="30"/>
      <c r="AA118" s="30"/>
      <c r="AB118" s="30"/>
      <c r="AC118" s="30"/>
      <c r="AD118" s="30"/>
      <c r="AE118" s="30"/>
      <c r="AF118" s="30"/>
      <c r="AG118" s="3"/>
      <c r="AH118" s="3"/>
      <c r="AI118" s="141"/>
      <c r="AJ118" s="141"/>
      <c r="AK118" s="141"/>
      <c r="AL118" s="141"/>
      <c r="AM118" s="141"/>
      <c r="AN118" s="141"/>
      <c r="AO118" s="141"/>
      <c r="AP118" s="29"/>
      <c r="AQ118" s="141"/>
      <c r="AR118" s="29"/>
      <c r="AS118" s="29"/>
      <c r="AT118" s="29"/>
      <c r="AU118" s="29"/>
      <c r="AV118" s="29"/>
      <c r="AW118" s="29"/>
      <c r="AX118" s="29"/>
      <c r="AY118" s="29"/>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5.75" customHeight="1">
      <c r="A119" s="30"/>
      <c r="B119" s="30"/>
      <c r="C119" s="350"/>
      <c r="D119" s="30"/>
      <c r="E119" s="30"/>
      <c r="F119" s="30"/>
      <c r="G119" s="31"/>
      <c r="H119" s="31"/>
      <c r="I119" s="30"/>
      <c r="J119" s="30"/>
      <c r="K119" s="30"/>
      <c r="L119" s="31"/>
      <c r="M119" s="30"/>
      <c r="N119" s="30"/>
      <c r="O119" s="30"/>
      <c r="P119" s="30"/>
      <c r="Q119" s="30"/>
      <c r="R119" s="30"/>
      <c r="S119" s="30"/>
      <c r="T119" s="30"/>
      <c r="U119" s="30"/>
      <c r="V119" s="30"/>
      <c r="W119" s="30"/>
      <c r="X119" s="30"/>
      <c r="Y119" s="30"/>
      <c r="Z119" s="30"/>
      <c r="AA119" s="30"/>
      <c r="AB119" s="30"/>
      <c r="AC119" s="30"/>
      <c r="AD119" s="30"/>
      <c r="AE119" s="30"/>
      <c r="AF119" s="30"/>
      <c r="AG119" s="3"/>
      <c r="AH119" s="3"/>
      <c r="AI119" s="141"/>
      <c r="AJ119" s="141"/>
      <c r="AK119" s="141"/>
      <c r="AL119" s="141"/>
      <c r="AM119" s="141"/>
      <c r="AN119" s="141"/>
      <c r="AO119" s="141"/>
      <c r="AP119" s="29"/>
      <c r="AQ119" s="141"/>
      <c r="AR119" s="29"/>
      <c r="AS119" s="29"/>
      <c r="AT119" s="29"/>
      <c r="AU119" s="29"/>
      <c r="AV119" s="29"/>
      <c r="AW119" s="29"/>
      <c r="AX119" s="29"/>
      <c r="AY119" s="29"/>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5.75" customHeight="1">
      <c r="A120" s="30"/>
      <c r="B120" s="30"/>
      <c r="C120" s="350"/>
      <c r="D120" s="30"/>
      <c r="E120" s="30"/>
      <c r="F120" s="30"/>
      <c r="G120" s="31"/>
      <c r="H120" s="31"/>
      <c r="I120" s="30"/>
      <c r="J120" s="30"/>
      <c r="K120" s="30"/>
      <c r="L120" s="31"/>
      <c r="M120" s="30"/>
      <c r="N120" s="30"/>
      <c r="O120" s="30"/>
      <c r="P120" s="30"/>
      <c r="Q120" s="30"/>
      <c r="R120" s="30"/>
      <c r="S120" s="30"/>
      <c r="T120" s="30"/>
      <c r="U120" s="30"/>
      <c r="V120" s="30"/>
      <c r="W120" s="30"/>
      <c r="X120" s="30"/>
      <c r="Y120" s="30"/>
      <c r="Z120" s="30"/>
      <c r="AA120" s="30"/>
      <c r="AB120" s="30"/>
      <c r="AC120" s="30"/>
      <c r="AD120" s="30"/>
      <c r="AE120" s="30"/>
      <c r="AF120" s="30"/>
      <c r="AG120" s="3"/>
      <c r="AH120" s="3"/>
      <c r="AI120" s="141"/>
      <c r="AJ120" s="141"/>
      <c r="AK120" s="141"/>
      <c r="AL120" s="141"/>
      <c r="AM120" s="141"/>
      <c r="AN120" s="141"/>
      <c r="AO120" s="141"/>
      <c r="AP120" s="29"/>
      <c r="AQ120" s="141"/>
      <c r="AR120" s="29"/>
      <c r="AS120" s="141"/>
      <c r="AT120" s="29"/>
      <c r="AU120" s="141"/>
      <c r="AV120" s="29"/>
      <c r="AW120" s="144"/>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5.75" customHeight="1">
      <c r="A121" s="30"/>
      <c r="B121" s="30"/>
      <c r="C121" s="350"/>
      <c r="D121" s="30"/>
      <c r="E121" s="30"/>
      <c r="F121" s="30"/>
      <c r="G121" s="31"/>
      <c r="H121" s="31"/>
      <c r="I121" s="30"/>
      <c r="J121" s="30"/>
      <c r="K121" s="30"/>
      <c r="L121" s="31"/>
      <c r="M121" s="30"/>
      <c r="N121" s="30"/>
      <c r="O121" s="30"/>
      <c r="P121" s="30"/>
      <c r="Q121" s="30"/>
      <c r="R121" s="30"/>
      <c r="S121" s="30"/>
      <c r="T121" s="30"/>
      <c r="U121" s="30"/>
      <c r="V121" s="30"/>
      <c r="W121" s="30"/>
      <c r="X121" s="30"/>
      <c r="Y121" s="30"/>
      <c r="Z121" s="30"/>
      <c r="AA121" s="30"/>
      <c r="AB121" s="30"/>
      <c r="AC121" s="30"/>
      <c r="AD121" s="30"/>
      <c r="AE121" s="30"/>
      <c r="AF121" s="30"/>
      <c r="AG121" s="3"/>
      <c r="AH121" s="3"/>
      <c r="AI121" s="141"/>
      <c r="AJ121" s="141"/>
      <c r="AK121" s="141"/>
      <c r="AL121" s="141"/>
      <c r="AM121" s="141"/>
      <c r="AN121" s="141"/>
      <c r="AO121" s="141"/>
      <c r="AP121" s="29"/>
      <c r="AQ121" s="141"/>
      <c r="AR121" s="29"/>
      <c r="AS121" s="141"/>
      <c r="AT121" s="29"/>
      <c r="AU121" s="141"/>
      <c r="AV121" s="29"/>
      <c r="AW121" s="144"/>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81" ht="15.75" customHeight="1">
      <c r="A122" s="30"/>
      <c r="B122" s="30"/>
      <c r="C122" s="350"/>
      <c r="D122" s="30"/>
      <c r="E122" s="30"/>
      <c r="F122" s="30"/>
      <c r="G122" s="31"/>
      <c r="H122" s="31"/>
      <c r="I122" s="30"/>
      <c r="J122" s="30"/>
      <c r="K122" s="30"/>
      <c r="L122" s="31"/>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row>
    <row r="123" spans="1:81" ht="15.75" customHeight="1">
      <c r="A123" s="30"/>
      <c r="B123" s="30"/>
      <c r="C123" s="350"/>
      <c r="D123" s="30"/>
      <c r="E123" s="30"/>
      <c r="F123" s="30"/>
      <c r="G123" s="31"/>
      <c r="H123" s="31"/>
      <c r="I123" s="30"/>
      <c r="J123" s="30"/>
      <c r="K123" s="30"/>
      <c r="L123" s="31"/>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row>
    <row r="124" spans="1:81" ht="15.75" customHeight="1">
      <c r="A124" s="30"/>
      <c r="B124" s="30"/>
      <c r="C124" s="350"/>
      <c r="D124" s="30"/>
      <c r="E124" s="30"/>
      <c r="F124" s="30"/>
      <c r="G124" s="31"/>
      <c r="H124" s="31"/>
      <c r="I124" s="30"/>
      <c r="J124" s="30"/>
      <c r="K124" s="30"/>
      <c r="L124" s="31"/>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row>
    <row r="125" spans="1:81" ht="15.75" customHeight="1">
      <c r="A125" s="30"/>
      <c r="B125" s="30"/>
      <c r="C125" s="350"/>
      <c r="D125" s="30"/>
      <c r="E125" s="30"/>
      <c r="F125" s="30"/>
      <c r="G125" s="31"/>
      <c r="H125" s="31"/>
      <c r="I125" s="30"/>
      <c r="J125" s="30"/>
      <c r="K125" s="30"/>
      <c r="L125" s="31"/>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row>
    <row r="126" spans="1:81" ht="15.75" customHeight="1">
      <c r="A126" s="30"/>
      <c r="B126" s="30"/>
      <c r="C126" s="350"/>
      <c r="D126" s="30"/>
      <c r="E126" s="30"/>
      <c r="F126" s="30"/>
      <c r="G126" s="31"/>
      <c r="H126" s="31"/>
      <c r="I126" s="30"/>
      <c r="J126" s="30"/>
      <c r="K126" s="30"/>
      <c r="L126" s="31"/>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row>
    <row r="127" spans="1:81" ht="15.75" customHeight="1">
      <c r="A127" s="30"/>
      <c r="B127" s="30"/>
      <c r="C127" s="350"/>
      <c r="D127" s="30"/>
      <c r="E127" s="30"/>
      <c r="F127" s="30"/>
      <c r="G127" s="31"/>
      <c r="H127" s="31"/>
      <c r="I127" s="30"/>
      <c r="J127" s="30"/>
      <c r="K127" s="30"/>
      <c r="L127" s="31"/>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row>
    <row r="128" spans="1:81" ht="15.75" customHeight="1">
      <c r="A128" s="30"/>
      <c r="B128" s="30"/>
      <c r="C128" s="350"/>
      <c r="D128" s="30"/>
      <c r="E128" s="30"/>
      <c r="F128" s="30"/>
      <c r="G128" s="31"/>
      <c r="H128" s="31"/>
      <c r="I128" s="30"/>
      <c r="J128" s="30"/>
      <c r="K128" s="30"/>
      <c r="L128" s="31"/>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row>
    <row r="129" spans="1:81" ht="15.75" customHeight="1">
      <c r="A129" s="30"/>
      <c r="B129" s="30"/>
      <c r="C129" s="350"/>
      <c r="D129" s="30"/>
      <c r="E129" s="30"/>
      <c r="F129" s="30"/>
      <c r="G129" s="31"/>
      <c r="H129" s="31"/>
      <c r="I129" s="30"/>
      <c r="J129" s="30"/>
      <c r="K129" s="30"/>
      <c r="L129" s="31"/>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row>
    <row r="130" spans="1:81" ht="15.75" customHeight="1">
      <c r="A130" s="30"/>
      <c r="B130" s="30"/>
      <c r="C130" s="350"/>
      <c r="D130" s="30"/>
      <c r="E130" s="30"/>
      <c r="F130" s="30"/>
      <c r="G130" s="31"/>
      <c r="H130" s="31"/>
      <c r="I130" s="30"/>
      <c r="J130" s="30"/>
      <c r="K130" s="30"/>
      <c r="L130" s="31"/>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row>
    <row r="131" spans="1:81" ht="15.75" customHeight="1">
      <c r="A131" s="30"/>
      <c r="B131" s="30"/>
      <c r="C131" s="350"/>
      <c r="D131" s="30"/>
      <c r="E131" s="30"/>
      <c r="F131" s="30"/>
      <c r="G131" s="31"/>
      <c r="H131" s="31"/>
      <c r="I131" s="30"/>
      <c r="J131" s="30"/>
      <c r="K131" s="30"/>
      <c r="L131" s="31"/>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row>
    <row r="132" spans="1:81" ht="15.75" customHeight="1">
      <c r="A132" s="30"/>
      <c r="B132" s="30"/>
      <c r="C132" s="350"/>
      <c r="D132" s="30"/>
      <c r="E132" s="30"/>
      <c r="F132" s="30"/>
      <c r="G132" s="31"/>
      <c r="H132" s="31"/>
      <c r="I132" s="30"/>
      <c r="J132" s="30"/>
      <c r="K132" s="30"/>
      <c r="L132" s="31"/>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row>
    <row r="133" spans="1:81" ht="15.75" customHeight="1">
      <c r="A133" s="30"/>
      <c r="B133" s="30"/>
      <c r="C133" s="350"/>
      <c r="D133" s="30"/>
      <c r="E133" s="30"/>
      <c r="F133" s="30"/>
      <c r="G133" s="31"/>
      <c r="H133" s="31"/>
      <c r="I133" s="30"/>
      <c r="J133" s="30"/>
      <c r="K133" s="30"/>
      <c r="L133" s="31"/>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row>
    <row r="134" spans="1:81" ht="15.75" customHeight="1">
      <c r="A134" s="30"/>
      <c r="B134" s="30"/>
      <c r="C134" s="350"/>
      <c r="D134" s="30"/>
      <c r="E134" s="30"/>
      <c r="F134" s="30"/>
      <c r="G134" s="31"/>
      <c r="H134" s="31"/>
      <c r="I134" s="30"/>
      <c r="J134" s="30"/>
      <c r="K134" s="30"/>
      <c r="L134" s="31"/>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row>
    <row r="135" spans="1:81" ht="15.75" customHeight="1">
      <c r="A135" s="30"/>
      <c r="B135" s="30"/>
      <c r="C135" s="350"/>
      <c r="D135" s="30"/>
      <c r="E135" s="30"/>
      <c r="F135" s="30"/>
      <c r="G135" s="31"/>
      <c r="H135" s="31"/>
      <c r="I135" s="30"/>
      <c r="J135" s="30"/>
      <c r="K135" s="30"/>
      <c r="L135" s="31"/>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row>
    <row r="136" spans="1:81" ht="15.75" customHeight="1">
      <c r="A136" s="30"/>
      <c r="B136" s="30"/>
      <c r="C136" s="350"/>
      <c r="D136" s="30"/>
      <c r="E136" s="30"/>
      <c r="F136" s="30"/>
      <c r="G136" s="31"/>
      <c r="H136" s="31"/>
      <c r="I136" s="30"/>
      <c r="J136" s="30"/>
      <c r="K136" s="30"/>
      <c r="L136" s="31"/>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row>
    <row r="137" spans="1:81" ht="15.75" customHeight="1">
      <c r="A137" s="30"/>
      <c r="B137" s="30"/>
      <c r="C137" s="350"/>
      <c r="D137" s="30"/>
      <c r="E137" s="30"/>
      <c r="F137" s="30"/>
      <c r="G137" s="31"/>
      <c r="H137" s="31"/>
      <c r="I137" s="30"/>
      <c r="J137" s="30"/>
      <c r="K137" s="30"/>
      <c r="L137" s="31"/>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row>
    <row r="138" spans="1:81" ht="15.75" customHeight="1">
      <c r="A138" s="30"/>
      <c r="B138" s="30"/>
      <c r="C138" s="350"/>
      <c r="D138" s="30"/>
      <c r="E138" s="30"/>
      <c r="F138" s="30"/>
      <c r="G138" s="31"/>
      <c r="H138" s="31"/>
      <c r="I138" s="30"/>
      <c r="J138" s="30"/>
      <c r="K138" s="30"/>
      <c r="L138" s="31"/>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row>
    <row r="139" spans="1:81" ht="15.75" customHeight="1">
      <c r="A139" s="30"/>
      <c r="B139" s="30"/>
      <c r="C139" s="350"/>
      <c r="D139" s="30"/>
      <c r="E139" s="30"/>
      <c r="F139" s="30"/>
      <c r="G139" s="31"/>
      <c r="H139" s="31"/>
      <c r="I139" s="30"/>
      <c r="J139" s="30"/>
      <c r="K139" s="30"/>
      <c r="L139" s="31"/>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row>
    <row r="140" spans="1:81" ht="15.75" customHeight="1">
      <c r="A140" s="30"/>
      <c r="B140" s="30"/>
      <c r="C140" s="350"/>
      <c r="D140" s="30"/>
      <c r="E140" s="30"/>
      <c r="F140" s="30"/>
      <c r="G140" s="31"/>
      <c r="H140" s="31"/>
      <c r="I140" s="30"/>
      <c r="J140" s="30"/>
      <c r="K140" s="30"/>
      <c r="L140" s="31"/>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row>
    <row r="141" spans="1:81" ht="15.75" customHeight="1">
      <c r="A141" s="30"/>
      <c r="B141" s="30"/>
      <c r="C141" s="350"/>
      <c r="D141" s="30"/>
      <c r="E141" s="30"/>
      <c r="F141" s="30"/>
      <c r="G141" s="31"/>
      <c r="H141" s="31"/>
      <c r="I141" s="30"/>
      <c r="J141" s="30"/>
      <c r="K141" s="30"/>
      <c r="L141" s="31"/>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row>
    <row r="142" spans="1:81" ht="15.75" customHeight="1">
      <c r="A142" s="30"/>
      <c r="B142" s="30"/>
      <c r="C142" s="350"/>
      <c r="D142" s="30"/>
      <c r="E142" s="30"/>
      <c r="F142" s="30"/>
      <c r="G142" s="31"/>
      <c r="H142" s="31"/>
      <c r="I142" s="30"/>
      <c r="J142" s="30"/>
      <c r="K142" s="30"/>
      <c r="L142" s="31"/>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row>
    <row r="143" spans="1:81" ht="15.75" customHeight="1">
      <c r="A143" s="30"/>
      <c r="B143" s="30"/>
      <c r="C143" s="350"/>
      <c r="D143" s="30"/>
      <c r="E143" s="30"/>
      <c r="F143" s="30"/>
      <c r="G143" s="31"/>
      <c r="H143" s="31"/>
      <c r="I143" s="30"/>
      <c r="J143" s="30"/>
      <c r="K143" s="30"/>
      <c r="L143" s="31"/>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row>
    <row r="144" spans="1:81" ht="15.75" customHeight="1">
      <c r="A144" s="30"/>
      <c r="B144" s="30"/>
      <c r="C144" s="350"/>
      <c r="D144" s="30"/>
      <c r="E144" s="30"/>
      <c r="F144" s="30"/>
      <c r="G144" s="31"/>
      <c r="H144" s="31"/>
      <c r="I144" s="30"/>
      <c r="J144" s="30"/>
      <c r="K144" s="30"/>
      <c r="L144" s="31"/>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row>
    <row r="145" spans="1:81" ht="15.75" customHeight="1">
      <c r="A145" s="30"/>
      <c r="B145" s="30"/>
      <c r="C145" s="350"/>
      <c r="D145" s="30"/>
      <c r="E145" s="30"/>
      <c r="F145" s="30"/>
      <c r="G145" s="31"/>
      <c r="H145" s="31"/>
      <c r="I145" s="30"/>
      <c r="J145" s="30"/>
      <c r="K145" s="30"/>
      <c r="L145" s="31"/>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row>
    <row r="146" spans="1:81" ht="15.75" customHeight="1">
      <c r="A146" s="30"/>
      <c r="B146" s="30"/>
      <c r="C146" s="350"/>
      <c r="D146" s="30"/>
      <c r="E146" s="30"/>
      <c r="F146" s="30"/>
      <c r="G146" s="31"/>
      <c r="H146" s="31"/>
      <c r="I146" s="30"/>
      <c r="J146" s="30"/>
      <c r="K146" s="30"/>
      <c r="L146" s="31"/>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row>
    <row r="147" spans="1:81" ht="15.75" customHeight="1">
      <c r="A147" s="30"/>
      <c r="B147" s="30"/>
      <c r="C147" s="350"/>
      <c r="D147" s="30"/>
      <c r="E147" s="30"/>
      <c r="F147" s="30"/>
      <c r="G147" s="31"/>
      <c r="H147" s="31"/>
      <c r="I147" s="30"/>
      <c r="J147" s="30"/>
      <c r="K147" s="30"/>
      <c r="L147" s="31"/>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row>
    <row r="148" spans="1:81" ht="15.75" customHeight="1">
      <c r="A148" s="30"/>
      <c r="B148" s="30"/>
      <c r="C148" s="350"/>
      <c r="D148" s="30"/>
      <c r="E148" s="30"/>
      <c r="F148" s="30"/>
      <c r="G148" s="31"/>
      <c r="H148" s="31"/>
      <c r="I148" s="30"/>
      <c r="J148" s="30"/>
      <c r="K148" s="30"/>
      <c r="L148" s="31"/>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row>
    <row r="149" spans="1:81" ht="15.75" customHeight="1">
      <c r="A149" s="30"/>
      <c r="B149" s="30"/>
      <c r="C149" s="350"/>
      <c r="D149" s="30"/>
      <c r="E149" s="30"/>
      <c r="F149" s="30"/>
      <c r="G149" s="31"/>
      <c r="H149" s="31"/>
      <c r="I149" s="30"/>
      <c r="J149" s="30"/>
      <c r="K149" s="30"/>
      <c r="L149" s="31"/>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row>
    <row r="150" spans="1:81" ht="15.75" customHeight="1">
      <c r="A150" s="30"/>
      <c r="B150" s="30"/>
      <c r="C150" s="350"/>
      <c r="D150" s="30"/>
      <c r="E150" s="30"/>
      <c r="F150" s="30"/>
      <c r="G150" s="31"/>
      <c r="H150" s="31"/>
      <c r="I150" s="30"/>
      <c r="J150" s="30"/>
      <c r="K150" s="30"/>
      <c r="L150" s="31"/>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row>
    <row r="151" spans="1:81" ht="15.75" customHeight="1">
      <c r="A151" s="30"/>
      <c r="B151" s="30"/>
      <c r="C151" s="350"/>
      <c r="D151" s="30"/>
      <c r="E151" s="30"/>
      <c r="F151" s="30"/>
      <c r="G151" s="31"/>
      <c r="H151" s="31"/>
      <c r="I151" s="30"/>
      <c r="J151" s="30"/>
      <c r="K151" s="30"/>
      <c r="L151" s="31"/>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row>
    <row r="152" spans="1:81" ht="15.75" customHeight="1">
      <c r="A152" s="30"/>
      <c r="B152" s="30"/>
      <c r="C152" s="350"/>
      <c r="D152" s="30"/>
      <c r="E152" s="30"/>
      <c r="F152" s="30"/>
      <c r="G152" s="31"/>
      <c r="H152" s="31"/>
      <c r="I152" s="30"/>
      <c r="J152" s="30"/>
      <c r="K152" s="30"/>
      <c r="L152" s="31"/>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row>
    <row r="153" spans="1:81" ht="15.75" customHeight="1">
      <c r="A153" s="30"/>
      <c r="B153" s="30"/>
      <c r="C153" s="350"/>
      <c r="D153" s="30"/>
      <c r="E153" s="30"/>
      <c r="F153" s="30"/>
      <c r="G153" s="31"/>
      <c r="H153" s="31"/>
      <c r="I153" s="30"/>
      <c r="J153" s="30"/>
      <c r="K153" s="30"/>
      <c r="L153" s="31"/>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row>
    <row r="154" spans="1:81" ht="15.75" customHeight="1">
      <c r="A154" s="30"/>
      <c r="B154" s="30"/>
      <c r="C154" s="350"/>
      <c r="D154" s="30"/>
      <c r="E154" s="30"/>
      <c r="F154" s="30"/>
      <c r="G154" s="31"/>
      <c r="H154" s="31"/>
      <c r="I154" s="30"/>
      <c r="J154" s="30"/>
      <c r="K154" s="30"/>
      <c r="L154" s="31"/>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row>
    <row r="155" spans="1:81" ht="15.75" customHeight="1">
      <c r="A155" s="30"/>
      <c r="B155" s="30"/>
      <c r="C155" s="350"/>
      <c r="D155" s="30"/>
      <c r="E155" s="30"/>
      <c r="F155" s="30"/>
      <c r="G155" s="31"/>
      <c r="H155" s="31"/>
      <c r="I155" s="30"/>
      <c r="J155" s="30"/>
      <c r="K155" s="30"/>
      <c r="L155" s="31"/>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row>
    <row r="156" spans="1:81" ht="15.75" customHeight="1">
      <c r="A156" s="30"/>
      <c r="B156" s="30"/>
      <c r="C156" s="350"/>
      <c r="D156" s="30"/>
      <c r="E156" s="30"/>
      <c r="F156" s="30"/>
      <c r="G156" s="31"/>
      <c r="H156" s="31"/>
      <c r="I156" s="30"/>
      <c r="J156" s="30"/>
      <c r="K156" s="30"/>
      <c r="L156" s="31"/>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row>
    <row r="157" spans="1:81" ht="15.75" customHeight="1">
      <c r="A157" s="30"/>
      <c r="B157" s="30"/>
      <c r="C157" s="350"/>
      <c r="D157" s="30"/>
      <c r="E157" s="30"/>
      <c r="F157" s="30"/>
      <c r="G157" s="31"/>
      <c r="H157" s="31"/>
      <c r="I157" s="30"/>
      <c r="J157" s="30"/>
      <c r="K157" s="30"/>
      <c r="L157" s="31"/>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row>
    <row r="158" spans="1:81" ht="15.75" customHeight="1">
      <c r="A158" s="30"/>
      <c r="B158" s="30"/>
      <c r="C158" s="350"/>
      <c r="D158" s="30"/>
      <c r="E158" s="30"/>
      <c r="F158" s="30"/>
      <c r="G158" s="31"/>
      <c r="H158" s="31"/>
      <c r="I158" s="30"/>
      <c r="J158" s="30"/>
      <c r="K158" s="30"/>
      <c r="L158" s="31"/>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row>
    <row r="159" spans="1:81" ht="15.75" customHeight="1">
      <c r="A159" s="30"/>
      <c r="B159" s="30"/>
      <c r="C159" s="350"/>
      <c r="D159" s="30"/>
      <c r="E159" s="30"/>
      <c r="F159" s="30"/>
      <c r="G159" s="31"/>
      <c r="H159" s="31"/>
      <c r="I159" s="30"/>
      <c r="J159" s="30"/>
      <c r="K159" s="30"/>
      <c r="L159" s="31"/>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row>
    <row r="160" spans="1:81" ht="15.75" customHeight="1">
      <c r="A160" s="30"/>
      <c r="B160" s="30"/>
      <c r="C160" s="350"/>
      <c r="D160" s="30"/>
      <c r="E160" s="30"/>
      <c r="F160" s="30"/>
      <c r="G160" s="31"/>
      <c r="H160" s="31"/>
      <c r="I160" s="30"/>
      <c r="J160" s="30"/>
      <c r="K160" s="30"/>
      <c r="L160" s="31"/>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row>
    <row r="161" spans="1:81" ht="15.75" customHeight="1">
      <c r="A161" s="30"/>
      <c r="B161" s="30"/>
      <c r="C161" s="350"/>
      <c r="D161" s="30"/>
      <c r="E161" s="30"/>
      <c r="F161" s="30"/>
      <c r="G161" s="31"/>
      <c r="H161" s="31"/>
      <c r="I161" s="30"/>
      <c r="J161" s="30"/>
      <c r="K161" s="30"/>
      <c r="L161" s="31"/>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row>
    <row r="162" spans="1:81" ht="15.75" customHeight="1">
      <c r="A162" s="30"/>
      <c r="B162" s="30"/>
      <c r="C162" s="350"/>
      <c r="D162" s="30"/>
      <c r="E162" s="30"/>
      <c r="F162" s="30"/>
      <c r="G162" s="31"/>
      <c r="H162" s="31"/>
      <c r="I162" s="30"/>
      <c r="J162" s="30"/>
      <c r="K162" s="30"/>
      <c r="L162" s="31"/>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row>
    <row r="163" spans="1:81" ht="15.75" customHeight="1">
      <c r="A163" s="30"/>
      <c r="B163" s="30"/>
      <c r="C163" s="350"/>
      <c r="D163" s="30"/>
      <c r="E163" s="30"/>
      <c r="F163" s="30"/>
      <c r="G163" s="31"/>
      <c r="H163" s="31"/>
      <c r="I163" s="30"/>
      <c r="J163" s="30"/>
      <c r="K163" s="30"/>
      <c r="L163" s="31"/>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row>
    <row r="164" spans="1:81" ht="15.75" customHeight="1">
      <c r="A164" s="30"/>
      <c r="B164" s="30"/>
      <c r="C164" s="350"/>
      <c r="D164" s="30"/>
      <c r="E164" s="30"/>
      <c r="F164" s="30"/>
      <c r="G164" s="31"/>
      <c r="H164" s="31"/>
      <c r="I164" s="30"/>
      <c r="J164" s="30"/>
      <c r="K164" s="30"/>
      <c r="L164" s="31"/>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row>
    <row r="165" spans="1:81" ht="15.75" customHeight="1">
      <c r="A165" s="30"/>
      <c r="B165" s="30"/>
      <c r="C165" s="350"/>
      <c r="D165" s="30"/>
      <c r="E165" s="30"/>
      <c r="F165" s="30"/>
      <c r="G165" s="31"/>
      <c r="H165" s="31"/>
      <c r="I165" s="30"/>
      <c r="J165" s="30"/>
      <c r="K165" s="30"/>
      <c r="L165" s="31"/>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row>
    <row r="166" spans="1:81" ht="15.75" customHeight="1">
      <c r="A166" s="30"/>
      <c r="B166" s="30"/>
      <c r="C166" s="350"/>
      <c r="D166" s="30"/>
      <c r="E166" s="30"/>
      <c r="F166" s="30"/>
      <c r="G166" s="31"/>
      <c r="H166" s="31"/>
      <c r="I166" s="30"/>
      <c r="J166" s="30"/>
      <c r="K166" s="30"/>
      <c r="L166" s="31"/>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row>
    <row r="167" spans="1:81" ht="15.75" customHeight="1">
      <c r="A167" s="30"/>
      <c r="B167" s="30"/>
      <c r="C167" s="350"/>
      <c r="D167" s="30"/>
      <c r="E167" s="30"/>
      <c r="F167" s="30"/>
      <c r="G167" s="31"/>
      <c r="H167" s="31"/>
      <c r="I167" s="30"/>
      <c r="J167" s="30"/>
      <c r="K167" s="30"/>
      <c r="L167" s="31"/>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row>
    <row r="168" spans="1:81" ht="15.75" customHeight="1">
      <c r="A168" s="30"/>
      <c r="B168" s="30"/>
      <c r="C168" s="350"/>
      <c r="D168" s="30"/>
      <c r="E168" s="30"/>
      <c r="F168" s="30"/>
      <c r="G168" s="31"/>
      <c r="H168" s="31"/>
      <c r="I168" s="30"/>
      <c r="J168" s="30"/>
      <c r="K168" s="30"/>
      <c r="L168" s="31"/>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row>
    <row r="169" spans="1:81" ht="15.75" customHeight="1">
      <c r="A169" s="30"/>
      <c r="B169" s="30"/>
      <c r="C169" s="350"/>
      <c r="D169" s="30"/>
      <c r="E169" s="30"/>
      <c r="F169" s="30"/>
      <c r="G169" s="31"/>
      <c r="H169" s="31"/>
      <c r="I169" s="30"/>
      <c r="J169" s="30"/>
      <c r="K169" s="30"/>
      <c r="L169" s="31"/>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row>
    <row r="170" spans="1:81" ht="15.75" customHeight="1">
      <c r="A170" s="30"/>
      <c r="B170" s="30"/>
      <c r="C170" s="350"/>
      <c r="D170" s="30"/>
      <c r="E170" s="30"/>
      <c r="F170" s="30"/>
      <c r="G170" s="31"/>
      <c r="H170" s="31"/>
      <c r="I170" s="30"/>
      <c r="J170" s="30"/>
      <c r="K170" s="30"/>
      <c r="L170" s="31"/>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row>
    <row r="171" spans="1:81" ht="15.75" customHeight="1">
      <c r="A171" s="30"/>
      <c r="B171" s="30"/>
      <c r="C171" s="350"/>
      <c r="D171" s="30"/>
      <c r="E171" s="30"/>
      <c r="F171" s="30"/>
      <c r="G171" s="31"/>
      <c r="H171" s="31"/>
      <c r="I171" s="30"/>
      <c r="J171" s="30"/>
      <c r="K171" s="30"/>
      <c r="L171" s="31"/>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row>
    <row r="172" spans="1:81" ht="15.75" customHeight="1">
      <c r="A172" s="30"/>
      <c r="B172" s="30"/>
      <c r="C172" s="350"/>
      <c r="D172" s="30"/>
      <c r="E172" s="30"/>
      <c r="F172" s="30"/>
      <c r="G172" s="31"/>
      <c r="H172" s="31"/>
      <c r="I172" s="30"/>
      <c r="J172" s="30"/>
      <c r="K172" s="30"/>
      <c r="L172" s="31"/>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row>
    <row r="173" spans="1:81" ht="15.75" customHeight="1">
      <c r="A173" s="30"/>
      <c r="B173" s="30"/>
      <c r="C173" s="350"/>
      <c r="D173" s="30"/>
      <c r="E173" s="30"/>
      <c r="F173" s="30"/>
      <c r="G173" s="31"/>
      <c r="H173" s="31"/>
      <c r="I173" s="30"/>
      <c r="J173" s="30"/>
      <c r="K173" s="30"/>
      <c r="L173" s="31"/>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row>
    <row r="174" spans="1:81" ht="15.75" customHeight="1">
      <c r="A174" s="30"/>
      <c r="B174" s="30"/>
      <c r="C174" s="350"/>
      <c r="D174" s="30"/>
      <c r="E174" s="30"/>
      <c r="F174" s="30"/>
      <c r="G174" s="31"/>
      <c r="H174" s="31"/>
      <c r="I174" s="30"/>
      <c r="J174" s="30"/>
      <c r="K174" s="30"/>
      <c r="L174" s="31"/>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row>
    <row r="175" spans="1:81" ht="15.75" customHeight="1">
      <c r="A175" s="30"/>
      <c r="B175" s="30"/>
      <c r="C175" s="350"/>
      <c r="D175" s="30"/>
      <c r="E175" s="30"/>
      <c r="F175" s="30"/>
      <c r="G175" s="31"/>
      <c r="H175" s="31"/>
      <c r="I175" s="30"/>
      <c r="J175" s="30"/>
      <c r="K175" s="30"/>
      <c r="L175" s="31"/>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row>
    <row r="176" spans="1:81" ht="15.75" customHeight="1">
      <c r="A176" s="30"/>
      <c r="B176" s="30"/>
      <c r="C176" s="350"/>
      <c r="D176" s="30"/>
      <c r="E176" s="30"/>
      <c r="F176" s="30"/>
      <c r="G176" s="31"/>
      <c r="H176" s="31"/>
      <c r="I176" s="30"/>
      <c r="J176" s="30"/>
      <c r="K176" s="30"/>
      <c r="L176" s="31"/>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row>
    <row r="177" spans="1:81" ht="15.75" customHeight="1">
      <c r="A177" s="30"/>
      <c r="B177" s="30"/>
      <c r="C177" s="350"/>
      <c r="D177" s="30"/>
      <c r="E177" s="30"/>
      <c r="F177" s="30"/>
      <c r="G177" s="31"/>
      <c r="H177" s="31"/>
      <c r="I177" s="30"/>
      <c r="J177" s="30"/>
      <c r="K177" s="30"/>
      <c r="L177" s="31"/>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row>
    <row r="178" spans="1:81" ht="15.75" customHeight="1">
      <c r="A178" s="30"/>
      <c r="B178" s="30"/>
      <c r="C178" s="350"/>
      <c r="D178" s="30"/>
      <c r="E178" s="30"/>
      <c r="F178" s="30"/>
      <c r="G178" s="31"/>
      <c r="H178" s="31"/>
      <c r="I178" s="30"/>
      <c r="J178" s="30"/>
      <c r="K178" s="30"/>
      <c r="L178" s="31"/>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row>
    <row r="179" spans="1:81" ht="15.75" customHeight="1">
      <c r="A179" s="30"/>
      <c r="B179" s="30"/>
      <c r="C179" s="350"/>
      <c r="D179" s="30"/>
      <c r="E179" s="30"/>
      <c r="F179" s="30"/>
      <c r="G179" s="31"/>
      <c r="H179" s="31"/>
      <c r="I179" s="30"/>
      <c r="J179" s="30"/>
      <c r="K179" s="30"/>
      <c r="L179" s="31"/>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row>
    <row r="180" spans="1:81" ht="15.75" customHeight="1">
      <c r="A180" s="30"/>
      <c r="B180" s="30"/>
      <c r="C180" s="350"/>
      <c r="D180" s="30"/>
      <c r="E180" s="30"/>
      <c r="F180" s="30"/>
      <c r="G180" s="31"/>
      <c r="H180" s="31"/>
      <c r="I180" s="30"/>
      <c r="J180" s="30"/>
      <c r="K180" s="30"/>
      <c r="L180" s="31"/>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row>
    <row r="181" spans="1:81" ht="15.75" customHeight="1">
      <c r="A181" s="30"/>
      <c r="B181" s="30"/>
      <c r="C181" s="350"/>
      <c r="D181" s="30"/>
      <c r="E181" s="30"/>
      <c r="F181" s="30"/>
      <c r="G181" s="31"/>
      <c r="H181" s="31"/>
      <c r="I181" s="30"/>
      <c r="J181" s="30"/>
      <c r="K181" s="30"/>
      <c r="L181" s="31"/>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row>
    <row r="182" spans="1:81" ht="15.75" customHeight="1">
      <c r="A182" s="30"/>
      <c r="B182" s="30"/>
      <c r="C182" s="350"/>
      <c r="D182" s="30"/>
      <c r="E182" s="30"/>
      <c r="F182" s="30"/>
      <c r="G182" s="31"/>
      <c r="H182" s="31"/>
      <c r="I182" s="30"/>
      <c r="J182" s="30"/>
      <c r="K182" s="30"/>
      <c r="L182" s="31"/>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row>
    <row r="183" spans="1:81" ht="15.75" customHeight="1">
      <c r="A183" s="30"/>
      <c r="B183" s="30"/>
      <c r="C183" s="350"/>
      <c r="D183" s="30"/>
      <c r="E183" s="30"/>
      <c r="F183" s="30"/>
      <c r="G183" s="31"/>
      <c r="H183" s="31"/>
      <c r="I183" s="30"/>
      <c r="J183" s="30"/>
      <c r="K183" s="30"/>
      <c r="L183" s="31"/>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row>
    <row r="184" spans="1:81" ht="15.75" customHeight="1">
      <c r="A184" s="30"/>
      <c r="B184" s="30"/>
      <c r="C184" s="350"/>
      <c r="D184" s="30"/>
      <c r="E184" s="30"/>
      <c r="F184" s="30"/>
      <c r="G184" s="31"/>
      <c r="H184" s="31"/>
      <c r="I184" s="30"/>
      <c r="J184" s="30"/>
      <c r="K184" s="30"/>
      <c r="L184" s="31"/>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row>
    <row r="185" spans="1:81" ht="15.75" customHeight="1">
      <c r="A185" s="30"/>
      <c r="B185" s="30"/>
      <c r="C185" s="350"/>
      <c r="D185" s="30"/>
      <c r="E185" s="30"/>
      <c r="F185" s="30"/>
      <c r="G185" s="31"/>
      <c r="H185" s="31"/>
      <c r="I185" s="30"/>
      <c r="J185" s="30"/>
      <c r="K185" s="30"/>
      <c r="L185" s="31"/>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row>
    <row r="186" spans="1:81" ht="15.75" customHeight="1">
      <c r="A186" s="30"/>
      <c r="B186" s="30"/>
      <c r="C186" s="350"/>
      <c r="D186" s="30"/>
      <c r="E186" s="30"/>
      <c r="F186" s="30"/>
      <c r="G186" s="31"/>
      <c r="H186" s="31"/>
      <c r="I186" s="30"/>
      <c r="J186" s="30"/>
      <c r="K186" s="30"/>
      <c r="L186" s="31"/>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row>
    <row r="187" spans="1:81" ht="15.75" customHeight="1">
      <c r="A187" s="30"/>
      <c r="B187" s="30"/>
      <c r="C187" s="350"/>
      <c r="D187" s="30"/>
      <c r="E187" s="30"/>
      <c r="F187" s="30"/>
      <c r="G187" s="31"/>
      <c r="H187" s="31"/>
      <c r="I187" s="30"/>
      <c r="J187" s="30"/>
      <c r="K187" s="30"/>
      <c r="L187" s="31"/>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row>
    <row r="188" spans="1:81" ht="15.75" customHeight="1">
      <c r="A188" s="30"/>
      <c r="B188" s="30"/>
      <c r="C188" s="350"/>
      <c r="D188" s="30"/>
      <c r="E188" s="30"/>
      <c r="F188" s="30"/>
      <c r="G188" s="31"/>
      <c r="H188" s="31"/>
      <c r="I188" s="30"/>
      <c r="J188" s="30"/>
      <c r="K188" s="30"/>
      <c r="L188" s="31"/>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row>
    <row r="189" spans="1:81" ht="15.75" customHeight="1">
      <c r="A189" s="30"/>
      <c r="B189" s="30"/>
      <c r="C189" s="350"/>
      <c r="D189" s="30"/>
      <c r="E189" s="30"/>
      <c r="F189" s="30"/>
      <c r="G189" s="31"/>
      <c r="H189" s="31"/>
      <c r="I189" s="30"/>
      <c r="J189" s="30"/>
      <c r="K189" s="30"/>
      <c r="L189" s="31"/>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row>
    <row r="190" spans="1:81" ht="15.75" customHeight="1">
      <c r="A190" s="30"/>
      <c r="B190" s="30"/>
      <c r="C190" s="350"/>
      <c r="D190" s="30"/>
      <c r="E190" s="30"/>
      <c r="F190" s="30"/>
      <c r="G190" s="31"/>
      <c r="H190" s="31"/>
      <c r="I190" s="30"/>
      <c r="J190" s="30"/>
      <c r="K190" s="30"/>
      <c r="L190" s="31"/>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row>
    <row r="191" spans="1:81" ht="15.75" customHeight="1">
      <c r="A191" s="30"/>
      <c r="B191" s="30"/>
      <c r="C191" s="350"/>
      <c r="D191" s="30"/>
      <c r="E191" s="30"/>
      <c r="F191" s="30"/>
      <c r="G191" s="31"/>
      <c r="H191" s="31"/>
      <c r="I191" s="30"/>
      <c r="J191" s="30"/>
      <c r="K191" s="30"/>
      <c r="L191" s="31"/>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row>
    <row r="192" spans="1:81" ht="15.75" customHeight="1">
      <c r="A192" s="30"/>
      <c r="B192" s="30"/>
      <c r="C192" s="350"/>
      <c r="D192" s="30"/>
      <c r="E192" s="30"/>
      <c r="F192" s="30"/>
      <c r="G192" s="31"/>
      <c r="H192" s="31"/>
      <c r="I192" s="30"/>
      <c r="J192" s="30"/>
      <c r="K192" s="30"/>
      <c r="L192" s="31"/>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row>
    <row r="193" spans="1:81" ht="15.75" customHeight="1">
      <c r="A193" s="30"/>
      <c r="B193" s="30"/>
      <c r="C193" s="350"/>
      <c r="D193" s="30"/>
      <c r="E193" s="30"/>
      <c r="F193" s="30"/>
      <c r="G193" s="31"/>
      <c r="H193" s="31"/>
      <c r="I193" s="30"/>
      <c r="J193" s="30"/>
      <c r="K193" s="30"/>
      <c r="L193" s="31"/>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row>
    <row r="194" spans="1:81" ht="15.75" customHeight="1">
      <c r="A194" s="30"/>
      <c r="B194" s="30"/>
      <c r="C194" s="350"/>
      <c r="D194" s="30"/>
      <c r="E194" s="30"/>
      <c r="F194" s="30"/>
      <c r="G194" s="31"/>
      <c r="H194" s="31"/>
      <c r="I194" s="30"/>
      <c r="J194" s="30"/>
      <c r="K194" s="30"/>
      <c r="L194" s="31"/>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row>
    <row r="195" spans="1:81" ht="15.75" customHeight="1">
      <c r="A195" s="30"/>
      <c r="B195" s="30"/>
      <c r="C195" s="350"/>
      <c r="D195" s="30"/>
      <c r="E195" s="30"/>
      <c r="F195" s="30"/>
      <c r="G195" s="31"/>
      <c r="H195" s="31"/>
      <c r="I195" s="30"/>
      <c r="J195" s="30"/>
      <c r="K195" s="30"/>
      <c r="L195" s="31"/>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row>
    <row r="196" spans="1:81" ht="15.75" customHeight="1">
      <c r="A196" s="30"/>
      <c r="B196" s="30"/>
      <c r="C196" s="350"/>
      <c r="D196" s="30"/>
      <c r="E196" s="30"/>
      <c r="F196" s="30"/>
      <c r="G196" s="31"/>
      <c r="H196" s="31"/>
      <c r="I196" s="30"/>
      <c r="J196" s="30"/>
      <c r="K196" s="30"/>
      <c r="L196" s="31"/>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row>
    <row r="197" spans="1:81" ht="15.75" customHeight="1">
      <c r="A197" s="30"/>
      <c r="B197" s="30"/>
      <c r="C197" s="350"/>
      <c r="D197" s="30"/>
      <c r="E197" s="30"/>
      <c r="F197" s="30"/>
      <c r="G197" s="31"/>
      <c r="H197" s="31"/>
      <c r="I197" s="30"/>
      <c r="J197" s="30"/>
      <c r="K197" s="30"/>
      <c r="L197" s="31"/>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row>
    <row r="198" spans="1:81" ht="15.75" customHeight="1">
      <c r="A198" s="30"/>
      <c r="B198" s="30"/>
      <c r="C198" s="350"/>
      <c r="D198" s="30"/>
      <c r="E198" s="30"/>
      <c r="F198" s="30"/>
      <c r="G198" s="31"/>
      <c r="H198" s="31"/>
      <c r="I198" s="30"/>
      <c r="J198" s="30"/>
      <c r="K198" s="30"/>
      <c r="L198" s="31"/>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row>
    <row r="199" spans="1:81" ht="15.75" customHeight="1">
      <c r="A199" s="30"/>
      <c r="B199" s="30"/>
      <c r="C199" s="350"/>
      <c r="D199" s="30"/>
      <c r="E199" s="30"/>
      <c r="F199" s="30"/>
      <c r="G199" s="31"/>
      <c r="H199" s="31"/>
      <c r="I199" s="30"/>
      <c r="J199" s="30"/>
      <c r="K199" s="30"/>
      <c r="L199" s="31"/>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row>
    <row r="200" spans="1:81" ht="15.75" customHeight="1">
      <c r="A200" s="30"/>
      <c r="B200" s="30"/>
      <c r="C200" s="350"/>
      <c r="D200" s="30"/>
      <c r="E200" s="30"/>
      <c r="F200" s="30"/>
      <c r="G200" s="31"/>
      <c r="H200" s="31"/>
      <c r="I200" s="30"/>
      <c r="J200" s="30"/>
      <c r="K200" s="30"/>
      <c r="L200" s="31"/>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row>
    <row r="201" spans="1:81" ht="15.75" customHeight="1">
      <c r="A201" s="30"/>
      <c r="B201" s="30"/>
      <c r="C201" s="350"/>
      <c r="D201" s="30"/>
      <c r="E201" s="30"/>
      <c r="F201" s="30"/>
      <c r="G201" s="31"/>
      <c r="H201" s="31"/>
      <c r="I201" s="30"/>
      <c r="J201" s="30"/>
      <c r="K201" s="30"/>
      <c r="L201" s="31"/>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row>
    <row r="202" spans="1:81" ht="15.75" customHeight="1">
      <c r="A202" s="30"/>
      <c r="B202" s="30"/>
      <c r="C202" s="350"/>
      <c r="D202" s="30"/>
      <c r="E202" s="30"/>
      <c r="F202" s="30"/>
      <c r="G202" s="31"/>
      <c r="H202" s="31"/>
      <c r="I202" s="30"/>
      <c r="J202" s="30"/>
      <c r="K202" s="30"/>
      <c r="L202" s="31"/>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row>
    <row r="203" spans="1:81" ht="15.75" customHeight="1">
      <c r="A203" s="30"/>
      <c r="B203" s="30"/>
      <c r="C203" s="350"/>
      <c r="D203" s="30"/>
      <c r="E203" s="30"/>
      <c r="F203" s="30"/>
      <c r="G203" s="31"/>
      <c r="H203" s="31"/>
      <c r="I203" s="30"/>
      <c r="J203" s="30"/>
      <c r="K203" s="30"/>
      <c r="L203" s="31"/>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row>
    <row r="204" spans="1:81" ht="15.75" customHeight="1">
      <c r="A204" s="30"/>
      <c r="B204" s="30"/>
      <c r="C204" s="350"/>
      <c r="D204" s="30"/>
      <c r="E204" s="30"/>
      <c r="F204" s="30"/>
      <c r="G204" s="31"/>
      <c r="H204" s="31"/>
      <c r="I204" s="30"/>
      <c r="J204" s="30"/>
      <c r="K204" s="30"/>
      <c r="L204" s="31"/>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row>
    <row r="205" spans="1:81" ht="15.75" customHeight="1">
      <c r="A205" s="30"/>
      <c r="B205" s="30"/>
      <c r="C205" s="350"/>
      <c r="D205" s="30"/>
      <c r="E205" s="30"/>
      <c r="F205" s="30"/>
      <c r="G205" s="31"/>
      <c r="H205" s="31"/>
      <c r="I205" s="30"/>
      <c r="J205" s="30"/>
      <c r="K205" s="30"/>
      <c r="L205" s="31"/>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row>
    <row r="206" spans="1:81" ht="15.75" customHeight="1">
      <c r="A206" s="30"/>
      <c r="B206" s="30"/>
      <c r="C206" s="350"/>
      <c r="D206" s="30"/>
      <c r="E206" s="30"/>
      <c r="F206" s="30"/>
      <c r="G206" s="31"/>
      <c r="H206" s="31"/>
      <c r="I206" s="30"/>
      <c r="J206" s="30"/>
      <c r="K206" s="30"/>
      <c r="L206" s="31"/>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row>
    <row r="207" spans="1:81" ht="15.75" customHeight="1">
      <c r="A207" s="30"/>
      <c r="B207" s="30"/>
      <c r="C207" s="350"/>
      <c r="D207" s="30"/>
      <c r="E207" s="30"/>
      <c r="F207" s="30"/>
      <c r="G207" s="31"/>
      <c r="H207" s="31"/>
      <c r="I207" s="30"/>
      <c r="J207" s="30"/>
      <c r="K207" s="30"/>
      <c r="L207" s="31"/>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row>
    <row r="208" spans="1:81" ht="15.75" customHeight="1">
      <c r="A208" s="30"/>
      <c r="B208" s="30"/>
      <c r="C208" s="350"/>
      <c r="D208" s="30"/>
      <c r="E208" s="30"/>
      <c r="F208" s="30"/>
      <c r="G208" s="31"/>
      <c r="H208" s="31"/>
      <c r="I208" s="30"/>
      <c r="J208" s="30"/>
      <c r="K208" s="30"/>
      <c r="L208" s="31"/>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row>
    <row r="209" spans="1:81" ht="15.75" customHeight="1">
      <c r="A209" s="30"/>
      <c r="B209" s="30"/>
      <c r="C209" s="350"/>
      <c r="D209" s="30"/>
      <c r="E209" s="30"/>
      <c r="F209" s="30"/>
      <c r="G209" s="31"/>
      <c r="H209" s="31"/>
      <c r="I209" s="30"/>
      <c r="J209" s="30"/>
      <c r="K209" s="30"/>
      <c r="L209" s="31"/>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row>
    <row r="210" spans="1:81" ht="15.75" customHeight="1">
      <c r="A210" s="30"/>
      <c r="B210" s="30"/>
      <c r="C210" s="350"/>
      <c r="D210" s="30"/>
      <c r="E210" s="30"/>
      <c r="F210" s="30"/>
      <c r="G210" s="31"/>
      <c r="H210" s="31"/>
      <c r="I210" s="30"/>
      <c r="J210" s="30"/>
      <c r="K210" s="30"/>
      <c r="L210" s="31"/>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row>
    <row r="211" spans="1:81" ht="15.75" customHeight="1">
      <c r="A211" s="30"/>
      <c r="B211" s="30"/>
      <c r="C211" s="350"/>
      <c r="D211" s="30"/>
      <c r="E211" s="30"/>
      <c r="F211" s="30"/>
      <c r="G211" s="31"/>
      <c r="H211" s="31"/>
      <c r="I211" s="30"/>
      <c r="J211" s="30"/>
      <c r="K211" s="30"/>
      <c r="L211" s="31"/>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row>
    <row r="212" spans="1:81" ht="15.75" customHeight="1">
      <c r="A212" s="30"/>
      <c r="B212" s="30"/>
      <c r="C212" s="350"/>
      <c r="D212" s="30"/>
      <c r="E212" s="30"/>
      <c r="F212" s="30"/>
      <c r="G212" s="31"/>
      <c r="H212" s="31"/>
      <c r="I212" s="30"/>
      <c r="J212" s="30"/>
      <c r="K212" s="30"/>
      <c r="L212" s="31"/>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row>
    <row r="213" spans="1:81" ht="15.75" customHeight="1">
      <c r="A213" s="30"/>
      <c r="B213" s="30"/>
      <c r="C213" s="350"/>
      <c r="D213" s="30"/>
      <c r="E213" s="30"/>
      <c r="F213" s="30"/>
      <c r="G213" s="31"/>
      <c r="H213" s="31"/>
      <c r="I213" s="30"/>
      <c r="J213" s="30"/>
      <c r="K213" s="30"/>
      <c r="L213" s="31"/>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row>
    <row r="214" spans="1:81" ht="15.75" customHeight="1">
      <c r="A214" s="30"/>
      <c r="B214" s="30"/>
      <c r="C214" s="350"/>
      <c r="D214" s="30"/>
      <c r="E214" s="30"/>
      <c r="F214" s="30"/>
      <c r="G214" s="31"/>
      <c r="H214" s="31"/>
      <c r="I214" s="30"/>
      <c r="J214" s="30"/>
      <c r="K214" s="30"/>
      <c r="L214" s="31"/>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row>
    <row r="215" spans="1:81" ht="15.75" customHeight="1">
      <c r="A215" s="30"/>
      <c r="B215" s="30"/>
      <c r="C215" s="350"/>
      <c r="D215" s="30"/>
      <c r="E215" s="30"/>
      <c r="F215" s="30"/>
      <c r="G215" s="31"/>
      <c r="H215" s="31"/>
      <c r="I215" s="30"/>
      <c r="J215" s="30"/>
      <c r="K215" s="30"/>
      <c r="L215" s="31"/>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row>
    <row r="216" spans="1:81" ht="15.75" customHeight="1">
      <c r="A216" s="30"/>
      <c r="B216" s="30"/>
      <c r="C216" s="350"/>
      <c r="D216" s="30"/>
      <c r="E216" s="30"/>
      <c r="F216" s="30"/>
      <c r="G216" s="31"/>
      <c r="H216" s="31"/>
      <c r="I216" s="30"/>
      <c r="J216" s="30"/>
      <c r="K216" s="30"/>
      <c r="L216" s="31"/>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row>
    <row r="217" spans="1:81" ht="15.75" customHeight="1">
      <c r="A217" s="30"/>
      <c r="B217" s="30"/>
      <c r="C217" s="350"/>
      <c r="D217" s="30"/>
      <c r="E217" s="30"/>
      <c r="F217" s="30"/>
      <c r="G217" s="31"/>
      <c r="H217" s="31"/>
      <c r="I217" s="30"/>
      <c r="J217" s="30"/>
      <c r="K217" s="30"/>
      <c r="L217" s="31"/>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row>
    <row r="218" spans="1:81" ht="15.75" customHeight="1">
      <c r="A218" s="30"/>
      <c r="B218" s="30"/>
      <c r="C218" s="350"/>
      <c r="D218" s="30"/>
      <c r="E218" s="30"/>
      <c r="F218" s="30"/>
      <c r="G218" s="31"/>
      <c r="H218" s="31"/>
      <c r="I218" s="30"/>
      <c r="J218" s="30"/>
      <c r="K218" s="30"/>
      <c r="L218" s="31"/>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row>
    <row r="219" spans="1:81" ht="15.75" customHeight="1">
      <c r="A219" s="30"/>
      <c r="B219" s="30"/>
      <c r="C219" s="350"/>
      <c r="D219" s="30"/>
      <c r="E219" s="30"/>
      <c r="F219" s="30"/>
      <c r="G219" s="31"/>
      <c r="H219" s="31"/>
      <c r="I219" s="30"/>
      <c r="J219" s="30"/>
      <c r="K219" s="30"/>
      <c r="L219" s="31"/>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row>
    <row r="220" spans="1:81" ht="15.75" customHeight="1">
      <c r="A220" s="30"/>
      <c r="B220" s="30"/>
      <c r="C220" s="350"/>
      <c r="D220" s="30"/>
      <c r="E220" s="30"/>
      <c r="F220" s="30"/>
      <c r="G220" s="31"/>
      <c r="H220" s="31"/>
      <c r="I220" s="30"/>
      <c r="J220" s="30"/>
      <c r="K220" s="30"/>
      <c r="L220" s="31"/>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30"/>
      <c r="CB220" s="30"/>
      <c r="CC220" s="30"/>
    </row>
    <row r="221" spans="1:81" ht="15.75" customHeight="1">
      <c r="A221" s="30"/>
      <c r="B221" s="30"/>
      <c r="C221" s="350"/>
      <c r="D221" s="30"/>
      <c r="E221" s="30"/>
      <c r="F221" s="30"/>
      <c r="G221" s="31"/>
      <c r="H221" s="31"/>
      <c r="I221" s="30"/>
      <c r="J221" s="30"/>
      <c r="K221" s="30"/>
      <c r="L221" s="31"/>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row>
    <row r="222" spans="1:81" ht="15.75" customHeight="1">
      <c r="A222" s="30"/>
      <c r="B222" s="30"/>
      <c r="C222" s="350"/>
      <c r="D222" s="30"/>
      <c r="E222" s="30"/>
      <c r="F222" s="30"/>
      <c r="G222" s="31"/>
      <c r="H222" s="31"/>
      <c r="I222" s="30"/>
      <c r="J222" s="30"/>
      <c r="K222" s="30"/>
      <c r="L222" s="31"/>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row>
    <row r="223" spans="1:81" ht="15.75" customHeight="1">
      <c r="A223" s="30"/>
      <c r="B223" s="30"/>
      <c r="C223" s="350"/>
      <c r="D223" s="30"/>
      <c r="E223" s="30"/>
      <c r="F223" s="30"/>
      <c r="G223" s="31"/>
      <c r="H223" s="31"/>
      <c r="I223" s="30"/>
      <c r="J223" s="30"/>
      <c r="K223" s="30"/>
      <c r="L223" s="31"/>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row>
    <row r="224" spans="1:81" ht="15.75" customHeight="1">
      <c r="A224" s="30"/>
      <c r="B224" s="30"/>
      <c r="C224" s="350"/>
      <c r="D224" s="30"/>
      <c r="E224" s="30"/>
      <c r="F224" s="30"/>
      <c r="G224" s="31"/>
      <c r="H224" s="31"/>
      <c r="I224" s="30"/>
      <c r="J224" s="30"/>
      <c r="K224" s="30"/>
      <c r="L224" s="31"/>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30"/>
      <c r="CB224" s="30"/>
      <c r="CC224" s="30"/>
    </row>
    <row r="225" spans="1:81" ht="15.75" customHeight="1">
      <c r="A225" s="30"/>
      <c r="B225" s="30"/>
      <c r="C225" s="350"/>
      <c r="D225" s="30"/>
      <c r="E225" s="30"/>
      <c r="F225" s="30"/>
      <c r="G225" s="31"/>
      <c r="H225" s="31"/>
      <c r="I225" s="30"/>
      <c r="J225" s="30"/>
      <c r="K225" s="30"/>
      <c r="L225" s="31"/>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row>
    <row r="226" spans="1:81" ht="15.75" customHeight="1">
      <c r="A226" s="30"/>
      <c r="B226" s="30"/>
      <c r="C226" s="350"/>
      <c r="D226" s="30"/>
      <c r="E226" s="30"/>
      <c r="F226" s="30"/>
      <c r="G226" s="31"/>
      <c r="H226" s="31"/>
      <c r="I226" s="30"/>
      <c r="J226" s="30"/>
      <c r="K226" s="30"/>
      <c r="L226" s="31"/>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row>
    <row r="227" spans="1:81" ht="15.75" customHeight="1">
      <c r="A227" s="30"/>
      <c r="B227" s="30"/>
      <c r="C227" s="350"/>
      <c r="D227" s="30"/>
      <c r="E227" s="30"/>
      <c r="F227" s="30"/>
      <c r="G227" s="31"/>
      <c r="H227" s="31"/>
      <c r="I227" s="30"/>
      <c r="J227" s="30"/>
      <c r="K227" s="30"/>
      <c r="L227" s="31"/>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row>
    <row r="228" spans="1:81" ht="15.75" customHeight="1">
      <c r="A228" s="30"/>
      <c r="B228" s="30"/>
      <c r="C228" s="350"/>
      <c r="D228" s="30"/>
      <c r="E228" s="30"/>
      <c r="F228" s="30"/>
      <c r="G228" s="31"/>
      <c r="H228" s="31"/>
      <c r="I228" s="30"/>
      <c r="J228" s="30"/>
      <c r="K228" s="30"/>
      <c r="L228" s="31"/>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row>
    <row r="229" spans="1:81" ht="15.75" customHeight="1">
      <c r="A229" s="30"/>
      <c r="B229" s="30"/>
      <c r="C229" s="350"/>
      <c r="D229" s="30"/>
      <c r="E229" s="30"/>
      <c r="F229" s="30"/>
      <c r="G229" s="31"/>
      <c r="H229" s="31"/>
      <c r="I229" s="30"/>
      <c r="J229" s="30"/>
      <c r="K229" s="30"/>
      <c r="L229" s="31"/>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row>
    <row r="230" spans="1:81" ht="15.75" customHeight="1">
      <c r="A230" s="30"/>
      <c r="B230" s="30"/>
      <c r="C230" s="350"/>
      <c r="D230" s="30"/>
      <c r="E230" s="30"/>
      <c r="F230" s="30"/>
      <c r="G230" s="31"/>
      <c r="H230" s="31"/>
      <c r="I230" s="30"/>
      <c r="J230" s="30"/>
      <c r="K230" s="30"/>
      <c r="L230" s="31"/>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row>
    <row r="231" spans="1:81" ht="15.75" customHeight="1">
      <c r="A231" s="30"/>
      <c r="B231" s="30"/>
      <c r="C231" s="350"/>
      <c r="D231" s="30"/>
      <c r="E231" s="30"/>
      <c r="F231" s="30"/>
      <c r="G231" s="31"/>
      <c r="H231" s="31"/>
      <c r="I231" s="30"/>
      <c r="J231" s="30"/>
      <c r="K231" s="30"/>
      <c r="L231" s="31"/>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row>
    <row r="232" spans="1:81" ht="15.75" customHeight="1">
      <c r="A232" s="30"/>
      <c r="B232" s="30"/>
      <c r="C232" s="350"/>
      <c r="D232" s="30"/>
      <c r="E232" s="30"/>
      <c r="F232" s="30"/>
      <c r="G232" s="31"/>
      <c r="H232" s="31"/>
      <c r="I232" s="30"/>
      <c r="J232" s="30"/>
      <c r="K232" s="30"/>
      <c r="L232" s="31"/>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row>
    <row r="233" spans="1:81" ht="15.75" customHeight="1">
      <c r="A233" s="30"/>
      <c r="B233" s="30"/>
      <c r="C233" s="350"/>
      <c r="D233" s="30"/>
      <c r="E233" s="30"/>
      <c r="F233" s="30"/>
      <c r="G233" s="31"/>
      <c r="H233" s="31"/>
      <c r="I233" s="30"/>
      <c r="J233" s="30"/>
      <c r="K233" s="30"/>
      <c r="L233" s="31"/>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row>
    <row r="234" spans="1:81" ht="15.75" customHeight="1">
      <c r="C234" s="351"/>
    </row>
    <row r="235" spans="1:81" ht="15.75" customHeight="1">
      <c r="C235" s="351"/>
    </row>
    <row r="236" spans="1:81" ht="15.75" customHeight="1">
      <c r="C236" s="351"/>
    </row>
    <row r="237" spans="1:81" ht="15.75" customHeight="1">
      <c r="C237" s="351"/>
    </row>
    <row r="238" spans="1:81" ht="15.75" customHeight="1">
      <c r="C238" s="351"/>
    </row>
    <row r="239" spans="1:81" ht="15.75" customHeight="1">
      <c r="C239" s="351"/>
    </row>
    <row r="240" spans="1:81" ht="15.75" customHeight="1">
      <c r="C240" s="351"/>
    </row>
    <row r="241" spans="3:3" ht="15.75" customHeight="1">
      <c r="C241" s="351"/>
    </row>
    <row r="242" spans="3:3" ht="15.75" customHeight="1">
      <c r="C242" s="351"/>
    </row>
    <row r="243" spans="3:3" ht="15.75" customHeight="1">
      <c r="C243" s="351"/>
    </row>
    <row r="244" spans="3:3" ht="15.75" customHeight="1">
      <c r="C244" s="351"/>
    </row>
    <row r="245" spans="3:3" ht="15.75" customHeight="1">
      <c r="C245" s="351"/>
    </row>
    <row r="246" spans="3:3" ht="15.75" customHeight="1">
      <c r="C246" s="351"/>
    </row>
    <row r="247" spans="3:3" ht="15.75" customHeight="1">
      <c r="C247" s="351"/>
    </row>
    <row r="248" spans="3:3" ht="15.75" customHeight="1">
      <c r="C248" s="351"/>
    </row>
    <row r="249" spans="3:3" ht="15.75" customHeight="1">
      <c r="C249" s="351"/>
    </row>
    <row r="250" spans="3:3" ht="15.75" customHeight="1">
      <c r="C250" s="351"/>
    </row>
    <row r="251" spans="3:3" ht="15.75" customHeight="1">
      <c r="C251" s="351"/>
    </row>
    <row r="252" spans="3:3" ht="15.75" customHeight="1">
      <c r="C252" s="351"/>
    </row>
    <row r="253" spans="3:3" ht="15.75" customHeight="1">
      <c r="C253" s="351"/>
    </row>
    <row r="254" spans="3:3" ht="15.75" customHeight="1">
      <c r="C254" s="351"/>
    </row>
    <row r="255" spans="3:3" ht="15.75" customHeight="1">
      <c r="C255" s="351"/>
    </row>
    <row r="256" spans="3:3" ht="15.75" customHeight="1">
      <c r="C256" s="351"/>
    </row>
    <row r="257" spans="3:3" ht="15.75" customHeight="1">
      <c r="C257" s="351"/>
    </row>
    <row r="258" spans="3:3" ht="15.75" customHeight="1">
      <c r="C258" s="351"/>
    </row>
    <row r="259" spans="3:3" ht="15.75" customHeight="1">
      <c r="C259" s="351"/>
    </row>
    <row r="260" spans="3:3" ht="15.75" customHeight="1">
      <c r="C260" s="351"/>
    </row>
    <row r="261" spans="3:3" ht="15.75" customHeight="1">
      <c r="C261" s="351"/>
    </row>
    <row r="262" spans="3:3" ht="15.75" customHeight="1">
      <c r="C262" s="351"/>
    </row>
    <row r="263" spans="3:3" ht="15.75" customHeight="1">
      <c r="C263" s="351"/>
    </row>
    <row r="264" spans="3:3" ht="15.75" customHeight="1">
      <c r="C264" s="351"/>
    </row>
    <row r="265" spans="3:3" ht="15.75" customHeight="1">
      <c r="C265" s="351"/>
    </row>
    <row r="266" spans="3:3" ht="15.75" customHeight="1">
      <c r="C266" s="351"/>
    </row>
    <row r="267" spans="3:3" ht="15.75" customHeight="1">
      <c r="C267" s="351"/>
    </row>
    <row r="268" spans="3:3" ht="15.75" customHeight="1">
      <c r="C268" s="351"/>
    </row>
    <row r="269" spans="3:3" ht="15.75" customHeight="1">
      <c r="C269" s="351"/>
    </row>
    <row r="270" spans="3:3" ht="15.75" customHeight="1">
      <c r="C270" s="351"/>
    </row>
    <row r="271" spans="3:3" ht="15.75" customHeight="1">
      <c r="C271" s="351"/>
    </row>
    <row r="272" spans="3:3" ht="15.75" customHeight="1">
      <c r="C272" s="351"/>
    </row>
    <row r="273" spans="3:3" ht="15.75" customHeight="1">
      <c r="C273" s="351"/>
    </row>
    <row r="274" spans="3:3" ht="15.75" customHeight="1">
      <c r="C274" s="351"/>
    </row>
    <row r="275" spans="3:3" ht="15.75" customHeight="1">
      <c r="C275" s="351"/>
    </row>
    <row r="276" spans="3:3" ht="15.75" customHeight="1">
      <c r="C276" s="351"/>
    </row>
    <row r="277" spans="3:3" ht="15.75" customHeight="1">
      <c r="C277" s="351"/>
    </row>
    <row r="278" spans="3:3" ht="15.75" customHeight="1">
      <c r="C278" s="351"/>
    </row>
    <row r="279" spans="3:3" ht="15.75" customHeight="1">
      <c r="C279" s="351"/>
    </row>
    <row r="280" spans="3:3" ht="15.75" customHeight="1">
      <c r="C280" s="351"/>
    </row>
    <row r="281" spans="3:3" ht="15.75" customHeight="1">
      <c r="C281" s="351"/>
    </row>
    <row r="282" spans="3:3" ht="15.75" customHeight="1">
      <c r="C282" s="351"/>
    </row>
    <row r="283" spans="3:3" ht="15.75" customHeight="1">
      <c r="C283" s="351"/>
    </row>
    <row r="284" spans="3:3" ht="15.75" customHeight="1">
      <c r="C284" s="351"/>
    </row>
    <row r="285" spans="3:3" ht="15.75" customHeight="1">
      <c r="C285" s="351"/>
    </row>
    <row r="286" spans="3:3" ht="15.75" customHeight="1">
      <c r="C286" s="351"/>
    </row>
    <row r="287" spans="3:3" ht="15.75" customHeight="1">
      <c r="C287" s="351"/>
    </row>
    <row r="288" spans="3:3" ht="15.75" customHeight="1">
      <c r="C288" s="351"/>
    </row>
    <row r="289" spans="3:3" ht="15.75" customHeight="1">
      <c r="C289" s="351"/>
    </row>
    <row r="290" spans="3:3" ht="15.75" customHeight="1">
      <c r="C290" s="351"/>
    </row>
    <row r="291" spans="3:3" ht="15.75" customHeight="1">
      <c r="C291" s="351"/>
    </row>
    <row r="292" spans="3:3" ht="15.75" customHeight="1">
      <c r="C292" s="351"/>
    </row>
    <row r="293" spans="3:3" ht="15.75" customHeight="1">
      <c r="C293" s="351"/>
    </row>
    <row r="294" spans="3:3" ht="15.75" customHeight="1">
      <c r="C294" s="351"/>
    </row>
    <row r="295" spans="3:3" ht="15.75" customHeight="1">
      <c r="C295" s="351"/>
    </row>
    <row r="296" spans="3:3" ht="15.75" customHeight="1">
      <c r="C296" s="351"/>
    </row>
    <row r="297" spans="3:3" ht="15.75" customHeight="1">
      <c r="C297" s="351"/>
    </row>
    <row r="298" spans="3:3" ht="15.75" customHeight="1">
      <c r="C298" s="351"/>
    </row>
    <row r="299" spans="3:3" ht="15.75" customHeight="1">
      <c r="C299" s="351"/>
    </row>
    <row r="300" spans="3:3" ht="15.75" customHeight="1">
      <c r="C300" s="351"/>
    </row>
    <row r="301" spans="3:3" ht="15.75" customHeight="1">
      <c r="C301" s="351"/>
    </row>
    <row r="302" spans="3:3" ht="15.75" customHeight="1">
      <c r="C302" s="351"/>
    </row>
    <row r="303" spans="3:3" ht="15.75" customHeight="1">
      <c r="C303" s="351"/>
    </row>
    <row r="304" spans="3:3" ht="15.75" customHeight="1">
      <c r="C304" s="351"/>
    </row>
    <row r="305" spans="3:3" ht="15.75" customHeight="1">
      <c r="C305" s="351"/>
    </row>
    <row r="306" spans="3:3" ht="15.75" customHeight="1">
      <c r="C306" s="351"/>
    </row>
    <row r="307" spans="3:3" ht="15.75" customHeight="1">
      <c r="C307" s="351"/>
    </row>
    <row r="308" spans="3:3" ht="15.75" customHeight="1">
      <c r="C308" s="351"/>
    </row>
    <row r="309" spans="3:3" ht="15.75" customHeight="1">
      <c r="C309" s="351"/>
    </row>
    <row r="310" spans="3:3" ht="15.75" customHeight="1">
      <c r="C310" s="351"/>
    </row>
    <row r="311" spans="3:3" ht="15.75" customHeight="1">
      <c r="C311" s="351"/>
    </row>
    <row r="312" spans="3:3" ht="15.75" customHeight="1">
      <c r="C312" s="351"/>
    </row>
    <row r="313" spans="3:3" ht="15.75" customHeight="1">
      <c r="C313" s="351"/>
    </row>
    <row r="314" spans="3:3" ht="15.75" customHeight="1">
      <c r="C314" s="351"/>
    </row>
    <row r="315" spans="3:3" ht="15.75" customHeight="1">
      <c r="C315" s="351"/>
    </row>
    <row r="316" spans="3:3" ht="15.75" customHeight="1">
      <c r="C316" s="351"/>
    </row>
    <row r="317" spans="3:3" ht="15.75" customHeight="1">
      <c r="C317" s="351"/>
    </row>
    <row r="318" spans="3:3" ht="15.75" customHeight="1">
      <c r="C318" s="351"/>
    </row>
    <row r="319" spans="3:3" ht="15.75" customHeight="1">
      <c r="C319" s="351"/>
    </row>
    <row r="320" spans="3:3" ht="15.75" customHeight="1">
      <c r="C320" s="351"/>
    </row>
    <row r="321" spans="3:3" ht="15.75" customHeight="1">
      <c r="C321" s="351"/>
    </row>
    <row r="322" spans="3:3" ht="15.75" customHeight="1">
      <c r="C322" s="351"/>
    </row>
    <row r="323" spans="3:3" ht="15.75" customHeight="1">
      <c r="C323" s="351"/>
    </row>
    <row r="324" spans="3:3" ht="15.75" customHeight="1">
      <c r="C324" s="351"/>
    </row>
    <row r="325" spans="3:3" ht="15.75" customHeight="1">
      <c r="C325" s="351"/>
    </row>
    <row r="326" spans="3:3" ht="15.75" customHeight="1">
      <c r="C326" s="351"/>
    </row>
    <row r="327" spans="3:3" ht="15.75" customHeight="1">
      <c r="C327" s="351"/>
    </row>
    <row r="328" spans="3:3" ht="15.75" customHeight="1">
      <c r="C328" s="351"/>
    </row>
    <row r="329" spans="3:3" ht="15.75" customHeight="1">
      <c r="C329" s="351"/>
    </row>
    <row r="330" spans="3:3" ht="15.75" customHeight="1">
      <c r="C330" s="351"/>
    </row>
    <row r="331" spans="3:3" ht="15.75" customHeight="1">
      <c r="C331" s="351"/>
    </row>
    <row r="332" spans="3:3" ht="15.75" customHeight="1">
      <c r="C332" s="351"/>
    </row>
    <row r="333" spans="3:3" ht="15.75" customHeight="1">
      <c r="C333" s="351"/>
    </row>
    <row r="334" spans="3:3" ht="15.75" customHeight="1">
      <c r="C334" s="351"/>
    </row>
    <row r="335" spans="3:3" ht="15.75" customHeight="1">
      <c r="C335" s="351"/>
    </row>
    <row r="336" spans="3:3" ht="15.75" customHeight="1">
      <c r="C336" s="351"/>
    </row>
    <row r="337" spans="3:3" ht="15.75" customHeight="1">
      <c r="C337" s="351"/>
    </row>
    <row r="338" spans="3:3" ht="15.75" customHeight="1">
      <c r="C338" s="351"/>
    </row>
    <row r="339" spans="3:3" ht="15.75" customHeight="1">
      <c r="C339" s="351"/>
    </row>
    <row r="340" spans="3:3" ht="15.75" customHeight="1">
      <c r="C340" s="351"/>
    </row>
    <row r="341" spans="3:3" ht="15.75" customHeight="1">
      <c r="C341" s="351"/>
    </row>
    <row r="342" spans="3:3" ht="15.75" customHeight="1">
      <c r="C342" s="351"/>
    </row>
    <row r="343" spans="3:3" ht="15.75" customHeight="1">
      <c r="C343" s="351"/>
    </row>
    <row r="344" spans="3:3" ht="15.75" customHeight="1">
      <c r="C344" s="351"/>
    </row>
    <row r="345" spans="3:3" ht="15.75" customHeight="1">
      <c r="C345" s="351"/>
    </row>
    <row r="346" spans="3:3" ht="15.75" customHeight="1">
      <c r="C346" s="351"/>
    </row>
    <row r="347" spans="3:3" ht="15.75" customHeight="1">
      <c r="C347" s="351"/>
    </row>
    <row r="348" spans="3:3" ht="15.75" customHeight="1">
      <c r="C348" s="351"/>
    </row>
    <row r="349" spans="3:3" ht="15.75" customHeight="1">
      <c r="C349" s="351"/>
    </row>
    <row r="350" spans="3:3" ht="15.75" customHeight="1">
      <c r="C350" s="351"/>
    </row>
    <row r="351" spans="3:3" ht="15.75" customHeight="1">
      <c r="C351" s="351"/>
    </row>
    <row r="352" spans="3:3" ht="15.75" customHeight="1">
      <c r="C352" s="351"/>
    </row>
    <row r="353" spans="3:3" ht="15.75" customHeight="1">
      <c r="C353" s="351"/>
    </row>
    <row r="354" spans="3:3" ht="15.75" customHeight="1">
      <c r="C354" s="351"/>
    </row>
    <row r="355" spans="3:3" ht="15.75" customHeight="1">
      <c r="C355" s="351"/>
    </row>
    <row r="356" spans="3:3" ht="15.75" customHeight="1">
      <c r="C356" s="351"/>
    </row>
    <row r="357" spans="3:3" ht="15.75" customHeight="1">
      <c r="C357" s="351"/>
    </row>
    <row r="358" spans="3:3" ht="15.75" customHeight="1">
      <c r="C358" s="351"/>
    </row>
    <row r="359" spans="3:3" ht="15.75" customHeight="1">
      <c r="C359" s="351"/>
    </row>
    <row r="360" spans="3:3" ht="15.75" customHeight="1">
      <c r="C360" s="351"/>
    </row>
    <row r="361" spans="3:3" ht="15.75" customHeight="1">
      <c r="C361" s="351"/>
    </row>
    <row r="362" spans="3:3" ht="15.75" customHeight="1">
      <c r="C362" s="351"/>
    </row>
    <row r="363" spans="3:3" ht="15.75" customHeight="1">
      <c r="C363" s="351"/>
    </row>
    <row r="364" spans="3:3" ht="15.75" customHeight="1">
      <c r="C364" s="351"/>
    </row>
    <row r="365" spans="3:3" ht="15.75" customHeight="1">
      <c r="C365" s="351"/>
    </row>
    <row r="366" spans="3:3" ht="15.75" customHeight="1">
      <c r="C366" s="351"/>
    </row>
    <row r="367" spans="3:3" ht="15.75" customHeight="1">
      <c r="C367" s="351"/>
    </row>
    <row r="368" spans="3:3" ht="15.75" customHeight="1">
      <c r="C368" s="351"/>
    </row>
    <row r="369" spans="3:3" ht="15.75" customHeight="1">
      <c r="C369" s="351"/>
    </row>
    <row r="370" spans="3:3" ht="15.75" customHeight="1">
      <c r="C370" s="351"/>
    </row>
    <row r="371" spans="3:3" ht="15.75" customHeight="1">
      <c r="C371" s="351"/>
    </row>
    <row r="372" spans="3:3" ht="15.75" customHeight="1">
      <c r="C372" s="351"/>
    </row>
    <row r="373" spans="3:3" ht="15.75" customHeight="1">
      <c r="C373" s="351"/>
    </row>
    <row r="374" spans="3:3" ht="15.75" customHeight="1">
      <c r="C374" s="351"/>
    </row>
    <row r="375" spans="3:3" ht="15.75" customHeight="1">
      <c r="C375" s="351"/>
    </row>
    <row r="376" spans="3:3" ht="15.75" customHeight="1">
      <c r="C376" s="351"/>
    </row>
    <row r="377" spans="3:3" ht="15.75" customHeight="1">
      <c r="C377" s="351"/>
    </row>
    <row r="378" spans="3:3" ht="15.75" customHeight="1">
      <c r="C378" s="351"/>
    </row>
    <row r="379" spans="3:3" ht="15.75" customHeight="1">
      <c r="C379" s="351"/>
    </row>
    <row r="380" spans="3:3" ht="15.75" customHeight="1">
      <c r="C380" s="351"/>
    </row>
    <row r="381" spans="3:3" ht="15.75" customHeight="1">
      <c r="C381" s="351"/>
    </row>
    <row r="382" spans="3:3" ht="15.75" customHeight="1">
      <c r="C382" s="351"/>
    </row>
    <row r="383" spans="3:3" ht="15.75" customHeight="1">
      <c r="C383" s="351"/>
    </row>
    <row r="384" spans="3:3" ht="15.75" customHeight="1">
      <c r="C384" s="351"/>
    </row>
    <row r="385" spans="3:3" ht="15.75" customHeight="1">
      <c r="C385" s="351"/>
    </row>
    <row r="386" spans="3:3" ht="15.75" customHeight="1">
      <c r="C386" s="351"/>
    </row>
    <row r="387" spans="3:3" ht="15.75" customHeight="1">
      <c r="C387" s="351"/>
    </row>
    <row r="388" spans="3:3" ht="15.75" customHeight="1">
      <c r="C388" s="351"/>
    </row>
    <row r="389" spans="3:3" ht="15.75" customHeight="1">
      <c r="C389" s="351"/>
    </row>
    <row r="390" spans="3:3" ht="15.75" customHeight="1">
      <c r="C390" s="351"/>
    </row>
    <row r="391" spans="3:3" ht="15.75" customHeight="1">
      <c r="C391" s="351"/>
    </row>
    <row r="392" spans="3:3" ht="15.75" customHeight="1">
      <c r="C392" s="351"/>
    </row>
    <row r="393" spans="3:3" ht="15.75" customHeight="1">
      <c r="C393" s="351"/>
    </row>
    <row r="394" spans="3:3" ht="15.75" customHeight="1">
      <c r="C394" s="351"/>
    </row>
    <row r="395" spans="3:3" ht="15.75" customHeight="1">
      <c r="C395" s="351"/>
    </row>
    <row r="396" spans="3:3" ht="15.75" customHeight="1">
      <c r="C396" s="351"/>
    </row>
    <row r="397" spans="3:3" ht="15.75" customHeight="1">
      <c r="C397" s="351"/>
    </row>
    <row r="398" spans="3:3" ht="15.75" customHeight="1">
      <c r="C398" s="351"/>
    </row>
    <row r="399" spans="3:3" ht="15.75" customHeight="1">
      <c r="C399" s="351"/>
    </row>
    <row r="400" spans="3:3" ht="15.75" customHeight="1">
      <c r="C400" s="351"/>
    </row>
    <row r="401" spans="3:3" ht="15.75" customHeight="1">
      <c r="C401" s="351"/>
    </row>
    <row r="402" spans="3:3" ht="15.75" customHeight="1">
      <c r="C402" s="351"/>
    </row>
    <row r="403" spans="3:3" ht="15.75" customHeight="1">
      <c r="C403" s="351"/>
    </row>
    <row r="404" spans="3:3" ht="15.75" customHeight="1">
      <c r="C404" s="351"/>
    </row>
    <row r="405" spans="3:3" ht="15.75" customHeight="1">
      <c r="C405" s="351"/>
    </row>
    <row r="406" spans="3:3" ht="15.75" customHeight="1">
      <c r="C406" s="351"/>
    </row>
    <row r="407" spans="3:3" ht="15.75" customHeight="1">
      <c r="C407" s="351"/>
    </row>
    <row r="408" spans="3:3" ht="15.75" customHeight="1">
      <c r="C408" s="351"/>
    </row>
    <row r="409" spans="3:3" ht="15.75" customHeight="1">
      <c r="C409" s="351"/>
    </row>
    <row r="410" spans="3:3" ht="15.75" customHeight="1">
      <c r="C410" s="351"/>
    </row>
    <row r="411" spans="3:3" ht="15.75" customHeight="1">
      <c r="C411" s="351"/>
    </row>
    <row r="412" spans="3:3" ht="15.75" customHeight="1">
      <c r="C412" s="351"/>
    </row>
    <row r="413" spans="3:3" ht="15.75" customHeight="1">
      <c r="C413" s="351"/>
    </row>
    <row r="414" spans="3:3" ht="15.75" customHeight="1">
      <c r="C414" s="351"/>
    </row>
    <row r="415" spans="3:3" ht="15.75" customHeight="1">
      <c r="C415" s="351"/>
    </row>
    <row r="416" spans="3:3" ht="15.75" customHeight="1">
      <c r="C416" s="351"/>
    </row>
    <row r="417" spans="3:3" ht="15.75" customHeight="1">
      <c r="C417" s="351"/>
    </row>
    <row r="418" spans="3:3" ht="15.75" customHeight="1">
      <c r="C418" s="351"/>
    </row>
    <row r="419" spans="3:3" ht="15.75" customHeight="1">
      <c r="C419" s="351"/>
    </row>
    <row r="420" spans="3:3" ht="15.75" customHeight="1">
      <c r="C420" s="351"/>
    </row>
    <row r="421" spans="3:3" ht="15.75" customHeight="1">
      <c r="C421" s="351"/>
    </row>
    <row r="422" spans="3:3" ht="15.75" customHeight="1">
      <c r="C422" s="351"/>
    </row>
    <row r="423" spans="3:3" ht="15.75" customHeight="1">
      <c r="C423" s="351"/>
    </row>
    <row r="424" spans="3:3" ht="15.75" customHeight="1">
      <c r="C424" s="351"/>
    </row>
    <row r="425" spans="3:3" ht="15.75" customHeight="1">
      <c r="C425" s="351"/>
    </row>
    <row r="426" spans="3:3" ht="15.75" customHeight="1">
      <c r="C426" s="351"/>
    </row>
    <row r="427" spans="3:3" ht="15.75" customHeight="1">
      <c r="C427" s="351"/>
    </row>
    <row r="428" spans="3:3" ht="15.75" customHeight="1">
      <c r="C428" s="351"/>
    </row>
    <row r="429" spans="3:3" ht="15.75" customHeight="1">
      <c r="C429" s="351"/>
    </row>
    <row r="430" spans="3:3" ht="15.75" customHeight="1">
      <c r="C430" s="351"/>
    </row>
    <row r="431" spans="3:3" ht="15.75" customHeight="1">
      <c r="C431" s="351"/>
    </row>
    <row r="432" spans="3:3" ht="15.75" customHeight="1">
      <c r="C432" s="351"/>
    </row>
    <row r="433" spans="3:3" ht="15.75" customHeight="1">
      <c r="C433" s="351"/>
    </row>
    <row r="434" spans="3:3" ht="15.75" customHeight="1">
      <c r="C434" s="351"/>
    </row>
    <row r="435" spans="3:3" ht="15.75" customHeight="1">
      <c r="C435" s="351"/>
    </row>
    <row r="436" spans="3:3" ht="15.75" customHeight="1">
      <c r="C436" s="351"/>
    </row>
    <row r="437" spans="3:3" ht="15.75" customHeight="1">
      <c r="C437" s="351"/>
    </row>
    <row r="438" spans="3:3" ht="15.75" customHeight="1">
      <c r="C438" s="351"/>
    </row>
    <row r="439" spans="3:3" ht="15.75" customHeight="1">
      <c r="C439" s="351"/>
    </row>
    <row r="440" spans="3:3" ht="15.75" customHeight="1">
      <c r="C440" s="351"/>
    </row>
    <row r="441" spans="3:3" ht="15.75" customHeight="1">
      <c r="C441" s="351"/>
    </row>
    <row r="442" spans="3:3" ht="15.75" customHeight="1">
      <c r="C442" s="351"/>
    </row>
    <row r="443" spans="3:3" ht="15.75" customHeight="1">
      <c r="C443" s="351"/>
    </row>
    <row r="444" spans="3:3" ht="15.75" customHeight="1">
      <c r="C444" s="351"/>
    </row>
    <row r="445" spans="3:3" ht="15.75" customHeight="1">
      <c r="C445" s="351"/>
    </row>
    <row r="446" spans="3:3" ht="15.75" customHeight="1">
      <c r="C446" s="351"/>
    </row>
    <row r="447" spans="3:3" ht="15.75" customHeight="1">
      <c r="C447" s="351"/>
    </row>
    <row r="448" spans="3:3" ht="15.75" customHeight="1">
      <c r="C448" s="351"/>
    </row>
    <row r="449" spans="3:3" ht="15.75" customHeight="1">
      <c r="C449" s="351"/>
    </row>
    <row r="450" spans="3:3" ht="15.75" customHeight="1">
      <c r="C450" s="351"/>
    </row>
    <row r="451" spans="3:3" ht="15.75" customHeight="1">
      <c r="C451" s="351"/>
    </row>
    <row r="452" spans="3:3" ht="15.75" customHeight="1">
      <c r="C452" s="351"/>
    </row>
    <row r="453" spans="3:3" ht="15.75" customHeight="1">
      <c r="C453" s="351"/>
    </row>
    <row r="454" spans="3:3" ht="15.75" customHeight="1">
      <c r="C454" s="351"/>
    </row>
    <row r="455" spans="3:3" ht="15.75" customHeight="1">
      <c r="C455" s="351"/>
    </row>
    <row r="456" spans="3:3" ht="15.75" customHeight="1">
      <c r="C456" s="351"/>
    </row>
    <row r="457" spans="3:3" ht="15.75" customHeight="1">
      <c r="C457" s="351"/>
    </row>
    <row r="458" spans="3:3" ht="15.75" customHeight="1">
      <c r="C458" s="351"/>
    </row>
    <row r="459" spans="3:3" ht="15.75" customHeight="1">
      <c r="C459" s="351"/>
    </row>
    <row r="460" spans="3:3" ht="15.75" customHeight="1">
      <c r="C460" s="351"/>
    </row>
    <row r="461" spans="3:3" ht="15.75" customHeight="1">
      <c r="C461" s="351"/>
    </row>
    <row r="462" spans="3:3" ht="15.75" customHeight="1">
      <c r="C462" s="351"/>
    </row>
    <row r="463" spans="3:3" ht="15.75" customHeight="1">
      <c r="C463" s="351"/>
    </row>
    <row r="464" spans="3:3" ht="15.75" customHeight="1">
      <c r="C464" s="351"/>
    </row>
    <row r="465" spans="3:3" ht="15.75" customHeight="1">
      <c r="C465" s="351"/>
    </row>
    <row r="466" spans="3:3" ht="15.75" customHeight="1">
      <c r="C466" s="351"/>
    </row>
    <row r="467" spans="3:3" ht="15.75" customHeight="1">
      <c r="C467" s="351"/>
    </row>
    <row r="468" spans="3:3" ht="15.75" customHeight="1">
      <c r="C468" s="351"/>
    </row>
    <row r="469" spans="3:3" ht="15.75" customHeight="1">
      <c r="C469" s="351"/>
    </row>
    <row r="470" spans="3:3" ht="15.75" customHeight="1">
      <c r="C470" s="351"/>
    </row>
    <row r="471" spans="3:3" ht="15.75" customHeight="1">
      <c r="C471" s="351"/>
    </row>
    <row r="472" spans="3:3" ht="15.75" customHeight="1">
      <c r="C472" s="351"/>
    </row>
    <row r="473" spans="3:3" ht="15.75" customHeight="1">
      <c r="C473" s="351"/>
    </row>
    <row r="474" spans="3:3" ht="15.75" customHeight="1">
      <c r="C474" s="351"/>
    </row>
    <row r="475" spans="3:3" ht="15.75" customHeight="1">
      <c r="C475" s="351"/>
    </row>
    <row r="476" spans="3:3" ht="15.75" customHeight="1">
      <c r="C476" s="351"/>
    </row>
    <row r="477" spans="3:3" ht="15.75" customHeight="1">
      <c r="C477" s="351"/>
    </row>
    <row r="478" spans="3:3" ht="15.75" customHeight="1">
      <c r="C478" s="351"/>
    </row>
    <row r="479" spans="3:3" ht="15.75" customHeight="1">
      <c r="C479" s="351"/>
    </row>
    <row r="480" spans="3:3" ht="15.75" customHeight="1">
      <c r="C480" s="351"/>
    </row>
    <row r="481" spans="3:3" ht="15.75" customHeight="1">
      <c r="C481" s="351"/>
    </row>
    <row r="482" spans="3:3" ht="15.75" customHeight="1">
      <c r="C482" s="351"/>
    </row>
    <row r="483" spans="3:3" ht="15.75" customHeight="1">
      <c r="C483" s="351"/>
    </row>
    <row r="484" spans="3:3" ht="15.75" customHeight="1">
      <c r="C484" s="351"/>
    </row>
    <row r="485" spans="3:3" ht="15.75" customHeight="1">
      <c r="C485" s="351"/>
    </row>
    <row r="486" spans="3:3" ht="15.75" customHeight="1">
      <c r="C486" s="351"/>
    </row>
    <row r="487" spans="3:3" ht="15.75" customHeight="1">
      <c r="C487" s="351"/>
    </row>
    <row r="488" spans="3:3" ht="15.75" customHeight="1">
      <c r="C488" s="351"/>
    </row>
    <row r="489" spans="3:3" ht="15.75" customHeight="1">
      <c r="C489" s="351"/>
    </row>
    <row r="490" spans="3:3" ht="15.75" customHeight="1">
      <c r="C490" s="351"/>
    </row>
    <row r="491" spans="3:3" ht="15.75" customHeight="1">
      <c r="C491" s="351"/>
    </row>
    <row r="492" spans="3:3" ht="15.75" customHeight="1">
      <c r="C492" s="351"/>
    </row>
    <row r="493" spans="3:3" ht="15.75" customHeight="1">
      <c r="C493" s="351"/>
    </row>
    <row r="494" spans="3:3" ht="15.75" customHeight="1">
      <c r="C494" s="351"/>
    </row>
    <row r="495" spans="3:3" ht="15.75" customHeight="1">
      <c r="C495" s="351"/>
    </row>
    <row r="496" spans="3:3" ht="15.75" customHeight="1">
      <c r="C496" s="351"/>
    </row>
    <row r="497" spans="3:3" ht="15.75" customHeight="1">
      <c r="C497" s="351"/>
    </row>
    <row r="498" spans="3:3" ht="15.75" customHeight="1">
      <c r="C498" s="351"/>
    </row>
    <row r="499" spans="3:3" ht="15.75" customHeight="1">
      <c r="C499" s="351"/>
    </row>
    <row r="500" spans="3:3" ht="15.75" customHeight="1">
      <c r="C500" s="351"/>
    </row>
    <row r="501" spans="3:3" ht="15.75" customHeight="1">
      <c r="C501" s="351"/>
    </row>
    <row r="502" spans="3:3" ht="15.75" customHeight="1">
      <c r="C502" s="351"/>
    </row>
    <row r="503" spans="3:3" ht="15.75" customHeight="1">
      <c r="C503" s="351"/>
    </row>
    <row r="504" spans="3:3" ht="15.75" customHeight="1">
      <c r="C504" s="351"/>
    </row>
    <row r="505" spans="3:3" ht="15.75" customHeight="1">
      <c r="C505" s="351"/>
    </row>
    <row r="506" spans="3:3" ht="15.75" customHeight="1">
      <c r="C506" s="351"/>
    </row>
    <row r="507" spans="3:3" ht="15.75" customHeight="1">
      <c r="C507" s="351"/>
    </row>
    <row r="508" spans="3:3" ht="15.75" customHeight="1">
      <c r="C508" s="351"/>
    </row>
    <row r="509" spans="3:3" ht="15.75" customHeight="1">
      <c r="C509" s="351"/>
    </row>
    <row r="510" spans="3:3" ht="15.75" customHeight="1">
      <c r="C510" s="351"/>
    </row>
    <row r="511" spans="3:3" ht="15.75" customHeight="1">
      <c r="C511" s="351"/>
    </row>
    <row r="512" spans="3:3" ht="15.75" customHeight="1">
      <c r="C512" s="351"/>
    </row>
    <row r="513" spans="3:3" ht="15.75" customHeight="1">
      <c r="C513" s="351"/>
    </row>
    <row r="514" spans="3:3" ht="15.75" customHeight="1">
      <c r="C514" s="351"/>
    </row>
    <row r="515" spans="3:3" ht="15.75" customHeight="1">
      <c r="C515" s="351"/>
    </row>
    <row r="516" spans="3:3" ht="15.75" customHeight="1">
      <c r="C516" s="351"/>
    </row>
    <row r="517" spans="3:3" ht="15.75" customHeight="1">
      <c r="C517" s="351"/>
    </row>
    <row r="518" spans="3:3" ht="15.75" customHeight="1">
      <c r="C518" s="351"/>
    </row>
    <row r="519" spans="3:3" ht="15.75" customHeight="1">
      <c r="C519" s="351"/>
    </row>
    <row r="520" spans="3:3" ht="15.75" customHeight="1">
      <c r="C520" s="351"/>
    </row>
    <row r="521" spans="3:3" ht="15.75" customHeight="1">
      <c r="C521" s="351"/>
    </row>
    <row r="522" spans="3:3" ht="15.75" customHeight="1">
      <c r="C522" s="351"/>
    </row>
    <row r="523" spans="3:3" ht="15.75" customHeight="1">
      <c r="C523" s="351"/>
    </row>
    <row r="524" spans="3:3" ht="15.75" customHeight="1">
      <c r="C524" s="351"/>
    </row>
    <row r="525" spans="3:3" ht="15.75" customHeight="1">
      <c r="C525" s="351"/>
    </row>
    <row r="526" spans="3:3" ht="15.75" customHeight="1">
      <c r="C526" s="351"/>
    </row>
    <row r="527" spans="3:3" ht="15.75" customHeight="1">
      <c r="C527" s="351"/>
    </row>
    <row r="528" spans="3:3" ht="15.75" customHeight="1">
      <c r="C528" s="351"/>
    </row>
    <row r="529" spans="3:3" ht="15.75" customHeight="1">
      <c r="C529" s="351"/>
    </row>
    <row r="530" spans="3:3" ht="15.75" customHeight="1">
      <c r="C530" s="351"/>
    </row>
    <row r="531" spans="3:3" ht="15.75" customHeight="1">
      <c r="C531" s="351"/>
    </row>
    <row r="532" spans="3:3" ht="15.75" customHeight="1">
      <c r="C532" s="351"/>
    </row>
    <row r="533" spans="3:3" ht="15.75" customHeight="1">
      <c r="C533" s="351"/>
    </row>
    <row r="534" spans="3:3" ht="15.75" customHeight="1">
      <c r="C534" s="351"/>
    </row>
    <row r="535" spans="3:3" ht="15.75" customHeight="1">
      <c r="C535" s="351"/>
    </row>
    <row r="536" spans="3:3" ht="15.75" customHeight="1">
      <c r="C536" s="351"/>
    </row>
    <row r="537" spans="3:3" ht="15.75" customHeight="1">
      <c r="C537" s="351"/>
    </row>
    <row r="538" spans="3:3" ht="15.75" customHeight="1">
      <c r="C538" s="351"/>
    </row>
    <row r="539" spans="3:3" ht="15.75" customHeight="1">
      <c r="C539" s="351"/>
    </row>
    <row r="540" spans="3:3" ht="15.75" customHeight="1">
      <c r="C540" s="351"/>
    </row>
    <row r="541" spans="3:3" ht="15.75" customHeight="1">
      <c r="C541" s="351"/>
    </row>
    <row r="542" spans="3:3" ht="15.75" customHeight="1">
      <c r="C542" s="351"/>
    </row>
    <row r="543" spans="3:3" ht="15.75" customHeight="1">
      <c r="C543" s="351"/>
    </row>
    <row r="544" spans="3:3" ht="15.75" customHeight="1">
      <c r="C544" s="351"/>
    </row>
    <row r="545" spans="3:3" ht="15.75" customHeight="1">
      <c r="C545" s="351"/>
    </row>
    <row r="546" spans="3:3" ht="15.75" customHeight="1">
      <c r="C546" s="351"/>
    </row>
    <row r="547" spans="3:3" ht="15.75" customHeight="1">
      <c r="C547" s="351"/>
    </row>
    <row r="548" spans="3:3" ht="15.75" customHeight="1">
      <c r="C548" s="351"/>
    </row>
    <row r="549" spans="3:3" ht="15.75" customHeight="1">
      <c r="C549" s="351"/>
    </row>
    <row r="550" spans="3:3" ht="15.75" customHeight="1">
      <c r="C550" s="351"/>
    </row>
    <row r="551" spans="3:3" ht="15.75" customHeight="1">
      <c r="C551" s="351"/>
    </row>
    <row r="552" spans="3:3" ht="15.75" customHeight="1">
      <c r="C552" s="351"/>
    </row>
    <row r="553" spans="3:3" ht="15.75" customHeight="1">
      <c r="C553" s="351"/>
    </row>
    <row r="554" spans="3:3" ht="15.75" customHeight="1">
      <c r="C554" s="351"/>
    </row>
    <row r="555" spans="3:3" ht="15.75" customHeight="1">
      <c r="C555" s="351"/>
    </row>
    <row r="556" spans="3:3" ht="15.75" customHeight="1">
      <c r="C556" s="351"/>
    </row>
    <row r="557" spans="3:3" ht="15.75" customHeight="1">
      <c r="C557" s="351"/>
    </row>
    <row r="558" spans="3:3" ht="15.75" customHeight="1">
      <c r="C558" s="351"/>
    </row>
    <row r="559" spans="3:3" ht="15.75" customHeight="1">
      <c r="C559" s="351"/>
    </row>
    <row r="560" spans="3:3" ht="15.75" customHeight="1">
      <c r="C560" s="351"/>
    </row>
    <row r="561" spans="3:3" ht="15.75" customHeight="1">
      <c r="C561" s="351"/>
    </row>
    <row r="562" spans="3:3" ht="15.75" customHeight="1">
      <c r="C562" s="351"/>
    </row>
    <row r="563" spans="3:3" ht="15.75" customHeight="1">
      <c r="C563" s="351"/>
    </row>
    <row r="564" spans="3:3" ht="15.75" customHeight="1">
      <c r="C564" s="351"/>
    </row>
    <row r="565" spans="3:3" ht="15.75" customHeight="1">
      <c r="C565" s="351"/>
    </row>
    <row r="566" spans="3:3" ht="15.75" customHeight="1">
      <c r="C566" s="351"/>
    </row>
    <row r="567" spans="3:3" ht="15.75" customHeight="1">
      <c r="C567" s="351"/>
    </row>
    <row r="568" spans="3:3" ht="15.75" customHeight="1">
      <c r="C568" s="351"/>
    </row>
    <row r="569" spans="3:3" ht="15.75" customHeight="1">
      <c r="C569" s="351"/>
    </row>
    <row r="570" spans="3:3" ht="15.75" customHeight="1">
      <c r="C570" s="351"/>
    </row>
    <row r="571" spans="3:3" ht="15.75" customHeight="1">
      <c r="C571" s="351"/>
    </row>
    <row r="572" spans="3:3" ht="15.75" customHeight="1">
      <c r="C572" s="351"/>
    </row>
    <row r="573" spans="3:3" ht="15.75" customHeight="1">
      <c r="C573" s="351"/>
    </row>
    <row r="574" spans="3:3" ht="15.75" customHeight="1">
      <c r="C574" s="351"/>
    </row>
    <row r="575" spans="3:3" ht="15.75" customHeight="1">
      <c r="C575" s="351"/>
    </row>
    <row r="576" spans="3:3" ht="15.75" customHeight="1">
      <c r="C576" s="351"/>
    </row>
    <row r="577" spans="3:3" ht="15.75" customHeight="1">
      <c r="C577" s="351"/>
    </row>
    <row r="578" spans="3:3" ht="15.75" customHeight="1">
      <c r="C578" s="351"/>
    </row>
    <row r="579" spans="3:3" ht="15.75" customHeight="1">
      <c r="C579" s="351"/>
    </row>
    <row r="580" spans="3:3" ht="15.75" customHeight="1">
      <c r="C580" s="351"/>
    </row>
    <row r="581" spans="3:3" ht="15.75" customHeight="1">
      <c r="C581" s="351"/>
    </row>
    <row r="582" spans="3:3" ht="15.75" customHeight="1">
      <c r="C582" s="351"/>
    </row>
    <row r="583" spans="3:3" ht="15.75" customHeight="1">
      <c r="C583" s="351"/>
    </row>
    <row r="584" spans="3:3" ht="15.75" customHeight="1">
      <c r="C584" s="351"/>
    </row>
    <row r="585" spans="3:3" ht="15.75" customHeight="1">
      <c r="C585" s="351"/>
    </row>
    <row r="586" spans="3:3" ht="15.75" customHeight="1">
      <c r="C586" s="351"/>
    </row>
    <row r="587" spans="3:3" ht="15.75" customHeight="1">
      <c r="C587" s="351"/>
    </row>
    <row r="588" spans="3:3" ht="15.75" customHeight="1">
      <c r="C588" s="351"/>
    </row>
    <row r="589" spans="3:3" ht="15.75" customHeight="1">
      <c r="C589" s="351"/>
    </row>
    <row r="590" spans="3:3" ht="15.75" customHeight="1">
      <c r="C590" s="351"/>
    </row>
    <row r="591" spans="3:3" ht="15.75" customHeight="1">
      <c r="C591" s="351"/>
    </row>
    <row r="592" spans="3:3" ht="15.75" customHeight="1">
      <c r="C592" s="351"/>
    </row>
    <row r="593" spans="3:3" ht="15.75" customHeight="1">
      <c r="C593" s="351"/>
    </row>
    <row r="594" spans="3:3" ht="15.75" customHeight="1">
      <c r="C594" s="351"/>
    </row>
    <row r="595" spans="3:3" ht="15.75" customHeight="1">
      <c r="C595" s="351"/>
    </row>
    <row r="596" spans="3:3" ht="15.75" customHeight="1">
      <c r="C596" s="351"/>
    </row>
    <row r="597" spans="3:3" ht="15.75" customHeight="1">
      <c r="C597" s="351"/>
    </row>
    <row r="598" spans="3:3" ht="15.75" customHeight="1">
      <c r="C598" s="351"/>
    </row>
    <row r="599" spans="3:3" ht="15.75" customHeight="1">
      <c r="C599" s="351"/>
    </row>
    <row r="600" spans="3:3" ht="15.75" customHeight="1">
      <c r="C600" s="351"/>
    </row>
    <row r="601" spans="3:3" ht="15.75" customHeight="1">
      <c r="C601" s="351"/>
    </row>
    <row r="602" spans="3:3" ht="15.75" customHeight="1">
      <c r="C602" s="351"/>
    </row>
    <row r="603" spans="3:3" ht="15.75" customHeight="1">
      <c r="C603" s="351"/>
    </row>
    <row r="604" spans="3:3" ht="15.75" customHeight="1">
      <c r="C604" s="351"/>
    </row>
    <row r="605" spans="3:3" ht="15.75" customHeight="1">
      <c r="C605" s="351"/>
    </row>
    <row r="606" spans="3:3" ht="15.75" customHeight="1">
      <c r="C606" s="351"/>
    </row>
    <row r="607" spans="3:3" ht="15.75" customHeight="1">
      <c r="C607" s="351"/>
    </row>
    <row r="608" spans="3:3" ht="15.75" customHeight="1">
      <c r="C608" s="351"/>
    </row>
    <row r="609" spans="3:3" ht="15.75" customHeight="1">
      <c r="C609" s="351"/>
    </row>
    <row r="610" spans="3:3" ht="15.75" customHeight="1">
      <c r="C610" s="351"/>
    </row>
    <row r="611" spans="3:3" ht="15.75" customHeight="1">
      <c r="C611" s="351"/>
    </row>
    <row r="612" spans="3:3" ht="15.75" customHeight="1">
      <c r="C612" s="351"/>
    </row>
    <row r="613" spans="3:3" ht="15.75" customHeight="1">
      <c r="C613" s="351"/>
    </row>
    <row r="614" spans="3:3" ht="15.75" customHeight="1">
      <c r="C614" s="351"/>
    </row>
    <row r="615" spans="3:3" ht="15.75" customHeight="1">
      <c r="C615" s="351"/>
    </row>
    <row r="616" spans="3:3" ht="15.75" customHeight="1">
      <c r="C616" s="351"/>
    </row>
    <row r="617" spans="3:3" ht="15.75" customHeight="1">
      <c r="C617" s="351"/>
    </row>
    <row r="618" spans="3:3" ht="15.75" customHeight="1">
      <c r="C618" s="351"/>
    </row>
    <row r="619" spans="3:3" ht="15.75" customHeight="1">
      <c r="C619" s="351"/>
    </row>
    <row r="620" spans="3:3" ht="15.75" customHeight="1">
      <c r="C620" s="351"/>
    </row>
    <row r="621" spans="3:3" ht="15.75" customHeight="1">
      <c r="C621" s="351"/>
    </row>
    <row r="622" spans="3:3" ht="15.75" customHeight="1">
      <c r="C622" s="351"/>
    </row>
    <row r="623" spans="3:3" ht="15.75" customHeight="1">
      <c r="C623" s="351"/>
    </row>
    <row r="624" spans="3:3" ht="15.75" customHeight="1">
      <c r="C624" s="351"/>
    </row>
    <row r="625" spans="3:3" ht="15.75" customHeight="1">
      <c r="C625" s="351"/>
    </row>
    <row r="626" spans="3:3" ht="15.75" customHeight="1">
      <c r="C626" s="351"/>
    </row>
    <row r="627" spans="3:3" ht="15.75" customHeight="1">
      <c r="C627" s="351"/>
    </row>
    <row r="628" spans="3:3" ht="15.75" customHeight="1">
      <c r="C628" s="351"/>
    </row>
    <row r="629" spans="3:3" ht="15.75" customHeight="1">
      <c r="C629" s="351"/>
    </row>
    <row r="630" spans="3:3" ht="15.75" customHeight="1">
      <c r="C630" s="351"/>
    </row>
    <row r="631" spans="3:3" ht="15.75" customHeight="1">
      <c r="C631" s="351"/>
    </row>
    <row r="632" spans="3:3" ht="15.75" customHeight="1">
      <c r="C632" s="351"/>
    </row>
    <row r="633" spans="3:3" ht="15.75" customHeight="1">
      <c r="C633" s="351"/>
    </row>
    <row r="634" spans="3:3" ht="15.75" customHeight="1">
      <c r="C634" s="351"/>
    </row>
    <row r="635" spans="3:3" ht="15.75" customHeight="1">
      <c r="C635" s="351"/>
    </row>
    <row r="636" spans="3:3" ht="15.75" customHeight="1">
      <c r="C636" s="351"/>
    </row>
    <row r="637" spans="3:3" ht="15.75" customHeight="1">
      <c r="C637" s="351"/>
    </row>
    <row r="638" spans="3:3" ht="15.75" customHeight="1">
      <c r="C638" s="351"/>
    </row>
    <row r="639" spans="3:3" ht="15.75" customHeight="1">
      <c r="C639" s="351"/>
    </row>
    <row r="640" spans="3:3" ht="15.75" customHeight="1">
      <c r="C640" s="351"/>
    </row>
    <row r="641" spans="3:3" ht="15.75" customHeight="1">
      <c r="C641" s="351"/>
    </row>
    <row r="642" spans="3:3" ht="15.75" customHeight="1">
      <c r="C642" s="351"/>
    </row>
    <row r="643" spans="3:3" ht="15.75" customHeight="1">
      <c r="C643" s="351"/>
    </row>
    <row r="644" spans="3:3" ht="15.75" customHeight="1">
      <c r="C644" s="351"/>
    </row>
    <row r="645" spans="3:3" ht="15.75" customHeight="1">
      <c r="C645" s="351"/>
    </row>
    <row r="646" spans="3:3" ht="15.75" customHeight="1">
      <c r="C646" s="351"/>
    </row>
    <row r="647" spans="3:3" ht="15.75" customHeight="1">
      <c r="C647" s="351"/>
    </row>
    <row r="648" spans="3:3" ht="15.75" customHeight="1">
      <c r="C648" s="351"/>
    </row>
    <row r="649" spans="3:3" ht="15.75" customHeight="1">
      <c r="C649" s="351"/>
    </row>
    <row r="650" spans="3:3" ht="15.75" customHeight="1">
      <c r="C650" s="351"/>
    </row>
    <row r="651" spans="3:3" ht="15.75" customHeight="1">
      <c r="C651" s="351"/>
    </row>
    <row r="652" spans="3:3" ht="15.75" customHeight="1">
      <c r="C652" s="351"/>
    </row>
    <row r="653" spans="3:3" ht="15.75" customHeight="1">
      <c r="C653" s="351"/>
    </row>
    <row r="654" spans="3:3" ht="15.75" customHeight="1">
      <c r="C654" s="351"/>
    </row>
    <row r="655" spans="3:3" ht="15.75" customHeight="1">
      <c r="C655" s="351"/>
    </row>
    <row r="656" spans="3:3" ht="15.75" customHeight="1">
      <c r="C656" s="351"/>
    </row>
    <row r="657" spans="3:3" ht="15.75" customHeight="1">
      <c r="C657" s="351"/>
    </row>
    <row r="658" spans="3:3" ht="15.75" customHeight="1">
      <c r="C658" s="351"/>
    </row>
    <row r="659" spans="3:3" ht="15.75" customHeight="1">
      <c r="C659" s="351"/>
    </row>
    <row r="660" spans="3:3" ht="15.75" customHeight="1">
      <c r="C660" s="351"/>
    </row>
    <row r="661" spans="3:3" ht="15.75" customHeight="1">
      <c r="C661" s="351"/>
    </row>
    <row r="662" spans="3:3" ht="15.75" customHeight="1">
      <c r="C662" s="351"/>
    </row>
    <row r="663" spans="3:3" ht="15.75" customHeight="1">
      <c r="C663" s="351"/>
    </row>
    <row r="664" spans="3:3" ht="15.75" customHeight="1">
      <c r="C664" s="351"/>
    </row>
    <row r="665" spans="3:3" ht="15.75" customHeight="1">
      <c r="C665" s="351"/>
    </row>
    <row r="666" spans="3:3" ht="15.75" customHeight="1">
      <c r="C666" s="351"/>
    </row>
    <row r="667" spans="3:3" ht="15.75" customHeight="1">
      <c r="C667" s="351"/>
    </row>
    <row r="668" spans="3:3" ht="15.75" customHeight="1">
      <c r="C668" s="351"/>
    </row>
    <row r="669" spans="3:3" ht="15.75" customHeight="1">
      <c r="C669" s="351"/>
    </row>
    <row r="670" spans="3:3" ht="15.75" customHeight="1">
      <c r="C670" s="351"/>
    </row>
    <row r="671" spans="3:3" ht="15.75" customHeight="1">
      <c r="C671" s="351"/>
    </row>
    <row r="672" spans="3:3" ht="15.75" customHeight="1">
      <c r="C672" s="351"/>
    </row>
    <row r="673" spans="3:3" ht="15.75" customHeight="1">
      <c r="C673" s="351"/>
    </row>
    <row r="674" spans="3:3" ht="15.75" customHeight="1">
      <c r="C674" s="351"/>
    </row>
    <row r="675" spans="3:3" ht="15.75" customHeight="1">
      <c r="C675" s="351"/>
    </row>
    <row r="676" spans="3:3" ht="15.75" customHeight="1">
      <c r="C676" s="351"/>
    </row>
    <row r="677" spans="3:3" ht="15.75" customHeight="1">
      <c r="C677" s="351"/>
    </row>
    <row r="678" spans="3:3" ht="15.75" customHeight="1">
      <c r="C678" s="351"/>
    </row>
    <row r="679" spans="3:3" ht="15.75" customHeight="1">
      <c r="C679" s="351"/>
    </row>
    <row r="680" spans="3:3" ht="15.75" customHeight="1">
      <c r="C680" s="351"/>
    </row>
    <row r="681" spans="3:3" ht="15.75" customHeight="1">
      <c r="C681" s="351"/>
    </row>
    <row r="682" spans="3:3" ht="15.75" customHeight="1">
      <c r="C682" s="351"/>
    </row>
    <row r="683" spans="3:3" ht="15.75" customHeight="1">
      <c r="C683" s="351"/>
    </row>
    <row r="684" spans="3:3" ht="15.75" customHeight="1">
      <c r="C684" s="351"/>
    </row>
    <row r="685" spans="3:3" ht="15.75" customHeight="1">
      <c r="C685" s="351"/>
    </row>
    <row r="686" spans="3:3" ht="15.75" customHeight="1">
      <c r="C686" s="351"/>
    </row>
    <row r="687" spans="3:3" ht="15.75" customHeight="1">
      <c r="C687" s="351"/>
    </row>
    <row r="688" spans="3:3" ht="15.75" customHeight="1">
      <c r="C688" s="351"/>
    </row>
    <row r="689" spans="3:3" ht="15.75" customHeight="1">
      <c r="C689" s="351"/>
    </row>
    <row r="690" spans="3:3" ht="15.75" customHeight="1">
      <c r="C690" s="351"/>
    </row>
    <row r="691" spans="3:3" ht="15.75" customHeight="1">
      <c r="C691" s="351"/>
    </row>
    <row r="692" spans="3:3" ht="15.75" customHeight="1">
      <c r="C692" s="351"/>
    </row>
    <row r="693" spans="3:3" ht="15.75" customHeight="1">
      <c r="C693" s="351"/>
    </row>
    <row r="694" spans="3:3" ht="15.75" customHeight="1">
      <c r="C694" s="351"/>
    </row>
    <row r="695" spans="3:3" ht="15.75" customHeight="1">
      <c r="C695" s="351"/>
    </row>
    <row r="696" spans="3:3" ht="15.75" customHeight="1">
      <c r="C696" s="351"/>
    </row>
    <row r="697" spans="3:3" ht="15.75" customHeight="1">
      <c r="C697" s="351"/>
    </row>
    <row r="698" spans="3:3" ht="15.75" customHeight="1">
      <c r="C698" s="351"/>
    </row>
    <row r="699" spans="3:3" ht="15.75" customHeight="1">
      <c r="C699" s="351"/>
    </row>
    <row r="700" spans="3:3" ht="15.75" customHeight="1">
      <c r="C700" s="351"/>
    </row>
    <row r="701" spans="3:3" ht="15.75" customHeight="1">
      <c r="C701" s="351"/>
    </row>
    <row r="702" spans="3:3" ht="15.75" customHeight="1">
      <c r="C702" s="351"/>
    </row>
    <row r="703" spans="3:3" ht="15.75" customHeight="1">
      <c r="C703" s="351"/>
    </row>
    <row r="704" spans="3:3" ht="15.75" customHeight="1">
      <c r="C704" s="351"/>
    </row>
    <row r="705" spans="3:3" ht="15.75" customHeight="1">
      <c r="C705" s="351"/>
    </row>
    <row r="706" spans="3:3" ht="15.75" customHeight="1">
      <c r="C706" s="351"/>
    </row>
    <row r="707" spans="3:3" ht="15.75" customHeight="1">
      <c r="C707" s="351"/>
    </row>
    <row r="708" spans="3:3" ht="15.75" customHeight="1">
      <c r="C708" s="351"/>
    </row>
    <row r="709" spans="3:3" ht="15.75" customHeight="1">
      <c r="C709" s="351"/>
    </row>
    <row r="710" spans="3:3" ht="15.75" customHeight="1">
      <c r="C710" s="351"/>
    </row>
    <row r="711" spans="3:3" ht="15.75" customHeight="1">
      <c r="C711" s="351"/>
    </row>
    <row r="712" spans="3:3" ht="15.75" customHeight="1">
      <c r="C712" s="351"/>
    </row>
    <row r="713" spans="3:3" ht="15.75" customHeight="1">
      <c r="C713" s="351"/>
    </row>
    <row r="714" spans="3:3" ht="15.75" customHeight="1">
      <c r="C714" s="351"/>
    </row>
    <row r="715" spans="3:3" ht="15.75" customHeight="1">
      <c r="C715" s="351"/>
    </row>
    <row r="716" spans="3:3" ht="15.75" customHeight="1">
      <c r="C716" s="351"/>
    </row>
    <row r="717" spans="3:3" ht="15.75" customHeight="1">
      <c r="C717" s="351"/>
    </row>
    <row r="718" spans="3:3" ht="15.75" customHeight="1">
      <c r="C718" s="351"/>
    </row>
    <row r="719" spans="3:3" ht="15.75" customHeight="1">
      <c r="C719" s="351"/>
    </row>
    <row r="720" spans="3:3" ht="15.75" customHeight="1">
      <c r="C720" s="351"/>
    </row>
    <row r="721" spans="3:3" ht="15.75" customHeight="1">
      <c r="C721" s="351"/>
    </row>
    <row r="722" spans="3:3" ht="15.75" customHeight="1">
      <c r="C722" s="351"/>
    </row>
    <row r="723" spans="3:3" ht="15.75" customHeight="1">
      <c r="C723" s="351"/>
    </row>
    <row r="724" spans="3:3" ht="15.75" customHeight="1">
      <c r="C724" s="351"/>
    </row>
    <row r="725" spans="3:3" ht="15.75" customHeight="1">
      <c r="C725" s="351"/>
    </row>
    <row r="726" spans="3:3" ht="15.75" customHeight="1">
      <c r="C726" s="351"/>
    </row>
    <row r="727" spans="3:3" ht="15.75" customHeight="1">
      <c r="C727" s="351"/>
    </row>
    <row r="728" spans="3:3" ht="15.75" customHeight="1">
      <c r="C728" s="351"/>
    </row>
    <row r="729" spans="3:3" ht="15.75" customHeight="1">
      <c r="C729" s="351"/>
    </row>
    <row r="730" spans="3:3" ht="15.75" customHeight="1">
      <c r="C730" s="351"/>
    </row>
    <row r="731" spans="3:3" ht="15.75" customHeight="1">
      <c r="C731" s="351"/>
    </row>
    <row r="732" spans="3:3" ht="15.75" customHeight="1">
      <c r="C732" s="351"/>
    </row>
    <row r="733" spans="3:3" ht="15.75" customHeight="1">
      <c r="C733" s="351"/>
    </row>
    <row r="734" spans="3:3" ht="15.75" customHeight="1">
      <c r="C734" s="351"/>
    </row>
    <row r="735" spans="3:3" ht="15.75" customHeight="1">
      <c r="C735" s="351"/>
    </row>
    <row r="736" spans="3:3" ht="15.75" customHeight="1">
      <c r="C736" s="351"/>
    </row>
    <row r="737" spans="3:3" ht="15.75" customHeight="1">
      <c r="C737" s="351"/>
    </row>
    <row r="738" spans="3:3" ht="15.75" customHeight="1">
      <c r="C738" s="351"/>
    </row>
    <row r="739" spans="3:3" ht="15.75" customHeight="1">
      <c r="C739" s="351"/>
    </row>
    <row r="740" spans="3:3" ht="15.75" customHeight="1">
      <c r="C740" s="351"/>
    </row>
    <row r="741" spans="3:3" ht="15.75" customHeight="1">
      <c r="C741" s="351"/>
    </row>
    <row r="742" spans="3:3" ht="15.75" customHeight="1">
      <c r="C742" s="351"/>
    </row>
    <row r="743" spans="3:3" ht="15.75" customHeight="1">
      <c r="C743" s="351"/>
    </row>
    <row r="744" spans="3:3" ht="15.75" customHeight="1">
      <c r="C744" s="351"/>
    </row>
    <row r="745" spans="3:3" ht="15.75" customHeight="1">
      <c r="C745" s="351"/>
    </row>
    <row r="746" spans="3:3" ht="15.75" customHeight="1">
      <c r="C746" s="351"/>
    </row>
    <row r="747" spans="3:3" ht="15.75" customHeight="1">
      <c r="C747" s="351"/>
    </row>
    <row r="748" spans="3:3" ht="15.75" customHeight="1">
      <c r="C748" s="351"/>
    </row>
    <row r="749" spans="3:3" ht="15.75" customHeight="1">
      <c r="C749" s="351"/>
    </row>
    <row r="750" spans="3:3" ht="15.75" customHeight="1">
      <c r="C750" s="351"/>
    </row>
    <row r="751" spans="3:3" ht="15.75" customHeight="1">
      <c r="C751" s="351"/>
    </row>
    <row r="752" spans="3:3" ht="15.75" customHeight="1">
      <c r="C752" s="351"/>
    </row>
    <row r="753" spans="3:3" ht="15.75" customHeight="1">
      <c r="C753" s="351"/>
    </row>
    <row r="754" spans="3:3" ht="15.75" customHeight="1">
      <c r="C754" s="351"/>
    </row>
    <row r="755" spans="3:3" ht="15.75" customHeight="1">
      <c r="C755" s="351"/>
    </row>
    <row r="756" spans="3:3" ht="15.75" customHeight="1">
      <c r="C756" s="351"/>
    </row>
    <row r="757" spans="3:3" ht="15.75" customHeight="1">
      <c r="C757" s="351"/>
    </row>
    <row r="758" spans="3:3" ht="15.75" customHeight="1">
      <c r="C758" s="351"/>
    </row>
    <row r="759" spans="3:3" ht="15.75" customHeight="1">
      <c r="C759" s="351"/>
    </row>
    <row r="760" spans="3:3" ht="15.75" customHeight="1">
      <c r="C760" s="351"/>
    </row>
    <row r="761" spans="3:3" ht="15.75" customHeight="1">
      <c r="C761" s="351"/>
    </row>
    <row r="762" spans="3:3" ht="15.75" customHeight="1">
      <c r="C762" s="351"/>
    </row>
    <row r="763" spans="3:3" ht="15.75" customHeight="1">
      <c r="C763" s="351"/>
    </row>
    <row r="764" spans="3:3" ht="15.75" customHeight="1">
      <c r="C764" s="351"/>
    </row>
    <row r="765" spans="3:3" ht="15.75" customHeight="1">
      <c r="C765" s="351"/>
    </row>
    <row r="766" spans="3:3" ht="15.75" customHeight="1">
      <c r="C766" s="351"/>
    </row>
    <row r="767" spans="3:3" ht="15.75" customHeight="1">
      <c r="C767" s="351"/>
    </row>
    <row r="768" spans="3:3" ht="15.75" customHeight="1">
      <c r="C768" s="351"/>
    </row>
    <row r="769" spans="3:3" ht="15.75" customHeight="1">
      <c r="C769" s="351"/>
    </row>
    <row r="770" spans="3:3" ht="15.75" customHeight="1">
      <c r="C770" s="351"/>
    </row>
    <row r="771" spans="3:3" ht="15.75" customHeight="1">
      <c r="C771" s="351"/>
    </row>
    <row r="772" spans="3:3" ht="15.75" customHeight="1">
      <c r="C772" s="351"/>
    </row>
    <row r="773" spans="3:3" ht="15.75" customHeight="1">
      <c r="C773" s="351"/>
    </row>
    <row r="774" spans="3:3" ht="15.75" customHeight="1">
      <c r="C774" s="351"/>
    </row>
    <row r="775" spans="3:3" ht="15.75" customHeight="1">
      <c r="C775" s="351"/>
    </row>
    <row r="776" spans="3:3" ht="15.75" customHeight="1">
      <c r="C776" s="351"/>
    </row>
    <row r="777" spans="3:3" ht="15.75" customHeight="1">
      <c r="C777" s="351"/>
    </row>
    <row r="778" spans="3:3" ht="15.75" customHeight="1">
      <c r="C778" s="351"/>
    </row>
    <row r="779" spans="3:3" ht="15.75" customHeight="1">
      <c r="C779" s="351"/>
    </row>
    <row r="780" spans="3:3" ht="15.75" customHeight="1">
      <c r="C780" s="351"/>
    </row>
    <row r="781" spans="3:3" ht="15.75" customHeight="1">
      <c r="C781" s="351"/>
    </row>
    <row r="782" spans="3:3" ht="15.75" customHeight="1">
      <c r="C782" s="351"/>
    </row>
    <row r="783" spans="3:3" ht="15.75" customHeight="1">
      <c r="C783" s="351"/>
    </row>
    <row r="784" spans="3:3" ht="15.75" customHeight="1">
      <c r="C784" s="351"/>
    </row>
    <row r="785" spans="3:3" ht="15.75" customHeight="1">
      <c r="C785" s="351"/>
    </row>
    <row r="786" spans="3:3" ht="15.75" customHeight="1">
      <c r="C786" s="351"/>
    </row>
    <row r="787" spans="3:3" ht="15.75" customHeight="1">
      <c r="C787" s="351"/>
    </row>
    <row r="788" spans="3:3" ht="15.75" customHeight="1">
      <c r="C788" s="351"/>
    </row>
    <row r="789" spans="3:3" ht="15.75" customHeight="1">
      <c r="C789" s="351"/>
    </row>
    <row r="790" spans="3:3" ht="15.75" customHeight="1">
      <c r="C790" s="351"/>
    </row>
    <row r="791" spans="3:3" ht="15.75" customHeight="1">
      <c r="C791" s="351"/>
    </row>
    <row r="792" spans="3:3" ht="15.75" customHeight="1">
      <c r="C792" s="351"/>
    </row>
    <row r="793" spans="3:3" ht="15.75" customHeight="1">
      <c r="C793" s="351"/>
    </row>
    <row r="794" spans="3:3" ht="15.75" customHeight="1">
      <c r="C794" s="351"/>
    </row>
    <row r="795" spans="3:3" ht="15.75" customHeight="1">
      <c r="C795" s="351"/>
    </row>
    <row r="796" spans="3:3" ht="15.75" customHeight="1">
      <c r="C796" s="351"/>
    </row>
    <row r="797" spans="3:3" ht="15.75" customHeight="1">
      <c r="C797" s="351"/>
    </row>
    <row r="798" spans="3:3" ht="15.75" customHeight="1">
      <c r="C798" s="351"/>
    </row>
    <row r="799" spans="3:3" ht="15.75" customHeight="1">
      <c r="C799" s="351"/>
    </row>
    <row r="800" spans="3:3" ht="15.75" customHeight="1">
      <c r="C800" s="351"/>
    </row>
    <row r="801" spans="3:3" ht="15.75" customHeight="1">
      <c r="C801" s="351"/>
    </row>
    <row r="802" spans="3:3" ht="15.75" customHeight="1">
      <c r="C802" s="351"/>
    </row>
    <row r="803" spans="3:3" ht="15.75" customHeight="1">
      <c r="C803" s="351"/>
    </row>
    <row r="804" spans="3:3" ht="15.75" customHeight="1">
      <c r="C804" s="351"/>
    </row>
    <row r="805" spans="3:3" ht="15.75" customHeight="1">
      <c r="C805" s="351"/>
    </row>
    <row r="806" spans="3:3" ht="15.75" customHeight="1">
      <c r="C806" s="351"/>
    </row>
    <row r="807" spans="3:3" ht="15.75" customHeight="1">
      <c r="C807" s="351"/>
    </row>
    <row r="808" spans="3:3" ht="15.75" customHeight="1">
      <c r="C808" s="351"/>
    </row>
    <row r="809" spans="3:3" ht="15.75" customHeight="1">
      <c r="C809" s="351"/>
    </row>
    <row r="810" spans="3:3" ht="15.75" customHeight="1">
      <c r="C810" s="351"/>
    </row>
    <row r="811" spans="3:3" ht="15.75" customHeight="1">
      <c r="C811" s="351"/>
    </row>
    <row r="812" spans="3:3" ht="15.75" customHeight="1">
      <c r="C812" s="351"/>
    </row>
    <row r="813" spans="3:3" ht="15.75" customHeight="1">
      <c r="C813" s="351"/>
    </row>
    <row r="814" spans="3:3" ht="15.75" customHeight="1">
      <c r="C814" s="351"/>
    </row>
    <row r="815" spans="3:3" ht="15.75" customHeight="1">
      <c r="C815" s="351"/>
    </row>
    <row r="816" spans="3:3" ht="15.75" customHeight="1">
      <c r="C816" s="351"/>
    </row>
    <row r="817" spans="3:3" ht="15.75" customHeight="1">
      <c r="C817" s="351"/>
    </row>
    <row r="818" spans="3:3" ht="15.75" customHeight="1">
      <c r="C818" s="351"/>
    </row>
    <row r="819" spans="3:3" ht="15.75" customHeight="1">
      <c r="C819" s="351"/>
    </row>
    <row r="820" spans="3:3" ht="15.75" customHeight="1">
      <c r="C820" s="351"/>
    </row>
    <row r="821" spans="3:3" ht="15.75" customHeight="1">
      <c r="C821" s="351"/>
    </row>
    <row r="822" spans="3:3" ht="15.75" customHeight="1">
      <c r="C822" s="351"/>
    </row>
    <row r="823" spans="3:3" ht="15.75" customHeight="1">
      <c r="C823" s="351"/>
    </row>
    <row r="824" spans="3:3" ht="15.75" customHeight="1">
      <c r="C824" s="351"/>
    </row>
    <row r="825" spans="3:3" ht="15.75" customHeight="1">
      <c r="C825" s="351"/>
    </row>
    <row r="826" spans="3:3" ht="15.75" customHeight="1">
      <c r="C826" s="351"/>
    </row>
    <row r="827" spans="3:3" ht="15.75" customHeight="1">
      <c r="C827" s="351"/>
    </row>
    <row r="828" spans="3:3" ht="15.75" customHeight="1">
      <c r="C828" s="351"/>
    </row>
    <row r="829" spans="3:3" ht="15.75" customHeight="1">
      <c r="C829" s="351"/>
    </row>
    <row r="830" spans="3:3" ht="15.75" customHeight="1">
      <c r="C830" s="351"/>
    </row>
    <row r="831" spans="3:3" ht="15.75" customHeight="1">
      <c r="C831" s="351"/>
    </row>
    <row r="832" spans="3:3" ht="15.75" customHeight="1">
      <c r="C832" s="351"/>
    </row>
    <row r="833" spans="3:3" ht="15.75" customHeight="1">
      <c r="C833" s="351"/>
    </row>
    <row r="834" spans="3:3" ht="15.75" customHeight="1">
      <c r="C834" s="351"/>
    </row>
    <row r="835" spans="3:3" ht="15.75" customHeight="1">
      <c r="C835" s="351"/>
    </row>
    <row r="836" spans="3:3" ht="15.75" customHeight="1">
      <c r="C836" s="351"/>
    </row>
    <row r="837" spans="3:3" ht="15.75" customHeight="1">
      <c r="C837" s="351"/>
    </row>
    <row r="838" spans="3:3" ht="15.75" customHeight="1">
      <c r="C838" s="351"/>
    </row>
    <row r="839" spans="3:3" ht="15.75" customHeight="1">
      <c r="C839" s="351"/>
    </row>
    <row r="840" spans="3:3" ht="15.75" customHeight="1">
      <c r="C840" s="351"/>
    </row>
    <row r="841" spans="3:3" ht="15.75" customHeight="1">
      <c r="C841" s="351"/>
    </row>
    <row r="842" spans="3:3" ht="15.75" customHeight="1">
      <c r="C842" s="351"/>
    </row>
    <row r="843" spans="3:3" ht="15.75" customHeight="1">
      <c r="C843" s="351"/>
    </row>
    <row r="844" spans="3:3" ht="15.75" customHeight="1">
      <c r="C844" s="351"/>
    </row>
    <row r="845" spans="3:3" ht="15.75" customHeight="1">
      <c r="C845" s="351"/>
    </row>
    <row r="846" spans="3:3" ht="15.75" customHeight="1">
      <c r="C846" s="351"/>
    </row>
    <row r="847" spans="3:3" ht="15.75" customHeight="1">
      <c r="C847" s="351"/>
    </row>
    <row r="848" spans="3:3" ht="15.75" customHeight="1">
      <c r="C848" s="351"/>
    </row>
    <row r="849" spans="3:3" ht="15.75" customHeight="1">
      <c r="C849" s="351"/>
    </row>
    <row r="850" spans="3:3" ht="15.75" customHeight="1">
      <c r="C850" s="351"/>
    </row>
    <row r="851" spans="3:3" ht="15.75" customHeight="1">
      <c r="C851" s="351"/>
    </row>
    <row r="852" spans="3:3" ht="15.75" customHeight="1">
      <c r="C852" s="351"/>
    </row>
    <row r="853" spans="3:3" ht="15.75" customHeight="1">
      <c r="C853" s="351"/>
    </row>
    <row r="854" spans="3:3" ht="15.75" customHeight="1">
      <c r="C854" s="351"/>
    </row>
    <row r="855" spans="3:3" ht="15.75" customHeight="1">
      <c r="C855" s="351"/>
    </row>
    <row r="856" spans="3:3" ht="15.75" customHeight="1">
      <c r="C856" s="351"/>
    </row>
    <row r="857" spans="3:3" ht="15.75" customHeight="1">
      <c r="C857" s="351"/>
    </row>
    <row r="858" spans="3:3" ht="15.75" customHeight="1">
      <c r="C858" s="351"/>
    </row>
    <row r="859" spans="3:3" ht="15.75" customHeight="1">
      <c r="C859" s="351"/>
    </row>
    <row r="860" spans="3:3" ht="15.75" customHeight="1">
      <c r="C860" s="351"/>
    </row>
    <row r="861" spans="3:3" ht="15.75" customHeight="1">
      <c r="C861" s="351"/>
    </row>
    <row r="862" spans="3:3" ht="15.75" customHeight="1">
      <c r="C862" s="351"/>
    </row>
    <row r="863" spans="3:3" ht="15.75" customHeight="1">
      <c r="C863" s="351"/>
    </row>
    <row r="864" spans="3:3" ht="15.75" customHeight="1">
      <c r="C864" s="351"/>
    </row>
    <row r="865" spans="3:3" ht="15.75" customHeight="1">
      <c r="C865" s="351"/>
    </row>
    <row r="866" spans="3:3" ht="15.75" customHeight="1">
      <c r="C866" s="351"/>
    </row>
    <row r="867" spans="3:3" ht="15.75" customHeight="1">
      <c r="C867" s="351"/>
    </row>
    <row r="868" spans="3:3" ht="15.75" customHeight="1">
      <c r="C868" s="351"/>
    </row>
    <row r="869" spans="3:3" ht="15.75" customHeight="1">
      <c r="C869" s="351"/>
    </row>
    <row r="870" spans="3:3" ht="15.75" customHeight="1">
      <c r="C870" s="351"/>
    </row>
    <row r="871" spans="3:3" ht="15.75" customHeight="1">
      <c r="C871" s="351"/>
    </row>
    <row r="872" spans="3:3" ht="15.75" customHeight="1">
      <c r="C872" s="351"/>
    </row>
    <row r="873" spans="3:3" ht="15.75" customHeight="1">
      <c r="C873" s="351"/>
    </row>
    <row r="874" spans="3:3" ht="15.75" customHeight="1">
      <c r="C874" s="351"/>
    </row>
    <row r="875" spans="3:3" ht="15.75" customHeight="1">
      <c r="C875" s="351"/>
    </row>
    <row r="876" spans="3:3" ht="15.75" customHeight="1">
      <c r="C876" s="351"/>
    </row>
    <row r="877" spans="3:3" ht="15.75" customHeight="1">
      <c r="C877" s="351"/>
    </row>
    <row r="878" spans="3:3" ht="15.75" customHeight="1">
      <c r="C878" s="351"/>
    </row>
    <row r="879" spans="3:3" ht="15.75" customHeight="1">
      <c r="C879" s="351"/>
    </row>
    <row r="880" spans="3:3" ht="15.75" customHeight="1">
      <c r="C880" s="351"/>
    </row>
    <row r="881" spans="3:3" ht="15.75" customHeight="1">
      <c r="C881" s="351"/>
    </row>
    <row r="882" spans="3:3" ht="15.75" customHeight="1">
      <c r="C882" s="351"/>
    </row>
    <row r="883" spans="3:3" ht="15.75" customHeight="1">
      <c r="C883" s="351"/>
    </row>
    <row r="884" spans="3:3" ht="15.75" customHeight="1">
      <c r="C884" s="351"/>
    </row>
    <row r="885" spans="3:3" ht="15.75" customHeight="1">
      <c r="C885" s="351"/>
    </row>
    <row r="886" spans="3:3" ht="15.75" customHeight="1">
      <c r="C886" s="351"/>
    </row>
    <row r="887" spans="3:3" ht="15.75" customHeight="1">
      <c r="C887" s="351"/>
    </row>
    <row r="888" spans="3:3" ht="15.75" customHeight="1">
      <c r="C888" s="351"/>
    </row>
    <row r="889" spans="3:3" ht="15.75" customHeight="1">
      <c r="C889" s="351"/>
    </row>
    <row r="890" spans="3:3" ht="15.75" customHeight="1">
      <c r="C890" s="351"/>
    </row>
    <row r="891" spans="3:3" ht="15.75" customHeight="1">
      <c r="C891" s="351"/>
    </row>
    <row r="892" spans="3:3" ht="15.75" customHeight="1">
      <c r="C892" s="351"/>
    </row>
    <row r="893" spans="3:3" ht="15.75" customHeight="1">
      <c r="C893" s="351"/>
    </row>
    <row r="894" spans="3:3" ht="15.75" customHeight="1">
      <c r="C894" s="351"/>
    </row>
    <row r="895" spans="3:3" ht="15.75" customHeight="1">
      <c r="C895" s="351"/>
    </row>
    <row r="896" spans="3:3" ht="15.75" customHeight="1">
      <c r="C896" s="351"/>
    </row>
    <row r="897" spans="3:3" ht="15.75" customHeight="1">
      <c r="C897" s="351"/>
    </row>
    <row r="898" spans="3:3" ht="15.75" customHeight="1">
      <c r="C898" s="351"/>
    </row>
    <row r="899" spans="3:3" ht="15.75" customHeight="1">
      <c r="C899" s="351"/>
    </row>
    <row r="900" spans="3:3" ht="15.75" customHeight="1">
      <c r="C900" s="351"/>
    </row>
    <row r="901" spans="3:3" ht="15.75" customHeight="1">
      <c r="C901" s="351"/>
    </row>
    <row r="902" spans="3:3" ht="15.75" customHeight="1">
      <c r="C902" s="351"/>
    </row>
    <row r="903" spans="3:3" ht="15.75" customHeight="1">
      <c r="C903" s="351"/>
    </row>
    <row r="904" spans="3:3" ht="15.75" customHeight="1">
      <c r="C904" s="351"/>
    </row>
    <row r="905" spans="3:3" ht="15.75" customHeight="1">
      <c r="C905" s="351"/>
    </row>
    <row r="906" spans="3:3" ht="15.75" customHeight="1">
      <c r="C906" s="351"/>
    </row>
    <row r="907" spans="3:3" ht="15.75" customHeight="1">
      <c r="C907" s="351"/>
    </row>
    <row r="908" spans="3:3" ht="15.75" customHeight="1">
      <c r="C908" s="351"/>
    </row>
    <row r="909" spans="3:3" ht="15.75" customHeight="1">
      <c r="C909" s="351"/>
    </row>
    <row r="910" spans="3:3" ht="15.75" customHeight="1">
      <c r="C910" s="351"/>
    </row>
    <row r="911" spans="3:3" ht="15.75" customHeight="1">
      <c r="C911" s="351"/>
    </row>
    <row r="912" spans="3:3" ht="15.75" customHeight="1">
      <c r="C912" s="351"/>
    </row>
    <row r="913" spans="3:3" ht="15.75" customHeight="1">
      <c r="C913" s="351"/>
    </row>
    <row r="914" spans="3:3" ht="15.75" customHeight="1">
      <c r="C914" s="351"/>
    </row>
    <row r="915" spans="3:3" ht="15.75" customHeight="1">
      <c r="C915" s="351"/>
    </row>
    <row r="916" spans="3:3" ht="15.75" customHeight="1">
      <c r="C916" s="351"/>
    </row>
    <row r="917" spans="3:3" ht="15.75" customHeight="1">
      <c r="C917" s="351"/>
    </row>
    <row r="918" spans="3:3" ht="15.75" customHeight="1">
      <c r="C918" s="351"/>
    </row>
    <row r="919" spans="3:3" ht="15.75" customHeight="1">
      <c r="C919" s="351"/>
    </row>
    <row r="920" spans="3:3" ht="15.75" customHeight="1">
      <c r="C920" s="351"/>
    </row>
    <row r="921" spans="3:3" ht="15.75" customHeight="1">
      <c r="C921" s="351"/>
    </row>
    <row r="922" spans="3:3" ht="15.75" customHeight="1">
      <c r="C922" s="351"/>
    </row>
    <row r="923" spans="3:3" ht="15.75" customHeight="1">
      <c r="C923" s="351"/>
    </row>
    <row r="924" spans="3:3" ht="15.75" customHeight="1">
      <c r="C924" s="351"/>
    </row>
    <row r="925" spans="3:3" ht="15.75" customHeight="1">
      <c r="C925" s="351"/>
    </row>
    <row r="926" spans="3:3" ht="15.75" customHeight="1">
      <c r="C926" s="351"/>
    </row>
    <row r="927" spans="3:3" ht="15.75" customHeight="1">
      <c r="C927" s="351"/>
    </row>
    <row r="928" spans="3:3" ht="15.75" customHeight="1">
      <c r="C928" s="351"/>
    </row>
    <row r="929" spans="3:3" ht="15.75" customHeight="1">
      <c r="C929" s="351"/>
    </row>
    <row r="930" spans="3:3" ht="15.75" customHeight="1">
      <c r="C930" s="351"/>
    </row>
    <row r="931" spans="3:3" ht="15.75" customHeight="1">
      <c r="C931" s="351"/>
    </row>
    <row r="932" spans="3:3" ht="15.75" customHeight="1">
      <c r="C932" s="351"/>
    </row>
    <row r="933" spans="3:3" ht="15.75" customHeight="1">
      <c r="C933" s="351"/>
    </row>
    <row r="934" spans="3:3" ht="15.75" customHeight="1">
      <c r="C934" s="351"/>
    </row>
    <row r="935" spans="3:3" ht="15.75" customHeight="1">
      <c r="C935" s="351"/>
    </row>
    <row r="936" spans="3:3" ht="15.75" customHeight="1">
      <c r="C936" s="351"/>
    </row>
    <row r="937" spans="3:3" ht="15.75" customHeight="1">
      <c r="C937" s="351"/>
    </row>
    <row r="938" spans="3:3" ht="15.75" customHeight="1">
      <c r="C938" s="351"/>
    </row>
    <row r="939" spans="3:3" ht="15.75" customHeight="1">
      <c r="C939" s="351"/>
    </row>
    <row r="940" spans="3:3" ht="15.75" customHeight="1">
      <c r="C940" s="351"/>
    </row>
    <row r="941" spans="3:3" ht="15.75" customHeight="1">
      <c r="C941" s="351"/>
    </row>
    <row r="942" spans="3:3" ht="15.75" customHeight="1">
      <c r="C942" s="351"/>
    </row>
    <row r="943" spans="3:3" ht="15.75" customHeight="1">
      <c r="C943" s="351"/>
    </row>
    <row r="944" spans="3:3" ht="15.75" customHeight="1">
      <c r="C944" s="351"/>
    </row>
    <row r="945" spans="3:3" ht="15.75" customHeight="1">
      <c r="C945" s="351"/>
    </row>
    <row r="946" spans="3:3" ht="15.75" customHeight="1">
      <c r="C946" s="351"/>
    </row>
    <row r="947" spans="3:3" ht="15.75" customHeight="1">
      <c r="C947" s="351"/>
    </row>
    <row r="948" spans="3:3" ht="15.75" customHeight="1">
      <c r="C948" s="351"/>
    </row>
    <row r="949" spans="3:3" ht="15.75" customHeight="1">
      <c r="C949" s="351"/>
    </row>
    <row r="950" spans="3:3" ht="15.75" customHeight="1">
      <c r="C950" s="351"/>
    </row>
    <row r="951" spans="3:3" ht="15.75" customHeight="1">
      <c r="C951" s="351"/>
    </row>
    <row r="952" spans="3:3" ht="15.75" customHeight="1">
      <c r="C952" s="351"/>
    </row>
    <row r="953" spans="3:3" ht="15.75" customHeight="1">
      <c r="C953" s="351"/>
    </row>
    <row r="954" spans="3:3" ht="15.75" customHeight="1">
      <c r="C954" s="351"/>
    </row>
    <row r="955" spans="3:3" ht="15.75" customHeight="1">
      <c r="C955" s="351"/>
    </row>
    <row r="956" spans="3:3" ht="15.75" customHeight="1">
      <c r="C956" s="351"/>
    </row>
    <row r="957" spans="3:3" ht="15.75" customHeight="1">
      <c r="C957" s="351"/>
    </row>
    <row r="958" spans="3:3" ht="15.75" customHeight="1">
      <c r="C958" s="351"/>
    </row>
    <row r="959" spans="3:3" ht="15.75" customHeight="1">
      <c r="C959" s="351"/>
    </row>
    <row r="960" spans="3:3" ht="15.75" customHeight="1">
      <c r="C960" s="351"/>
    </row>
    <row r="961" spans="3:3" ht="15.75" customHeight="1">
      <c r="C961" s="351"/>
    </row>
    <row r="962" spans="3:3" ht="15.75" customHeight="1">
      <c r="C962" s="351"/>
    </row>
    <row r="963" spans="3:3" ht="15.75" customHeight="1">
      <c r="C963" s="351"/>
    </row>
  </sheetData>
  <mergeCells count="8">
    <mergeCell ref="AG56:AK56"/>
    <mergeCell ref="C74:G74"/>
    <mergeCell ref="H74:V74"/>
    <mergeCell ref="C1:G1"/>
    <mergeCell ref="H1:S1"/>
    <mergeCell ref="T1:Y1"/>
    <mergeCell ref="Z1:AB1"/>
    <mergeCell ref="C50:G50"/>
  </mergeCells>
  <conditionalFormatting sqref="D52:D56 E58:G60">
    <cfRule type="cellIs" dxfId="38" priority="6" operator="lessThan">
      <formula>0</formula>
    </cfRule>
    <cfRule type="cellIs" dxfId="37" priority="7" operator="greaterThan">
      <formula>0</formula>
    </cfRule>
  </conditionalFormatting>
  <conditionalFormatting sqref="M4:M31 M35:M46 M76:M113">
    <cfRule type="cellIs" dxfId="36" priority="10" operator="greaterThan">
      <formula>0</formula>
    </cfRule>
  </conditionalFormatting>
  <conditionalFormatting sqref="M4:N31 M35:N46 M76:M113">
    <cfRule type="cellIs" dxfId="35" priority="11" operator="lessThanOrEqual">
      <formula>0</formula>
    </cfRule>
  </conditionalFormatting>
  <conditionalFormatting sqref="M4:N31 M35:N46 M76:N115">
    <cfRule type="cellIs" dxfId="34" priority="25" operator="greaterThan">
      <formula>0</formula>
    </cfRule>
  </conditionalFormatting>
  <conditionalFormatting sqref="M48:N48 M76:N115">
    <cfRule type="cellIs" dxfId="33" priority="26" operator="lessThanOrEqual">
      <formula>0</formula>
    </cfRule>
  </conditionalFormatting>
  <conditionalFormatting sqref="N4:N31 N35:N46 M48:N48 L50 N76:N115">
    <cfRule type="cellIs" dxfId="32" priority="9" operator="greaterThan">
      <formula>0</formula>
    </cfRule>
  </conditionalFormatting>
  <conditionalFormatting sqref="N4:N31 N35:N46 N48 L50 N76:N115">
    <cfRule type="cellIs" dxfId="31" priority="8" operator="lessThan">
      <formula>0</formula>
    </cfRule>
  </conditionalFormatting>
  <conditionalFormatting sqref="Q4 Q6 Q8 Q10 Q12 Q14 Q16 Q18 Q20 Q22:Q24 Q26 Q28:Q30 Q34:Q46">
    <cfRule type="colorScale" priority="29">
      <colorScale>
        <cfvo type="min"/>
        <cfvo type="percentile" val="50"/>
        <cfvo type="max"/>
        <color rgb="FF57BB8A"/>
        <color rgb="FFFFFFFF"/>
        <color rgb="FFE67C73"/>
      </colorScale>
    </cfRule>
  </conditionalFormatting>
  <conditionalFormatting sqref="S6 S4 S8 S10 S12 S14 S16 S18 S20 S22:S24 S26 S28:S30 S34:S46">
    <cfRule type="colorScale" priority="30">
      <colorScale>
        <cfvo type="min"/>
        <cfvo type="max"/>
        <color rgb="FFE67C73"/>
        <color rgb="FFFFFFFF"/>
      </colorScale>
    </cfRule>
  </conditionalFormatting>
  <conditionalFormatting sqref="T4:Y4 T6:Y6 T8:Y8 T10:Y10 T12:Y12 T14:Y14 T16:Y16 T18:Y18 T20:Y20 T22:Y24 T26:Y26 T28:Y30 T34:Y46 L50">
    <cfRule type="cellIs" dxfId="30" priority="28" operator="lessThanOrEqual">
      <formula>0</formula>
    </cfRule>
  </conditionalFormatting>
  <conditionalFormatting sqref="T4:Y4 T6:Y6 T8:Y8 T10:Y10 T12:Y12 T14:Y14 T16:Y16 T18:Y18 T20:Y20 T22:Y24 T26:Y26 T28:Y30 T34:Y46">
    <cfRule type="cellIs" dxfId="29" priority="27" operator="greaterThan">
      <formula>0</formula>
    </cfRule>
  </conditionalFormatting>
  <conditionalFormatting sqref="T4:Y4 T6:Y6 T8:Y8 T10:Y10 T12:Y12 T14:Y14 T16:Y16 T18:Y18 T20:Y20 T22:Y24 T26:Y26 T28:Y30 T35:Y35 T37:Y37 T39:Y39 T41:Y41 T43:Y43 T45:Y45">
    <cfRule type="cellIs" dxfId="28" priority="1" operator="greaterThan">
      <formula>0</formula>
    </cfRule>
    <cfRule type="cellIs" dxfId="27" priority="2" operator="lessThanOrEqual">
      <formula>0</formula>
    </cfRule>
  </conditionalFormatting>
  <conditionalFormatting sqref="T4 AA4 T6 AA6 T8 AA8 T10 AA10 T12 AA12 T14 AA14 T16 AA16 T18 AA18 T20 AA20 T22:T24 AA22:AA24 AB22 AB24 T26 AA26:AB26 T28 AA28:AA30 AA34:AA35 T35 T37 AA37 T39 AA39 T41 AA41 T43 AA43 T45 AA45">
    <cfRule type="colorScale" priority="23">
      <colorScale>
        <cfvo type="min"/>
        <cfvo type="percentile" val="50"/>
        <cfvo type="max"/>
        <color rgb="FFE67C73"/>
        <color rgb="FFFFFFFF"/>
        <color rgb="FF57BB8A"/>
      </colorScale>
    </cfRule>
  </conditionalFormatting>
  <conditionalFormatting sqref="AA4:AB4 AA6:AB6 AA8:AB8 AA10:AB10 AA12:AB12 AA14:AB14 AA16:AB16 AA18:AB18 AA20:AB20 AA22:AB24 AA26:AB26 AA28:AB30 AA34:AB46">
    <cfRule type="cellIs" dxfId="26" priority="12" operator="equal">
      <formula>"Alcista"</formula>
    </cfRule>
    <cfRule type="cellIs" dxfId="25" priority="13" operator="equal">
      <formula>"Neutral"</formula>
    </cfRule>
    <cfRule type="cellIs" dxfId="24" priority="14" operator="equal">
      <formula>"Bajista"</formula>
    </cfRule>
  </conditionalFormatting>
  <conditionalFormatting sqref="AB4 AB6 AB8 AB10 AB12 AB14 AB16 AB18 AB20 AB22:AB24 AB26 AB28:AB30 AB34:AB35 AB37 AB39 AB41 AB43 AB45">
    <cfRule type="colorScale" priority="24">
      <colorScale>
        <cfvo type="min"/>
        <cfvo type="percentile" val="50"/>
        <cfvo type="max"/>
        <color rgb="FF57BB8A"/>
        <color rgb="FFFFFFFF"/>
        <color rgb="FFE67C73"/>
      </colorScale>
    </cfRule>
  </conditionalFormatting>
  <conditionalFormatting sqref="AC4 AC6 AC8 AC10 AC12 AC14 AC16 AC18 AC20 AC22:AC24 AC26 AC28:AC30 AC34:AC46">
    <cfRule type="cellIs" dxfId="23" priority="15" operator="equal">
      <formula>"Baja"</formula>
    </cfRule>
    <cfRule type="cellIs" dxfId="22" priority="16" operator="equal">
      <formula>"Media"</formula>
    </cfRule>
    <cfRule type="cellIs" dxfId="21" priority="17" operator="equal">
      <formula>"Alta"</formula>
    </cfRule>
  </conditionalFormatting>
  <conditionalFormatting sqref="AC4:AD4 AC6:AD6 AC8:AD8 AC10:AD10 AC12:AD12 AC14:AD14 AC16:AD16 AC18:AD18 AC20:AD20 AC22:AD24 Z26:AD26 AC28:AD30 AC34:AD46 Z4:AA4 Z6:AA6 Z8:AA8 Z10:AA10 Z12:AA12 AB22 Z22:AA24 AB24 Z28:AA30 AA34:AA35 Z34:Z47 AA37 AA39 AA41 AA43 AA45 Z14:AA14 Z16:AA16 Z18:AA18 Z20:AA20">
    <cfRule type="cellIs" dxfId="20" priority="20" operator="equal">
      <formula>"Atractivo"</formula>
    </cfRule>
    <cfRule type="cellIs" dxfId="19" priority="21" operator="equal">
      <formula>"Neutral"</formula>
    </cfRule>
    <cfRule type="cellIs" dxfId="18" priority="22" operator="equal">
      <formula>"Esperar"</formula>
    </cfRule>
  </conditionalFormatting>
  <conditionalFormatting sqref="AD4 AD6 AD8 AD10 AD12 AD14 AD16 AD18 AD20 AD22:AD24 AD26 AD28:AD30 AD35 AD37 AD39 AD41 AD43 AD45">
    <cfRule type="containsText" dxfId="17" priority="3" operator="containsText" text="Alta">
      <formula>NOT(ISERROR(SEARCH(("Alta"),(AD4))))</formula>
    </cfRule>
    <cfRule type="containsText" dxfId="16" priority="4" operator="containsText" text="Media">
      <formula>NOT(ISERROR(SEARCH(("Media"),(AD4))))</formula>
    </cfRule>
    <cfRule type="containsText" dxfId="15" priority="5" operator="containsText" text="Baja">
      <formula>NOT(ISERROR(SEARCH(("Baja"),(AD4))))</formula>
    </cfRule>
  </conditionalFormatting>
  <conditionalFormatting sqref="AD35:AD46 AC4 AC6 AC8 AC10 AC12 AC14 AC16 AC18 AC20 AC22:AC24 AC26 AC28:AC30 AC34:AC46 Z35:Z47">
    <cfRule type="cellIs" dxfId="14" priority="18" operator="equal">
      <formula>"Core"</formula>
    </cfRule>
    <cfRule type="cellIs" dxfId="13" priority="19" operator="equal">
      <formula>"Satellite"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I83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10.88671875" customWidth="1"/>
    <col min="10"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30"/>
      <c r="B1" s="30"/>
      <c r="C1" s="548" t="s">
        <v>30</v>
      </c>
      <c r="D1" s="549"/>
      <c r="E1" s="549"/>
      <c r="F1" s="549"/>
      <c r="G1" s="550"/>
      <c r="H1" s="551"/>
      <c r="I1" s="549"/>
      <c r="J1" s="549"/>
      <c r="K1" s="550"/>
      <c r="L1" s="548" t="s">
        <v>32</v>
      </c>
      <c r="M1" s="549"/>
      <c r="N1" s="549"/>
      <c r="O1" s="549"/>
      <c r="P1" s="549"/>
      <c r="Q1" s="55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ht="36">
      <c r="A2" s="38"/>
      <c r="B2" s="39" t="s">
        <v>0</v>
      </c>
      <c r="C2" s="40" t="s">
        <v>1</v>
      </c>
      <c r="D2" s="39" t="s">
        <v>2</v>
      </c>
      <c r="E2" s="39" t="s">
        <v>321</v>
      </c>
      <c r="F2" s="39" t="s">
        <v>69</v>
      </c>
      <c r="G2" s="39" t="s">
        <v>322</v>
      </c>
      <c r="H2" s="41" t="s">
        <v>3</v>
      </c>
      <c r="I2" s="41" t="s">
        <v>323</v>
      </c>
      <c r="J2" s="42" t="s">
        <v>324</v>
      </c>
      <c r="K2" s="42" t="s">
        <v>325</v>
      </c>
      <c r="L2" s="43" t="s">
        <v>4</v>
      </c>
      <c r="M2" s="39" t="s">
        <v>51</v>
      </c>
      <c r="N2" s="39" t="s">
        <v>52</v>
      </c>
      <c r="O2" s="39" t="s">
        <v>53</v>
      </c>
      <c r="P2" s="39" t="s">
        <v>54</v>
      </c>
      <c r="Q2" s="39" t="s">
        <v>55</v>
      </c>
      <c r="R2" s="46"/>
      <c r="S2" s="46"/>
      <c r="T2" s="46"/>
      <c r="U2" s="46"/>
      <c r="V2" s="46"/>
      <c r="W2" s="46"/>
      <c r="X2" s="46"/>
      <c r="Y2" s="46"/>
      <c r="Z2" s="46"/>
      <c r="AA2" s="46"/>
      <c r="AB2" s="46"/>
      <c r="AC2" s="46"/>
      <c r="AD2" s="46"/>
      <c r="AE2" s="46"/>
      <c r="AF2" s="46"/>
      <c r="AG2" s="46"/>
      <c r="AH2" s="46"/>
      <c r="AI2" s="46"/>
      <c r="AJ2" s="46"/>
      <c r="AK2" s="46"/>
      <c r="AL2" s="46"/>
      <c r="AM2" s="46"/>
      <c r="AN2" s="38"/>
      <c r="AO2" s="38"/>
      <c r="AP2" s="38"/>
      <c r="AQ2" s="38"/>
      <c r="AR2" s="38"/>
      <c r="AS2" s="38"/>
      <c r="AT2" s="38"/>
      <c r="AU2" s="38"/>
      <c r="AV2" s="38"/>
      <c r="AW2" s="38"/>
      <c r="AX2" s="38"/>
      <c r="AY2" s="38"/>
      <c r="AZ2" s="38"/>
    </row>
    <row r="3" spans="1:61" ht="13.2">
      <c r="A3" s="47">
        <v>1</v>
      </c>
      <c r="B3" s="1" t="s">
        <v>5</v>
      </c>
      <c r="C3" s="48" t="str">
        <f ca="1">IFERROR(__xludf.DUMMYFUNCTION("GoogleFinance(B3,""name"")"),"SPDR S&amp;P 500 ETF Trust")</f>
        <v>SPDR S&amp;P 500 ETF Trust</v>
      </c>
      <c r="D3" s="50" t="s">
        <v>65</v>
      </c>
      <c r="E3" s="533"/>
      <c r="F3" s="534"/>
      <c r="G3" s="535">
        <v>45446</v>
      </c>
      <c r="H3" s="52">
        <f ca="1">IFERROR(__xludf.DUMMYFUNCTION("GOOGLEFINANCE(B3)"),544.51)</f>
        <v>544.51</v>
      </c>
      <c r="I3" s="418">
        <v>502.2</v>
      </c>
      <c r="J3" s="57">
        <f ca="1">I3/H3-1</f>
        <v>-7.7702888835834094E-2</v>
      </c>
      <c r="K3" s="50"/>
      <c r="L3" s="11">
        <f ca="1">IFERROR(__xludf.DUMMYFUNCTION("GoogleFinance(B3,""changepct"")/100"),0)</f>
        <v>0</v>
      </c>
      <c r="M3" s="11">
        <f ca="1">H3/V4-1</f>
        <v>-4.7340522756351699E-3</v>
      </c>
      <c r="N3" s="11">
        <f ca="1">H3/X4-1</f>
        <v>2.8464037473556747E-2</v>
      </c>
      <c r="O3" s="11">
        <f ca="1">H3/Z4-1</f>
        <v>4.7597976027858424E-2</v>
      </c>
      <c r="P3" s="11">
        <f ca="1">H3/AB4-1</f>
        <v>0.14477031430673826</v>
      </c>
      <c r="Q3" s="11">
        <f ca="1">H3/AD4-1</f>
        <v>0.14558919442048346</v>
      </c>
      <c r="R3" s="2"/>
      <c r="S3" s="2"/>
      <c r="T3" s="2"/>
      <c r="U3" s="2" t="str">
        <f ca="1">IFERROR(__xludf.DUMMYFUNCTION("GoogleFinance(B3,""price"",today()-7)"),"Date")</f>
        <v>Date</v>
      </c>
      <c r="V3" s="23" t="str">
        <f ca="1">IFERROR(__xludf.DUMMYFUNCTION("""COMPUTED_VALUE"""),"Close")</f>
        <v>Close</v>
      </c>
      <c r="W3" s="2" t="str">
        <f ca="1">IFERROR(__xludf.DUMMYFUNCTION("GoogleFinance(B3,""price"",today()-31)"),"Date")</f>
        <v>Date</v>
      </c>
      <c r="X3" s="23" t="str">
        <f ca="1">IFERROR(__xludf.DUMMYFUNCTION("""COMPUTED_VALUE"""),"Close")</f>
        <v>Close</v>
      </c>
      <c r="Y3" s="2" t="str">
        <f ca="1">IFERROR(__xludf.DUMMYFUNCTION("GoogleFinance(B3,""price"",today()-91)"),"Date")</f>
        <v>Date</v>
      </c>
      <c r="Z3" s="23" t="str">
        <f ca="1">IFERROR(__xludf.DUMMYFUNCTION("""COMPUTED_VALUE"""),"Close")</f>
        <v>Close</v>
      </c>
      <c r="AA3" s="2" t="str">
        <f ca="1">IFERROR(__xludf.DUMMYFUNCTION("GoogleFinance(B3,""price"",today()-182)"),"Date")</f>
        <v>Date</v>
      </c>
      <c r="AB3" s="23" t="str">
        <f ca="1">IFERROR(__xludf.DUMMYFUNCTION("""COMPUTED_VALUE"""),"Close")</f>
        <v>Close</v>
      </c>
      <c r="AC3" s="2" t="str">
        <f ca="1">IFERROR(__xludf.DUMMYFUNCTION("GoogleFinance(B3,""price"",DATE(2023,12,29))"),"Date")</f>
        <v>Date</v>
      </c>
      <c r="AD3" s="23" t="str">
        <f ca="1">IFERROR(__xludf.DUMMYFUNCTION("""COMPUTED_VALUE"""),"Close")</f>
        <v>Close</v>
      </c>
      <c r="AE3" s="5"/>
      <c r="AF3" s="5"/>
      <c r="AG3" s="5"/>
      <c r="AH3" s="5"/>
      <c r="AI3" s="393"/>
      <c r="AJ3" s="393"/>
      <c r="AK3" s="5"/>
      <c r="AL3" s="393"/>
      <c r="AM3" s="393"/>
      <c r="AN3" s="393"/>
      <c r="AO3" s="393"/>
      <c r="AP3" s="393"/>
      <c r="AQ3" s="5"/>
      <c r="AR3" s="5"/>
      <c r="AS3" s="5"/>
      <c r="AT3" s="5"/>
      <c r="AU3" s="5"/>
      <c r="AV3" s="5"/>
      <c r="AW3" s="5"/>
      <c r="AX3" s="5"/>
      <c r="AY3" s="5"/>
      <c r="AZ3" s="5"/>
      <c r="BA3" s="393"/>
      <c r="BB3" s="393"/>
      <c r="BC3" s="393"/>
      <c r="BD3" s="393"/>
      <c r="BE3" s="393"/>
      <c r="BF3" s="393"/>
      <c r="BG3" s="393"/>
      <c r="BH3" s="393"/>
      <c r="BI3" s="393"/>
    </row>
    <row r="4" spans="1:61" ht="13.2" hidden="1">
      <c r="A4" s="47" t="e">
        <f>1+#REF!</f>
        <v>#REF!</v>
      </c>
      <c r="B4" s="385"/>
      <c r="C4" s="386"/>
      <c r="D4" s="50"/>
      <c r="E4" s="533">
        <v>45203</v>
      </c>
      <c r="F4" s="534">
        <v>45203</v>
      </c>
      <c r="G4" s="535">
        <v>45203</v>
      </c>
      <c r="H4" s="387"/>
      <c r="I4" s="387"/>
      <c r="J4" s="389"/>
      <c r="K4" s="389"/>
      <c r="L4" s="390"/>
      <c r="M4" s="390"/>
      <c r="N4" s="390"/>
      <c r="O4" s="390"/>
      <c r="P4" s="390"/>
      <c r="Q4" s="390"/>
      <c r="R4" s="24"/>
      <c r="S4" s="24"/>
      <c r="T4" s="24"/>
      <c r="U4" s="24">
        <f ca="1">IFERROR(__xludf.DUMMYFUNCTION("""COMPUTED_VALUE"""),45460.6666666666)</f>
        <v>45460.666666666599</v>
      </c>
      <c r="V4" s="23">
        <f ca="1">IFERROR(__xludf.DUMMYFUNCTION("""COMPUTED_VALUE"""),547.1)</f>
        <v>547.1</v>
      </c>
      <c r="W4" s="24">
        <f ca="1">IFERROR(__xludf.DUMMYFUNCTION("""COMPUTED_VALUE"""),45436.6666666666)</f>
        <v>45436.666666666599</v>
      </c>
      <c r="X4" s="23">
        <f ca="1">IFERROR(__xludf.DUMMYFUNCTION("""COMPUTED_VALUE"""),529.44)</f>
        <v>529.44000000000005</v>
      </c>
      <c r="Y4" s="24">
        <f ca="1">IFERROR(__xludf.DUMMYFUNCTION("""COMPUTED_VALUE"""),45376.6666666666)</f>
        <v>45376.666666666599</v>
      </c>
      <c r="Z4" s="23">
        <f ca="1">IFERROR(__xludf.DUMMYFUNCTION("""COMPUTED_VALUE"""),519.77)</f>
        <v>519.77</v>
      </c>
      <c r="AA4" s="24">
        <f ca="1">IFERROR(__xludf.DUMMYFUNCTION("""COMPUTED_VALUE"""),45286.6666666666)</f>
        <v>45286.666666666599</v>
      </c>
      <c r="AB4" s="23">
        <f ca="1">IFERROR(__xludf.DUMMYFUNCTION("""COMPUTED_VALUE"""),475.65)</f>
        <v>475.65</v>
      </c>
      <c r="AC4" s="24">
        <f ca="1">IFERROR(__xludf.DUMMYFUNCTION("""COMPUTED_VALUE"""),45289.6666666666)</f>
        <v>45289.666666666599</v>
      </c>
      <c r="AD4" s="23">
        <f ca="1">IFERROR(__xludf.DUMMYFUNCTION("""COMPUTED_VALUE"""),475.31)</f>
        <v>475.31</v>
      </c>
      <c r="AE4" s="27"/>
      <c r="AF4" s="27"/>
      <c r="AG4" s="27"/>
      <c r="AH4" s="27"/>
      <c r="AI4" s="393"/>
      <c r="AJ4" s="393"/>
      <c r="AK4" s="27"/>
      <c r="AL4" s="393"/>
      <c r="AM4" s="393"/>
      <c r="AN4" s="393"/>
      <c r="AO4" s="393"/>
      <c r="AP4" s="393"/>
      <c r="AQ4" s="27"/>
      <c r="AR4" s="27"/>
      <c r="AS4" s="27"/>
      <c r="AT4" s="27"/>
      <c r="AU4" s="27"/>
      <c r="AV4" s="27"/>
      <c r="AW4" s="27"/>
      <c r="AX4" s="27"/>
      <c r="AY4" s="27"/>
      <c r="AZ4" s="27"/>
      <c r="BA4" s="393"/>
      <c r="BB4" s="393"/>
      <c r="BC4" s="393"/>
      <c r="BD4" s="393"/>
      <c r="BE4" s="393"/>
      <c r="BF4" s="393"/>
      <c r="BG4" s="393"/>
      <c r="BH4" s="393"/>
      <c r="BI4" s="393"/>
    </row>
    <row r="5" spans="1:61" ht="13.2">
      <c r="A5" s="47">
        <f t="shared" ref="A5:A9" si="0">1+A3</f>
        <v>2</v>
      </c>
      <c r="B5" s="1" t="s">
        <v>6</v>
      </c>
      <c r="C5" s="48" t="str">
        <f ca="1">IFERROR(__xludf.DUMMYFUNCTION("GoogleFinance(B5,""name"")"),"Invesco QQQ Trust Series 1")</f>
        <v>Invesco QQQ Trust Series 1</v>
      </c>
      <c r="D5" s="50" t="s">
        <v>326</v>
      </c>
      <c r="E5" s="533"/>
      <c r="F5" s="534"/>
      <c r="G5" s="535">
        <v>45460</v>
      </c>
      <c r="H5" s="52">
        <f ca="1">IFERROR(__xludf.DUMMYFUNCTION("GOOGLEFINANCE(B5)"),480.18)</f>
        <v>480.18</v>
      </c>
      <c r="I5" s="59">
        <v>435</v>
      </c>
      <c r="J5" s="57">
        <f ca="1">I5/H5-1</f>
        <v>-9.4089716356366426E-2</v>
      </c>
      <c r="K5" s="50"/>
      <c r="L5" s="11">
        <f ca="1">IFERROR(__xludf.DUMMYFUNCTION("GoogleFinance(B5,""changepct"")/100"),0.0016)</f>
        <v>1.6000000000000001E-3</v>
      </c>
      <c r="M5" s="11">
        <f ca="1">H5/V6-1</f>
        <v>-1.0060611058425706E-2</v>
      </c>
      <c r="N5" s="11">
        <f ca="1">H5/X6-1</f>
        <v>4.8542417294464402E-2</v>
      </c>
      <c r="O5" s="11">
        <f ca="1">H5/Z6-1</f>
        <v>7.9638456695745985E-2</v>
      </c>
      <c r="P5" s="11">
        <f ca="1">H5/AB6-1</f>
        <v>0.16866238317757021</v>
      </c>
      <c r="Q5" s="11">
        <f ca="1">H5/AD6-1</f>
        <v>0.17254346552060951</v>
      </c>
      <c r="R5" s="2"/>
      <c r="S5" s="2"/>
      <c r="T5" s="2"/>
      <c r="U5" s="2" t="str">
        <f ca="1">IFERROR(__xludf.DUMMYFUNCTION("GoogleFinance(B5,""price"",today()-7)"),"Date")</f>
        <v>Date</v>
      </c>
      <c r="V5" s="23" t="str">
        <f ca="1">IFERROR(__xludf.DUMMYFUNCTION("""COMPUTED_VALUE"""),"Close")</f>
        <v>Close</v>
      </c>
      <c r="W5" s="2" t="str">
        <f ca="1">IFERROR(__xludf.DUMMYFUNCTION("GoogleFinance(B5,""price"",today()-31)"),"Date")</f>
        <v>Date</v>
      </c>
      <c r="X5" s="23" t="str">
        <f ca="1">IFERROR(__xludf.DUMMYFUNCTION("""COMPUTED_VALUE"""),"Close")</f>
        <v>Close</v>
      </c>
      <c r="Y5" s="2" t="str">
        <f ca="1">IFERROR(__xludf.DUMMYFUNCTION("GoogleFinance(B5,""price"",today()-91)"),"Date")</f>
        <v>Date</v>
      </c>
      <c r="Z5" s="23" t="str">
        <f ca="1">IFERROR(__xludf.DUMMYFUNCTION("""COMPUTED_VALUE"""),"Close")</f>
        <v>Close</v>
      </c>
      <c r="AA5" s="2" t="str">
        <f ca="1">IFERROR(__xludf.DUMMYFUNCTION("GoogleFinance(B5,""price"",today()-182)"),"Date")</f>
        <v>Date</v>
      </c>
      <c r="AB5" s="23" t="str">
        <f ca="1">IFERROR(__xludf.DUMMYFUNCTION("""COMPUTED_VALUE"""),"Close")</f>
        <v>Close</v>
      </c>
      <c r="AC5" s="2" t="str">
        <f ca="1">IFERROR(__xludf.DUMMYFUNCTION("GoogleFinance(B5,""price"",DATE(2023,12,29))"),"Date")</f>
        <v>Date</v>
      </c>
      <c r="AD5" s="23" t="str">
        <f ca="1">IFERROR(__xludf.DUMMYFUNCTION("""COMPUTED_VALUE"""),"Close")</f>
        <v>Close</v>
      </c>
      <c r="AE5" s="5"/>
      <c r="AF5" s="5"/>
      <c r="AG5" s="5"/>
      <c r="AH5" s="5"/>
      <c r="AI5" s="393"/>
      <c r="AJ5" s="393"/>
      <c r="AK5" s="5"/>
      <c r="AL5" s="393"/>
      <c r="AM5" s="393"/>
      <c r="AN5" s="393"/>
      <c r="AO5" s="393"/>
      <c r="AP5" s="393"/>
      <c r="AQ5" s="5"/>
      <c r="AR5" s="5"/>
      <c r="AS5" s="5"/>
      <c r="AT5" s="5"/>
      <c r="AU5" s="5"/>
      <c r="AV5" s="5"/>
      <c r="AW5" s="5"/>
      <c r="AX5" s="5"/>
      <c r="AY5" s="5"/>
      <c r="AZ5" s="5"/>
      <c r="BA5" s="393"/>
      <c r="BB5" s="393"/>
      <c r="BC5" s="393"/>
      <c r="BD5" s="393"/>
      <c r="BE5" s="393"/>
      <c r="BF5" s="393"/>
      <c r="BG5" s="393"/>
      <c r="BH5" s="393"/>
      <c r="BI5" s="393"/>
    </row>
    <row r="6" spans="1:61" ht="13.2" hidden="1">
      <c r="A6" s="47" t="e">
        <f t="shared" si="0"/>
        <v>#REF!</v>
      </c>
      <c r="B6" s="385"/>
      <c r="C6" s="386"/>
      <c r="D6" s="50"/>
      <c r="E6" s="533">
        <v>45205</v>
      </c>
      <c r="F6" s="534">
        <v>45205</v>
      </c>
      <c r="G6" s="535">
        <v>45205</v>
      </c>
      <c r="H6" s="387"/>
      <c r="I6" s="387"/>
      <c r="J6" s="389"/>
      <c r="K6" s="389"/>
      <c r="L6" s="390"/>
      <c r="M6" s="390"/>
      <c r="N6" s="390"/>
      <c r="O6" s="390"/>
      <c r="P6" s="390"/>
      <c r="Q6" s="390"/>
      <c r="R6" s="24"/>
      <c r="S6" s="24"/>
      <c r="T6" s="24"/>
      <c r="U6" s="24">
        <f ca="1">IFERROR(__xludf.DUMMYFUNCTION("""COMPUTED_VALUE"""),45460.6666666666)</f>
        <v>45460.666666666599</v>
      </c>
      <c r="V6" s="23">
        <f ca="1">IFERROR(__xludf.DUMMYFUNCTION("""COMPUTED_VALUE"""),485.06)</f>
        <v>485.06</v>
      </c>
      <c r="W6" s="24">
        <f ca="1">IFERROR(__xludf.DUMMYFUNCTION("""COMPUTED_VALUE"""),45436.6666666666)</f>
        <v>45436.666666666599</v>
      </c>
      <c r="X6" s="23">
        <f ca="1">IFERROR(__xludf.DUMMYFUNCTION("""COMPUTED_VALUE"""),457.95)</f>
        <v>457.95</v>
      </c>
      <c r="Y6" s="24">
        <f ca="1">IFERROR(__xludf.DUMMYFUNCTION("""COMPUTED_VALUE"""),45376.6666666666)</f>
        <v>45376.666666666599</v>
      </c>
      <c r="Z6" s="23">
        <f ca="1">IFERROR(__xludf.DUMMYFUNCTION("""COMPUTED_VALUE"""),444.76)</f>
        <v>444.76</v>
      </c>
      <c r="AA6" s="24">
        <f ca="1">IFERROR(__xludf.DUMMYFUNCTION("""COMPUTED_VALUE"""),45286.6666666666)</f>
        <v>45286.666666666599</v>
      </c>
      <c r="AB6" s="23">
        <f ca="1">IFERROR(__xludf.DUMMYFUNCTION("""COMPUTED_VALUE"""),410.88)</f>
        <v>410.88</v>
      </c>
      <c r="AC6" s="24">
        <f ca="1">IFERROR(__xludf.DUMMYFUNCTION("""COMPUTED_VALUE"""),45289.6666666666)</f>
        <v>45289.666666666599</v>
      </c>
      <c r="AD6" s="23">
        <f ca="1">IFERROR(__xludf.DUMMYFUNCTION("""COMPUTED_VALUE"""),409.52)</f>
        <v>409.52</v>
      </c>
      <c r="AE6" s="27"/>
      <c r="AF6" s="27"/>
      <c r="AG6" s="27"/>
      <c r="AH6" s="27"/>
      <c r="AI6" s="393"/>
      <c r="AJ6" s="393"/>
      <c r="AK6" s="27"/>
      <c r="AL6" s="393"/>
      <c r="AM6" s="393"/>
      <c r="AN6" s="393"/>
      <c r="AO6" s="393"/>
      <c r="AP6" s="393"/>
      <c r="AQ6" s="27"/>
      <c r="AR6" s="27"/>
      <c r="AS6" s="27"/>
      <c r="AT6" s="27"/>
      <c r="AU6" s="27"/>
      <c r="AV6" s="27"/>
      <c r="AW6" s="27"/>
      <c r="AX6" s="27"/>
      <c r="AY6" s="27"/>
      <c r="AZ6" s="27"/>
      <c r="BA6" s="393"/>
      <c r="BB6" s="393"/>
      <c r="BC6" s="393"/>
      <c r="BD6" s="393"/>
      <c r="BE6" s="393"/>
      <c r="BF6" s="393"/>
      <c r="BG6" s="393"/>
      <c r="BH6" s="393"/>
      <c r="BI6" s="393"/>
    </row>
    <row r="7" spans="1:61" ht="13.2">
      <c r="A7" s="47">
        <f t="shared" si="0"/>
        <v>3</v>
      </c>
      <c r="B7" s="1" t="s">
        <v>8</v>
      </c>
      <c r="C7" s="48" t="str">
        <f ca="1">IFERROR(__xludf.DUMMYFUNCTION("GoogleFinance(B7,""name"")"),"iShares Russell 2000 ETF")</f>
        <v>iShares Russell 2000 ETF</v>
      </c>
      <c r="D7" s="50" t="s">
        <v>327</v>
      </c>
      <c r="E7" s="533"/>
      <c r="F7" s="534"/>
      <c r="G7" s="535">
        <v>45446</v>
      </c>
      <c r="H7" s="52">
        <f ca="1">IFERROR(__xludf.DUMMYFUNCTION("GOOGLEFINANCE(B7)"),200.35)</f>
        <v>200.35</v>
      </c>
      <c r="I7" s="59">
        <v>202.5</v>
      </c>
      <c r="J7" s="57">
        <f ca="1">I7/H7-1</f>
        <v>1.0731220364362359E-2</v>
      </c>
      <c r="K7" s="50"/>
      <c r="L7" s="11">
        <f ca="1">IFERROR(__xludf.DUMMYFUNCTION("GoogleFinance(B7,""changepct"")/100"),0)</f>
        <v>0</v>
      </c>
      <c r="M7" s="11">
        <f ca="1">H7/V8-1</f>
        <v>-2.4950099800402636E-4</v>
      </c>
      <c r="N7" s="11">
        <f ca="1">H7/X8-1</f>
        <v>-2.4776090342679136E-2</v>
      </c>
      <c r="O7" s="11">
        <f ca="1">H7/Z8-1</f>
        <v>-2.5250559501800107E-2</v>
      </c>
      <c r="P7" s="11">
        <f ca="1">H7/AB8-1</f>
        <v>-1.8373346398824153E-2</v>
      </c>
      <c r="Q7" s="11">
        <f ca="1">H7/AD8-1</f>
        <v>-1.7936326042549133E-3</v>
      </c>
      <c r="R7" s="2"/>
      <c r="S7" s="2"/>
      <c r="T7" s="2"/>
      <c r="U7" s="2" t="str">
        <f ca="1">IFERROR(__xludf.DUMMYFUNCTION("GoogleFinance(B7,""price"",today()-7)"),"Date")</f>
        <v>Date</v>
      </c>
      <c r="V7" s="23" t="str">
        <f ca="1">IFERROR(__xludf.DUMMYFUNCTION("""COMPUTED_VALUE"""),"Close")</f>
        <v>Close</v>
      </c>
      <c r="W7" s="2" t="str">
        <f ca="1">IFERROR(__xludf.DUMMYFUNCTION("GoogleFinance(B7,""price"",today()-31)"),"Date")</f>
        <v>Date</v>
      </c>
      <c r="X7" s="23" t="str">
        <f ca="1">IFERROR(__xludf.DUMMYFUNCTION("""COMPUTED_VALUE"""),"Close")</f>
        <v>Close</v>
      </c>
      <c r="Y7" s="2" t="str">
        <f ca="1">IFERROR(__xludf.DUMMYFUNCTION("GoogleFinance(B7,""price"",today()-91)"),"Date")</f>
        <v>Date</v>
      </c>
      <c r="Z7" s="23" t="str">
        <f ca="1">IFERROR(__xludf.DUMMYFUNCTION("""COMPUTED_VALUE"""),"Close")</f>
        <v>Close</v>
      </c>
      <c r="AA7" s="2" t="str">
        <f ca="1">IFERROR(__xludf.DUMMYFUNCTION("GoogleFinance(B7,""price"",today()-182)"),"Date")</f>
        <v>Date</v>
      </c>
      <c r="AB7" s="23" t="str">
        <f ca="1">IFERROR(__xludf.DUMMYFUNCTION("""COMPUTED_VALUE"""),"Close")</f>
        <v>Close</v>
      </c>
      <c r="AC7" s="2" t="str">
        <f ca="1">IFERROR(__xludf.DUMMYFUNCTION("GoogleFinance(B7,""price"",DATE(2023,12,29))"),"Date")</f>
        <v>Date</v>
      </c>
      <c r="AD7" s="23" t="str">
        <f ca="1">IFERROR(__xludf.DUMMYFUNCTION("""COMPUTED_VALUE"""),"Close")</f>
        <v>Close</v>
      </c>
      <c r="AE7" s="5"/>
      <c r="AF7" s="5"/>
      <c r="AG7" s="5"/>
      <c r="AH7" s="5"/>
      <c r="AI7" s="393"/>
      <c r="AJ7" s="393"/>
      <c r="AK7" s="5"/>
      <c r="AL7" s="393"/>
      <c r="AM7" s="393"/>
      <c r="AN7" s="393"/>
      <c r="AO7" s="393"/>
      <c r="AP7" s="393"/>
      <c r="AQ7" s="5"/>
      <c r="AR7" s="5"/>
      <c r="AS7" s="5"/>
      <c r="AT7" s="5"/>
      <c r="AU7" s="5"/>
      <c r="AV7" s="5"/>
      <c r="AW7" s="5"/>
      <c r="AX7" s="5"/>
      <c r="AY7" s="5"/>
      <c r="AZ7" s="5"/>
      <c r="BA7" s="393"/>
      <c r="BB7" s="393"/>
      <c r="BC7" s="393"/>
      <c r="BD7" s="393"/>
      <c r="BE7" s="393"/>
      <c r="BF7" s="393"/>
      <c r="BG7" s="393"/>
      <c r="BH7" s="393"/>
      <c r="BI7" s="393"/>
    </row>
    <row r="8" spans="1:61" ht="13.2" hidden="1">
      <c r="A8" s="47" t="e">
        <f t="shared" si="0"/>
        <v>#REF!</v>
      </c>
      <c r="B8" s="385"/>
      <c r="C8" s="386"/>
      <c r="D8" s="50"/>
      <c r="E8" s="533">
        <v>45207</v>
      </c>
      <c r="F8" s="534">
        <v>45208</v>
      </c>
      <c r="G8" s="535">
        <v>45209</v>
      </c>
      <c r="H8" s="387"/>
      <c r="I8" s="387"/>
      <c r="J8" s="389"/>
      <c r="K8" s="389"/>
      <c r="L8" s="390"/>
      <c r="M8" s="390"/>
      <c r="N8" s="390"/>
      <c r="O8" s="390"/>
      <c r="P8" s="390"/>
      <c r="Q8" s="390"/>
      <c r="R8" s="24"/>
      <c r="S8" s="24"/>
      <c r="T8" s="24"/>
      <c r="U8" s="24">
        <f ca="1">IFERROR(__xludf.DUMMYFUNCTION("""COMPUTED_VALUE"""),45460.6666666666)</f>
        <v>45460.666666666599</v>
      </c>
      <c r="V8" s="23">
        <f ca="1">IFERROR(__xludf.DUMMYFUNCTION("""COMPUTED_VALUE"""),200.4)</f>
        <v>200.4</v>
      </c>
      <c r="W8" s="24">
        <f ca="1">IFERROR(__xludf.DUMMYFUNCTION("""COMPUTED_VALUE"""),45436.6666666666)</f>
        <v>45436.666666666599</v>
      </c>
      <c r="X8" s="23">
        <f ca="1">IFERROR(__xludf.DUMMYFUNCTION("""COMPUTED_VALUE"""),205.44)</f>
        <v>205.44</v>
      </c>
      <c r="Y8" s="24">
        <f ca="1">IFERROR(__xludf.DUMMYFUNCTION("""COMPUTED_VALUE"""),45376.6666666666)</f>
        <v>45376.666666666599</v>
      </c>
      <c r="Z8" s="23">
        <f ca="1">IFERROR(__xludf.DUMMYFUNCTION("""COMPUTED_VALUE"""),205.54)</f>
        <v>205.54</v>
      </c>
      <c r="AA8" s="24">
        <f ca="1">IFERROR(__xludf.DUMMYFUNCTION("""COMPUTED_VALUE"""),45286.6666666666)</f>
        <v>45286.666666666599</v>
      </c>
      <c r="AB8" s="23">
        <f ca="1">IFERROR(__xludf.DUMMYFUNCTION("""COMPUTED_VALUE"""),204.1)</f>
        <v>204.1</v>
      </c>
      <c r="AC8" s="24">
        <f ca="1">IFERROR(__xludf.DUMMYFUNCTION("""COMPUTED_VALUE"""),45289.6666666666)</f>
        <v>45289.666666666599</v>
      </c>
      <c r="AD8" s="23">
        <f ca="1">IFERROR(__xludf.DUMMYFUNCTION("""COMPUTED_VALUE"""),200.71)</f>
        <v>200.71</v>
      </c>
      <c r="AE8" s="27"/>
      <c r="AF8" s="27"/>
      <c r="AG8" s="27"/>
      <c r="AH8" s="27"/>
      <c r="AI8" s="393"/>
      <c r="AJ8" s="393"/>
      <c r="AK8" s="27"/>
      <c r="AL8" s="393"/>
      <c r="AM8" s="393"/>
      <c r="AN8" s="393"/>
      <c r="AO8" s="393"/>
      <c r="AP8" s="393"/>
      <c r="AQ8" s="27"/>
      <c r="AR8" s="27"/>
      <c r="AS8" s="27"/>
      <c r="AT8" s="27"/>
      <c r="AU8" s="27"/>
      <c r="AV8" s="27"/>
      <c r="AW8" s="27"/>
      <c r="AX8" s="27"/>
      <c r="AY8" s="27"/>
      <c r="AZ8" s="27"/>
      <c r="BA8" s="393"/>
      <c r="BB8" s="393"/>
      <c r="BC8" s="393"/>
      <c r="BD8" s="393"/>
      <c r="BE8" s="393"/>
      <c r="BF8" s="393"/>
      <c r="BG8" s="393"/>
      <c r="BH8" s="393"/>
      <c r="BI8" s="393"/>
    </row>
    <row r="9" spans="1:61" ht="13.2">
      <c r="A9" s="47">
        <f t="shared" si="0"/>
        <v>4</v>
      </c>
      <c r="B9" s="1" t="s">
        <v>24</v>
      </c>
      <c r="C9" s="48" t="str">
        <f ca="1">IFERROR(__xludf.DUMMYFUNCTION("GoogleFinance(B9,""name"")"),"iShares 20+ Year Treasury Bond ETF")</f>
        <v>iShares 20+ Year Treasury Bond ETF</v>
      </c>
      <c r="D9" s="50" t="s">
        <v>328</v>
      </c>
      <c r="E9" s="533">
        <v>45392</v>
      </c>
      <c r="F9" s="534"/>
      <c r="G9" s="535"/>
      <c r="H9" s="52">
        <f ca="1">IFERROR(__xludf.DUMMYFUNCTION("GOOGLEFINANCE(B9)"),93.96)</f>
        <v>93.96</v>
      </c>
      <c r="I9" s="59">
        <v>90</v>
      </c>
      <c r="J9" s="57">
        <f ca="1">I9/H9-1</f>
        <v>-4.2145593869731712E-2</v>
      </c>
      <c r="K9" s="50"/>
      <c r="L9" s="11">
        <f ca="1">IFERROR(__xludf.DUMMYFUNCTION("GoogleFinance(B9,""changepct"")/100"),0)</f>
        <v>0</v>
      </c>
      <c r="M9" s="11">
        <f ca="1">H9/V10-1</f>
        <v>2.4538568227887581E-3</v>
      </c>
      <c r="N9" s="11">
        <f ca="1">H9/X10-1</f>
        <v>2.8233749179251477E-2</v>
      </c>
      <c r="O9" s="11">
        <f ca="1">H9/Z10-1</f>
        <v>4.8123195380171957E-3</v>
      </c>
      <c r="P9" s="11">
        <f ca="1">H9/AB10-1</f>
        <v>-4.8602673147023157E-2</v>
      </c>
      <c r="Q9" s="11">
        <f ca="1">H9/AD10-1</f>
        <v>-4.9757281553398092E-2</v>
      </c>
      <c r="R9" s="2"/>
      <c r="S9" s="2"/>
      <c r="T9" s="2"/>
      <c r="U9" s="2" t="str">
        <f ca="1">IFERROR(__xludf.DUMMYFUNCTION("GoogleFinance(B9,""price"",today()-7)"),"Date")</f>
        <v>Date</v>
      </c>
      <c r="V9" s="23" t="str">
        <f ca="1">IFERROR(__xludf.DUMMYFUNCTION("""COMPUTED_VALUE"""),"Close")</f>
        <v>Close</v>
      </c>
      <c r="W9" s="2" t="str">
        <f ca="1">IFERROR(__xludf.DUMMYFUNCTION("GoogleFinance(B9,""price"",today()-31)"),"Date")</f>
        <v>Date</v>
      </c>
      <c r="X9" s="23" t="str">
        <f ca="1">IFERROR(__xludf.DUMMYFUNCTION("""COMPUTED_VALUE"""),"Close")</f>
        <v>Close</v>
      </c>
      <c r="Y9" s="2" t="str">
        <f ca="1">IFERROR(__xludf.DUMMYFUNCTION("GoogleFinance(B9,""price"",today()-91)"),"Date")</f>
        <v>Date</v>
      </c>
      <c r="Z9" s="23" t="str">
        <f ca="1">IFERROR(__xludf.DUMMYFUNCTION("""COMPUTED_VALUE"""),"Close")</f>
        <v>Close</v>
      </c>
      <c r="AA9" s="2" t="str">
        <f ca="1">IFERROR(__xludf.DUMMYFUNCTION("GoogleFinance(B9,""price"",today()-182)"),"Date")</f>
        <v>Date</v>
      </c>
      <c r="AB9" s="23" t="str">
        <f ca="1">IFERROR(__xludf.DUMMYFUNCTION("""COMPUTED_VALUE"""),"Close")</f>
        <v>Close</v>
      </c>
      <c r="AC9" s="2" t="str">
        <f ca="1">IFERROR(__xludf.DUMMYFUNCTION("GoogleFinance(B9,""price"",DATE(2023,12,29))"),"Date")</f>
        <v>Date</v>
      </c>
      <c r="AD9" s="23" t="str">
        <f ca="1">IFERROR(__xludf.DUMMYFUNCTION("""COMPUTED_VALUE"""),"Close")</f>
        <v>Close</v>
      </c>
      <c r="AE9" s="5"/>
      <c r="AF9" s="5"/>
      <c r="AG9" s="5"/>
      <c r="AH9" s="5"/>
      <c r="AI9" s="393"/>
      <c r="AJ9" s="393"/>
      <c r="AK9" s="5"/>
      <c r="AL9" s="393"/>
      <c r="AM9" s="393"/>
      <c r="AN9" s="393"/>
      <c r="AO9" s="393"/>
      <c r="AP9" s="393"/>
      <c r="AQ9" s="5"/>
      <c r="AR9" s="5"/>
      <c r="AS9" s="5"/>
      <c r="AT9" s="5"/>
      <c r="AU9" s="5"/>
      <c r="AV9" s="5"/>
      <c r="AW9" s="5"/>
      <c r="AX9" s="5"/>
      <c r="AY9" s="5"/>
      <c r="AZ9" s="5"/>
      <c r="BA9" s="393"/>
      <c r="BB9" s="393"/>
      <c r="BC9" s="393"/>
      <c r="BD9" s="393"/>
      <c r="BE9" s="393"/>
      <c r="BF9" s="393"/>
      <c r="BG9" s="393"/>
      <c r="BH9" s="393"/>
      <c r="BI9" s="393"/>
    </row>
    <row r="10" spans="1:61" ht="13.2" hidden="1">
      <c r="A10" s="146" t="e">
        <f>1+A6</f>
        <v>#REF!</v>
      </c>
      <c r="B10" s="385"/>
      <c r="C10" s="386"/>
      <c r="D10" s="50"/>
      <c r="E10" s="533">
        <v>45209</v>
      </c>
      <c r="F10" s="534">
        <v>45210</v>
      </c>
      <c r="G10" s="535">
        <v>45211</v>
      </c>
      <c r="H10" s="387"/>
      <c r="I10" s="387"/>
      <c r="J10" s="389"/>
      <c r="K10" s="389"/>
      <c r="L10" s="390"/>
      <c r="M10" s="390"/>
      <c r="N10" s="390"/>
      <c r="O10" s="390"/>
      <c r="P10" s="390"/>
      <c r="Q10" s="390"/>
      <c r="R10" s="24"/>
      <c r="S10" s="24"/>
      <c r="T10" s="24"/>
      <c r="U10" s="24">
        <f ca="1">IFERROR(__xludf.DUMMYFUNCTION("""COMPUTED_VALUE"""),45460.6666666666)</f>
        <v>45460.666666666599</v>
      </c>
      <c r="V10" s="23">
        <f ca="1">IFERROR(__xludf.DUMMYFUNCTION("""COMPUTED_VALUE"""),93.73)</f>
        <v>93.73</v>
      </c>
      <c r="W10" s="24">
        <f ca="1">IFERROR(__xludf.DUMMYFUNCTION("""COMPUTED_VALUE"""),45436.6666666666)</f>
        <v>45436.666666666599</v>
      </c>
      <c r="X10" s="23">
        <f ca="1">IFERROR(__xludf.DUMMYFUNCTION("""COMPUTED_VALUE"""),91.38)</f>
        <v>91.38</v>
      </c>
      <c r="Y10" s="24">
        <f ca="1">IFERROR(__xludf.DUMMYFUNCTION("""COMPUTED_VALUE"""),45376.6666666666)</f>
        <v>45376.666666666599</v>
      </c>
      <c r="Z10" s="23">
        <f ca="1">IFERROR(__xludf.DUMMYFUNCTION("""COMPUTED_VALUE"""),93.51)</f>
        <v>93.51</v>
      </c>
      <c r="AA10" s="24">
        <f ca="1">IFERROR(__xludf.DUMMYFUNCTION("""COMPUTED_VALUE"""),45286.6666666666)</f>
        <v>45286.666666666599</v>
      </c>
      <c r="AB10" s="23">
        <f ca="1">IFERROR(__xludf.DUMMYFUNCTION("""COMPUTED_VALUE"""),98.76)</f>
        <v>98.76</v>
      </c>
      <c r="AC10" s="24">
        <f ca="1">IFERROR(__xludf.DUMMYFUNCTION("""COMPUTED_VALUE"""),45289.6666666666)</f>
        <v>45289.666666666599</v>
      </c>
      <c r="AD10" s="23">
        <f ca="1">IFERROR(__xludf.DUMMYFUNCTION("""COMPUTED_VALUE"""),98.88)</f>
        <v>98.88</v>
      </c>
      <c r="AE10" s="27"/>
      <c r="AF10" s="27"/>
      <c r="AG10" s="27"/>
      <c r="AH10" s="27"/>
      <c r="AI10" s="393"/>
      <c r="AJ10" s="393"/>
      <c r="AK10" s="27"/>
      <c r="AL10" s="393"/>
      <c r="AM10" s="393"/>
      <c r="AN10" s="393"/>
      <c r="AO10" s="393"/>
      <c r="AP10" s="393"/>
      <c r="AQ10" s="27"/>
      <c r="AR10" s="27"/>
      <c r="AS10" s="27"/>
      <c r="AT10" s="27"/>
      <c r="AU10" s="27"/>
      <c r="AV10" s="27"/>
      <c r="AW10" s="27"/>
      <c r="AX10" s="27"/>
      <c r="AY10" s="27"/>
      <c r="AZ10" s="27"/>
      <c r="BA10" s="393"/>
      <c r="BB10" s="393"/>
      <c r="BC10" s="393"/>
      <c r="BD10" s="393"/>
      <c r="BE10" s="393"/>
      <c r="BF10" s="393"/>
      <c r="BG10" s="393"/>
      <c r="BH10" s="393"/>
      <c r="BI10" s="393"/>
    </row>
    <row r="11" spans="1:61" ht="15.75" customHeight="1">
      <c r="A11" s="30"/>
      <c r="B11" s="30"/>
      <c r="C11" s="350"/>
      <c r="D11" s="30"/>
      <c r="E11" s="30"/>
      <c r="F11" s="30"/>
      <c r="G11" s="30"/>
      <c r="H11" s="31"/>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row>
    <row r="12" spans="1:61" ht="15.75" customHeight="1">
      <c r="A12" s="30"/>
      <c r="B12" s="30"/>
      <c r="C12" s="350"/>
      <c r="D12" s="30"/>
      <c r="E12" s="30"/>
      <c r="F12" s="30"/>
      <c r="G12" s="30"/>
      <c r="H12" s="31"/>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61" ht="15.75" customHeight="1">
      <c r="A13" s="30"/>
      <c r="B13" s="30"/>
      <c r="C13" s="350"/>
      <c r="D13" s="30"/>
      <c r="E13" s="30"/>
      <c r="F13" s="30"/>
      <c r="G13" s="30"/>
      <c r="H13" s="31"/>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row>
    <row r="14" spans="1:61" ht="15.75" customHeight="1">
      <c r="A14" s="30"/>
      <c r="B14" s="39" t="s">
        <v>0</v>
      </c>
      <c r="C14" s="40" t="s">
        <v>1</v>
      </c>
      <c r="D14" s="39" t="s">
        <v>2</v>
      </c>
      <c r="E14" s="39" t="s">
        <v>282</v>
      </c>
      <c r="F14" s="39" t="s">
        <v>37</v>
      </c>
      <c r="G14" s="39" t="s">
        <v>184</v>
      </c>
      <c r="H14" s="39" t="s">
        <v>265</v>
      </c>
      <c r="I14" s="39" t="s">
        <v>329</v>
      </c>
      <c r="J14" s="39" t="s">
        <v>32</v>
      </c>
      <c r="K14" s="39" t="s">
        <v>330</v>
      </c>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row>
    <row r="15" spans="1:61" ht="15.75" customHeight="1">
      <c r="A15" s="30"/>
      <c r="B15" s="1" t="s">
        <v>5</v>
      </c>
      <c r="C15" s="48" t="str">
        <f ca="1">IFERROR(__xludf.DUMMYFUNCTION("GoogleFinance(B15,""name"")"),"SPDR S&amp;P 500 ETF Trust")</f>
        <v>SPDR S&amp;P 500 ETF Trust</v>
      </c>
      <c r="D15" s="50" t="s">
        <v>65</v>
      </c>
      <c r="E15" s="50" t="s">
        <v>321</v>
      </c>
      <c r="F15" s="51">
        <v>45296</v>
      </c>
      <c r="G15" s="51">
        <v>45300</v>
      </c>
      <c r="H15" s="50">
        <f t="shared" ref="H15:H29" si="1">G15-F15</f>
        <v>4</v>
      </c>
      <c r="I15" s="50" t="s">
        <v>69</v>
      </c>
      <c r="J15" s="536">
        <v>1.9E-2</v>
      </c>
      <c r="K15" s="59" t="s">
        <v>331</v>
      </c>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row>
    <row r="16" spans="1:61" ht="15.75" customHeight="1">
      <c r="A16" s="30"/>
      <c r="B16" s="1" t="s">
        <v>5</v>
      </c>
      <c r="C16" s="48" t="str">
        <f ca="1">IFERROR(__xludf.DUMMYFUNCTION("GoogleFinance(B16,""name"")"),"SPDR S&amp;P 500 ETF Trust")</f>
        <v>SPDR S&amp;P 500 ETF Trust</v>
      </c>
      <c r="D16" s="50" t="s">
        <v>65</v>
      </c>
      <c r="E16" s="50" t="s">
        <v>321</v>
      </c>
      <c r="F16" s="51">
        <v>45309</v>
      </c>
      <c r="G16" s="51">
        <v>45327</v>
      </c>
      <c r="H16" s="50">
        <f t="shared" si="1"/>
        <v>18</v>
      </c>
      <c r="I16" s="50" t="s">
        <v>69</v>
      </c>
      <c r="J16" s="536">
        <v>4.4999999999999998E-2</v>
      </c>
      <c r="K16" s="59" t="s">
        <v>331</v>
      </c>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row>
    <row r="17" spans="1:61" ht="15.75" customHeight="1">
      <c r="A17" s="30"/>
      <c r="B17" s="1" t="s">
        <v>24</v>
      </c>
      <c r="C17" s="48" t="str">
        <f ca="1">IFERROR(__xludf.DUMMYFUNCTION("GoogleFinance(B17,""name"")"),"iShares 20+ Year Treasury Bond ETF")</f>
        <v>iShares 20+ Year Treasury Bond ETF</v>
      </c>
      <c r="D17" s="50" t="s">
        <v>328</v>
      </c>
      <c r="E17" s="50" t="s">
        <v>69</v>
      </c>
      <c r="F17" s="51">
        <v>45292</v>
      </c>
      <c r="G17" s="51">
        <v>45323</v>
      </c>
      <c r="H17" s="50">
        <f t="shared" si="1"/>
        <v>31</v>
      </c>
      <c r="I17" s="50" t="s">
        <v>322</v>
      </c>
      <c r="J17" s="536">
        <v>-2.8000000000000001E-2</v>
      </c>
      <c r="K17" s="59" t="s">
        <v>332</v>
      </c>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row>
    <row r="18" spans="1:61" ht="15.75" customHeight="1">
      <c r="A18" s="30"/>
      <c r="B18" s="1" t="s">
        <v>5</v>
      </c>
      <c r="C18" s="48" t="str">
        <f ca="1">IFERROR(__xludf.DUMMYFUNCTION("GoogleFinance(B18,""name"")"),"SPDR S&amp;P 500 ETF Trust")</f>
        <v>SPDR S&amp;P 500 ETF Trust</v>
      </c>
      <c r="D18" s="50" t="s">
        <v>65</v>
      </c>
      <c r="E18" s="50" t="s">
        <v>69</v>
      </c>
      <c r="F18" s="51">
        <v>45327</v>
      </c>
      <c r="G18" s="51">
        <v>45338</v>
      </c>
      <c r="H18" s="50">
        <f t="shared" si="1"/>
        <v>11</v>
      </c>
      <c r="I18" s="50" t="s">
        <v>322</v>
      </c>
      <c r="J18" s="536">
        <v>1.0999999999999999E-2</v>
      </c>
      <c r="K18" s="59" t="s">
        <v>69</v>
      </c>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row>
    <row r="19" spans="1:61" ht="15.75" customHeight="1">
      <c r="A19" s="30"/>
      <c r="B19" s="1" t="s">
        <v>6</v>
      </c>
      <c r="C19" s="48" t="str">
        <f ca="1">IFERROR(__xludf.DUMMYFUNCTION("GoogleFinance(B19,""name"")"),"Invesco QQQ Trust Series 1")</f>
        <v>Invesco QQQ Trust Series 1</v>
      </c>
      <c r="D19" s="50" t="s">
        <v>326</v>
      </c>
      <c r="E19" s="50" t="s">
        <v>69</v>
      </c>
      <c r="F19" s="51">
        <v>45327</v>
      </c>
      <c r="G19" s="51">
        <v>45338</v>
      </c>
      <c r="H19" s="50">
        <f t="shared" si="1"/>
        <v>11</v>
      </c>
      <c r="I19" s="50" t="s">
        <v>322</v>
      </c>
      <c r="J19" s="536">
        <v>5.0000000000000001E-3</v>
      </c>
      <c r="K19" s="59" t="s">
        <v>331</v>
      </c>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row>
    <row r="20" spans="1:61" ht="15.75" customHeight="1">
      <c r="A20" s="30"/>
      <c r="B20" s="1" t="s">
        <v>8</v>
      </c>
      <c r="C20" s="48" t="str">
        <f ca="1">IFERROR(__xludf.DUMMYFUNCTION("GoogleFinance(B20,""name"")"),"iShares Russell 2000 ETF")</f>
        <v>iShares Russell 2000 ETF</v>
      </c>
      <c r="D20" s="50" t="s">
        <v>327</v>
      </c>
      <c r="E20" s="50" t="s">
        <v>69</v>
      </c>
      <c r="F20" s="51">
        <v>45327</v>
      </c>
      <c r="G20" s="51">
        <v>45338</v>
      </c>
      <c r="H20" s="50">
        <f t="shared" si="1"/>
        <v>11</v>
      </c>
      <c r="I20" s="50" t="s">
        <v>322</v>
      </c>
      <c r="J20" s="536">
        <v>4.4999999999999998E-2</v>
      </c>
      <c r="K20" s="59" t="s">
        <v>332</v>
      </c>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61" ht="15.75" customHeight="1">
      <c r="A21" s="30"/>
      <c r="B21" s="1" t="s">
        <v>24</v>
      </c>
      <c r="C21" s="48" t="str">
        <f ca="1">IFERROR(__xludf.DUMMYFUNCTION("GoogleFinance(B21,""name"")"),"iShares 20+ Year Treasury Bond ETF")</f>
        <v>iShares 20+ Year Treasury Bond ETF</v>
      </c>
      <c r="D21" s="50" t="s">
        <v>328</v>
      </c>
      <c r="E21" s="50" t="s">
        <v>322</v>
      </c>
      <c r="F21" s="51">
        <v>45324</v>
      </c>
      <c r="G21" s="51">
        <v>45345</v>
      </c>
      <c r="H21" s="50">
        <f t="shared" si="1"/>
        <v>21</v>
      </c>
      <c r="I21" s="50" t="s">
        <v>69</v>
      </c>
      <c r="J21" s="536">
        <v>0</v>
      </c>
      <c r="K21" s="59" t="s">
        <v>69</v>
      </c>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row>
    <row r="22" spans="1:61" ht="15.75" customHeight="1">
      <c r="A22" s="30"/>
      <c r="B22" s="1" t="s">
        <v>24</v>
      </c>
      <c r="C22" s="48" t="str">
        <f ca="1">IFERROR(__xludf.DUMMYFUNCTION("GoogleFinance(B22,""name"")"),"iShares 20+ Year Treasury Bond ETF")</f>
        <v>iShares 20+ Year Treasury Bond ETF</v>
      </c>
      <c r="D22" s="50" t="s">
        <v>328</v>
      </c>
      <c r="E22" s="50" t="s">
        <v>69</v>
      </c>
      <c r="F22" s="51">
        <v>45345</v>
      </c>
      <c r="G22" s="51">
        <v>45386</v>
      </c>
      <c r="H22" s="50">
        <f t="shared" si="1"/>
        <v>41</v>
      </c>
      <c r="I22" s="50" t="s">
        <v>322</v>
      </c>
      <c r="J22" s="536">
        <v>-1.6E-2</v>
      </c>
      <c r="K22" s="59" t="s">
        <v>332</v>
      </c>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row>
    <row r="23" spans="1:61" ht="15.75" customHeight="1">
      <c r="A23" s="30"/>
      <c r="B23" s="1" t="s">
        <v>24</v>
      </c>
      <c r="C23" s="48" t="str">
        <f ca="1">IFERROR(__xludf.DUMMYFUNCTION("GoogleFinance(B23,""name"")"),"iShares 20+ Year Treasury Bond ETF")</f>
        <v>iShares 20+ Year Treasury Bond ETF</v>
      </c>
      <c r="D23" s="50" t="s">
        <v>328</v>
      </c>
      <c r="E23" s="50" t="s">
        <v>322</v>
      </c>
      <c r="F23" s="51">
        <v>45386</v>
      </c>
      <c r="G23" s="51">
        <v>45392</v>
      </c>
      <c r="H23" s="50">
        <f t="shared" si="1"/>
        <v>6</v>
      </c>
      <c r="I23" s="50" t="s">
        <v>321</v>
      </c>
      <c r="J23" s="536">
        <v>-2.5999999999999999E-2</v>
      </c>
      <c r="K23" s="59" t="s">
        <v>331</v>
      </c>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row>
    <row r="24" spans="1:61" ht="15.75" customHeight="1">
      <c r="A24" s="30"/>
      <c r="B24" s="1" t="s">
        <v>5</v>
      </c>
      <c r="C24" s="48" t="str">
        <f ca="1">IFERROR(__xludf.DUMMYFUNCTION("GoogleFinance(B24,""name"")"),"SPDR S&amp;P 500 ETF Trust")</f>
        <v>SPDR S&amp;P 500 ETF Trust</v>
      </c>
      <c r="D24" s="50" t="s">
        <v>65</v>
      </c>
      <c r="E24" s="50" t="s">
        <v>322</v>
      </c>
      <c r="F24" s="51">
        <v>45338</v>
      </c>
      <c r="G24" s="51">
        <v>45401</v>
      </c>
      <c r="H24" s="50">
        <f t="shared" si="1"/>
        <v>63</v>
      </c>
      <c r="I24" s="50" t="s">
        <v>69</v>
      </c>
      <c r="J24" s="536">
        <v>-1.6E-2</v>
      </c>
      <c r="K24" s="59" t="s">
        <v>331</v>
      </c>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row>
    <row r="25" spans="1:61" ht="15.75" customHeight="1">
      <c r="A25" s="30"/>
      <c r="B25" s="1" t="s">
        <v>6</v>
      </c>
      <c r="C25" s="48" t="str">
        <f ca="1">IFERROR(__xludf.DUMMYFUNCTION("GoogleFinance(B25,""name"")"),"Invesco QQQ Trust Series 1")</f>
        <v>Invesco QQQ Trust Series 1</v>
      </c>
      <c r="D25" s="50" t="s">
        <v>326</v>
      </c>
      <c r="E25" s="50" t="s">
        <v>322</v>
      </c>
      <c r="F25" s="51">
        <v>45338</v>
      </c>
      <c r="G25" s="51">
        <v>45401</v>
      </c>
      <c r="H25" s="50">
        <f t="shared" si="1"/>
        <v>63</v>
      </c>
      <c r="I25" s="50" t="s">
        <v>69</v>
      </c>
      <c r="J25" s="536">
        <v>-4.4999999999999998E-2</v>
      </c>
      <c r="K25" s="59" t="s">
        <v>331</v>
      </c>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row>
    <row r="26" spans="1:61" ht="15.75" customHeight="1">
      <c r="A26" s="30"/>
      <c r="B26" s="1" t="s">
        <v>8</v>
      </c>
      <c r="C26" s="48" t="str">
        <f ca="1">IFERROR(__xludf.DUMMYFUNCTION("GoogleFinance(B26,""name"")"),"iShares Russell 2000 ETF")</f>
        <v>iShares Russell 2000 ETF</v>
      </c>
      <c r="D26" s="50" t="s">
        <v>327</v>
      </c>
      <c r="E26" s="50" t="s">
        <v>322</v>
      </c>
      <c r="F26" s="51">
        <v>45338</v>
      </c>
      <c r="G26" s="51">
        <v>45401</v>
      </c>
      <c r="H26" s="50">
        <f t="shared" si="1"/>
        <v>63</v>
      </c>
      <c r="I26" s="50" t="s">
        <v>69</v>
      </c>
      <c r="J26" s="536">
        <v>-5.8999999999999997E-2</v>
      </c>
      <c r="K26" s="59" t="s">
        <v>331</v>
      </c>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row>
    <row r="27" spans="1:61" ht="15.75" customHeight="1">
      <c r="A27" s="30"/>
      <c r="B27" s="1" t="s">
        <v>8</v>
      </c>
      <c r="C27" s="48" t="str">
        <f ca="1">IFERROR(__xludf.DUMMYFUNCTION("GoogleFinance(B27,""name"")"),"iShares Russell 2000 ETF")</f>
        <v>iShares Russell 2000 ETF</v>
      </c>
      <c r="D27" s="50" t="s">
        <v>327</v>
      </c>
      <c r="E27" s="50" t="s">
        <v>69</v>
      </c>
      <c r="F27" s="51">
        <v>45401</v>
      </c>
      <c r="G27" s="51">
        <v>45446</v>
      </c>
      <c r="H27" s="50">
        <f t="shared" si="1"/>
        <v>45</v>
      </c>
      <c r="I27" s="50" t="s">
        <v>322</v>
      </c>
      <c r="J27" s="536">
        <v>0.06</v>
      </c>
      <c r="K27" s="59" t="s">
        <v>332</v>
      </c>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row>
    <row r="28" spans="1:61" ht="15.75" customHeight="1">
      <c r="A28" s="30"/>
      <c r="B28" s="1" t="s">
        <v>5</v>
      </c>
      <c r="C28" s="48" t="str">
        <f ca="1">IFERROR(__xludf.DUMMYFUNCTION("GoogleFinance(B28,""name"")"),"SPDR S&amp;P 500 ETF Trust")</f>
        <v>SPDR S&amp;P 500 ETF Trust</v>
      </c>
      <c r="D28" s="50" t="s">
        <v>65</v>
      </c>
      <c r="E28" s="50" t="s">
        <v>69</v>
      </c>
      <c r="F28" s="51">
        <v>45401</v>
      </c>
      <c r="G28" s="51">
        <v>45446</v>
      </c>
      <c r="H28" s="50">
        <f t="shared" si="1"/>
        <v>45</v>
      </c>
      <c r="I28" s="50" t="s">
        <v>322</v>
      </c>
      <c r="J28" s="50" t="s">
        <v>333</v>
      </c>
      <c r="K28" s="59" t="s">
        <v>332</v>
      </c>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row>
    <row r="29" spans="1:61" ht="15.75" customHeight="1">
      <c r="A29" s="30"/>
      <c r="B29" s="1" t="s">
        <v>6</v>
      </c>
      <c r="C29" s="48" t="str">
        <f ca="1">IFERROR(__xludf.DUMMYFUNCTION("GoogleFinance(B29,""name"")"),"Invesco QQQ Trust Series 1")</f>
        <v>Invesco QQQ Trust Series 1</v>
      </c>
      <c r="D29" s="50" t="s">
        <v>326</v>
      </c>
      <c r="E29" s="50" t="s">
        <v>69</v>
      </c>
      <c r="F29" s="51">
        <v>45401</v>
      </c>
      <c r="G29" s="51">
        <v>45457</v>
      </c>
      <c r="H29" s="50">
        <f t="shared" si="1"/>
        <v>56</v>
      </c>
      <c r="I29" s="50" t="s">
        <v>322</v>
      </c>
      <c r="J29" s="536">
        <v>0.12</v>
      </c>
      <c r="K29" s="59" t="s">
        <v>332</v>
      </c>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row>
    <row r="30" spans="1:61" ht="15.75" customHeight="1">
      <c r="A30" s="30"/>
      <c r="B30" s="30"/>
      <c r="C30" s="350"/>
      <c r="D30" s="30"/>
      <c r="E30" s="30"/>
      <c r="F30" s="30"/>
      <c r="G30" s="30"/>
      <c r="H30" s="31"/>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row>
    <row r="31" spans="1:61" ht="15.75" customHeight="1">
      <c r="A31" s="30"/>
      <c r="B31" s="30"/>
      <c r="C31" s="350"/>
      <c r="D31" s="30"/>
      <c r="E31" s="30"/>
      <c r="F31" s="30"/>
      <c r="G31" s="30"/>
      <c r="H31" s="31"/>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row>
    <row r="32" spans="1:61" ht="15.75" customHeight="1">
      <c r="A32" s="30"/>
      <c r="B32" s="30"/>
      <c r="C32" s="350"/>
      <c r="D32" s="30"/>
      <c r="E32" s="30"/>
      <c r="F32" s="30"/>
      <c r="G32" s="30"/>
      <c r="H32" s="31"/>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row>
    <row r="33" spans="1:61" ht="15.75" customHeight="1">
      <c r="A33" s="30"/>
      <c r="B33" s="30"/>
      <c r="C33" s="350"/>
      <c r="D33" s="30"/>
      <c r="E33" s="30"/>
      <c r="F33" s="30"/>
      <c r="G33" s="30"/>
      <c r="H33" s="31"/>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row>
    <row r="34" spans="1:61" ht="15.75" customHeight="1">
      <c r="A34" s="30"/>
      <c r="B34" s="30"/>
      <c r="C34" s="350"/>
      <c r="D34" s="30"/>
      <c r="E34" s="30"/>
      <c r="F34" s="30"/>
      <c r="G34" s="30"/>
      <c r="H34" s="31"/>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row>
    <row r="35" spans="1:61" ht="15.75" customHeight="1">
      <c r="A35" s="30"/>
      <c r="B35" s="30"/>
      <c r="C35" s="350"/>
      <c r="D35" s="30"/>
      <c r="E35" s="30"/>
      <c r="F35" s="30"/>
      <c r="G35" s="30"/>
      <c r="H35" s="31"/>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row>
    <row r="36" spans="1:61" ht="15.75" customHeight="1">
      <c r="A36" s="30"/>
      <c r="B36" s="30"/>
      <c r="C36" s="350"/>
      <c r="D36" s="30"/>
      <c r="E36" s="30"/>
      <c r="F36" s="30"/>
      <c r="G36" s="30"/>
      <c r="H36" s="31"/>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row>
    <row r="37" spans="1:61" ht="15.75" customHeight="1">
      <c r="A37" s="30"/>
      <c r="B37" s="30"/>
      <c r="C37" s="350"/>
      <c r="D37" s="30"/>
      <c r="E37" s="30"/>
      <c r="F37" s="30"/>
      <c r="G37" s="30"/>
      <c r="H37" s="31"/>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row>
    <row r="38" spans="1:61" ht="15.75" customHeight="1">
      <c r="A38" s="30"/>
      <c r="B38" s="30"/>
      <c r="C38" s="350"/>
      <c r="D38" s="30"/>
      <c r="E38" s="30"/>
      <c r="F38" s="30"/>
      <c r="G38" s="30"/>
      <c r="H38" s="31"/>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row>
    <row r="39" spans="1:61" ht="15.75" customHeight="1">
      <c r="A39" s="30"/>
      <c r="B39" s="30"/>
      <c r="C39" s="350"/>
      <c r="D39" s="30"/>
      <c r="E39" s="30"/>
      <c r="F39" s="30"/>
      <c r="G39" s="30"/>
      <c r="H39" s="31"/>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row>
    <row r="40" spans="1:61" ht="15.75" customHeight="1">
      <c r="A40" s="30"/>
      <c r="B40" s="30"/>
      <c r="C40" s="350"/>
      <c r="D40" s="30"/>
      <c r="E40" s="30"/>
      <c r="F40" s="30"/>
      <c r="G40" s="30"/>
      <c r="H40" s="31"/>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row>
    <row r="41" spans="1:61" ht="15.75" customHeight="1">
      <c r="A41" s="30"/>
      <c r="B41" s="30"/>
      <c r="C41" s="350"/>
      <c r="D41" s="30"/>
      <c r="E41" s="30"/>
      <c r="F41" s="30"/>
      <c r="G41" s="30"/>
      <c r="H41" s="31"/>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row>
    <row r="42" spans="1:61" ht="15.75" customHeight="1">
      <c r="A42" s="30"/>
      <c r="B42" s="30"/>
      <c r="C42" s="350"/>
      <c r="D42" s="30"/>
      <c r="E42" s="30"/>
      <c r="F42" s="30"/>
      <c r="G42" s="30"/>
      <c r="H42" s="31"/>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row>
    <row r="43" spans="1:61" ht="15.75" customHeight="1">
      <c r="A43" s="30"/>
      <c r="B43" s="30"/>
      <c r="C43" s="350"/>
      <c r="D43" s="30"/>
      <c r="E43" s="30"/>
      <c r="F43" s="30"/>
      <c r="G43" s="30"/>
      <c r="H43" s="31"/>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row>
    <row r="44" spans="1:61" ht="15.75" customHeight="1">
      <c r="A44" s="30"/>
      <c r="B44" s="30"/>
      <c r="C44" s="350"/>
      <c r="D44" s="30"/>
      <c r="E44" s="30"/>
      <c r="F44" s="30"/>
      <c r="G44" s="30"/>
      <c r="H44" s="31"/>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row>
    <row r="45" spans="1:61" ht="15.75" customHeight="1">
      <c r="A45" s="30"/>
      <c r="B45" s="30"/>
      <c r="C45" s="350"/>
      <c r="D45" s="30"/>
      <c r="E45" s="30"/>
      <c r="F45" s="30"/>
      <c r="G45" s="30"/>
      <c r="H45" s="31"/>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row>
    <row r="46" spans="1:61" ht="15.75" customHeight="1">
      <c r="A46" s="30"/>
      <c r="B46" s="30"/>
      <c r="C46" s="350"/>
      <c r="D46" s="30"/>
      <c r="E46" s="30"/>
      <c r="F46" s="30"/>
      <c r="G46" s="30"/>
      <c r="H46" s="31"/>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row>
    <row r="47" spans="1:61" ht="15.75" customHeight="1">
      <c r="A47" s="30"/>
      <c r="B47" s="30"/>
      <c r="C47" s="350"/>
      <c r="D47" s="30"/>
      <c r="E47" s="30"/>
      <c r="F47" s="30"/>
      <c r="G47" s="30"/>
      <c r="H47" s="31"/>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ht="15.75" customHeight="1">
      <c r="A48" s="30"/>
      <c r="B48" s="30"/>
      <c r="C48" s="350"/>
      <c r="D48" s="30"/>
      <c r="E48" s="30"/>
      <c r="F48" s="30"/>
      <c r="G48" s="30"/>
      <c r="H48" s="31"/>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ht="15.75" customHeight="1">
      <c r="A49" s="30"/>
      <c r="B49" s="30"/>
      <c r="C49" s="350"/>
      <c r="D49" s="30"/>
      <c r="E49" s="30"/>
      <c r="F49" s="30"/>
      <c r="G49" s="30"/>
      <c r="H49" s="31"/>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row>
    <row r="50" spans="1:61" ht="15.75" customHeight="1">
      <c r="A50" s="30"/>
      <c r="B50" s="30"/>
      <c r="C50" s="350"/>
      <c r="D50" s="30"/>
      <c r="E50" s="30"/>
      <c r="F50" s="30"/>
      <c r="G50" s="30"/>
      <c r="H50" s="31"/>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row>
    <row r="51" spans="1:61" ht="15.75" customHeight="1">
      <c r="A51" s="30"/>
      <c r="B51" s="30"/>
      <c r="C51" s="350"/>
      <c r="D51" s="30"/>
      <c r="E51" s="30"/>
      <c r="F51" s="30"/>
      <c r="G51" s="30"/>
      <c r="H51" s="31"/>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row>
    <row r="52" spans="1:61" ht="15.75" customHeight="1">
      <c r="A52" s="30"/>
      <c r="B52" s="30"/>
      <c r="C52" s="350"/>
      <c r="D52" s="30"/>
      <c r="E52" s="30"/>
      <c r="F52" s="30"/>
      <c r="G52" s="30"/>
      <c r="H52" s="31"/>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row>
    <row r="53" spans="1:61" ht="15.75" customHeight="1">
      <c r="A53" s="30"/>
      <c r="B53" s="30"/>
      <c r="C53" s="350"/>
      <c r="D53" s="30"/>
      <c r="E53" s="30"/>
      <c r="F53" s="30"/>
      <c r="G53" s="30"/>
      <c r="H53" s="31"/>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row>
    <row r="54" spans="1:61" ht="15.75" customHeight="1">
      <c r="A54" s="30"/>
      <c r="B54" s="30"/>
      <c r="C54" s="350"/>
      <c r="D54" s="30"/>
      <c r="E54" s="30"/>
      <c r="F54" s="30"/>
      <c r="G54" s="30"/>
      <c r="H54" s="31"/>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row>
    <row r="55" spans="1:61" ht="15.75" customHeight="1">
      <c r="A55" s="30"/>
      <c r="B55" s="30"/>
      <c r="C55" s="350"/>
      <c r="D55" s="30"/>
      <c r="E55" s="30"/>
      <c r="F55" s="30"/>
      <c r="G55" s="30"/>
      <c r="H55" s="31"/>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row>
    <row r="56" spans="1:61" ht="15.75" customHeight="1">
      <c r="A56" s="30"/>
      <c r="B56" s="30"/>
      <c r="C56" s="350"/>
      <c r="D56" s="30"/>
      <c r="E56" s="30"/>
      <c r="F56" s="30"/>
      <c r="G56" s="30"/>
      <c r="H56" s="31"/>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row>
    <row r="57" spans="1:61" ht="15.75" customHeight="1">
      <c r="A57" s="30"/>
      <c r="B57" s="30"/>
      <c r="C57" s="350"/>
      <c r="D57" s="30"/>
      <c r="E57" s="30"/>
      <c r="F57" s="30"/>
      <c r="G57" s="30"/>
      <c r="H57" s="31"/>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ht="15.75" customHeight="1">
      <c r="A58" s="30"/>
      <c r="B58" s="30"/>
      <c r="C58" s="350"/>
      <c r="D58" s="30"/>
      <c r="E58" s="30"/>
      <c r="F58" s="30"/>
      <c r="G58" s="30"/>
      <c r="H58" s="31"/>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ht="15.75" customHeight="1">
      <c r="A59" s="30"/>
      <c r="B59" s="30"/>
      <c r="C59" s="350"/>
      <c r="D59" s="30"/>
      <c r="E59" s="30"/>
      <c r="F59" s="30"/>
      <c r="G59" s="30"/>
      <c r="H59" s="3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61" ht="15.75" customHeight="1">
      <c r="A60" s="30"/>
      <c r="B60" s="30"/>
      <c r="C60" s="350"/>
      <c r="D60" s="30"/>
      <c r="E60" s="30"/>
      <c r="F60" s="30"/>
      <c r="G60" s="30"/>
      <c r="H60" s="31"/>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row>
    <row r="61" spans="1:61" ht="15.75" customHeight="1">
      <c r="A61" s="30"/>
      <c r="B61" s="30"/>
      <c r="C61" s="350"/>
      <c r="D61" s="30"/>
      <c r="E61" s="30"/>
      <c r="F61" s="30"/>
      <c r="G61" s="30"/>
      <c r="H61" s="31"/>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row>
    <row r="62" spans="1:61" ht="15.75" customHeight="1">
      <c r="A62" s="30"/>
      <c r="B62" s="30"/>
      <c r="C62" s="350"/>
      <c r="D62" s="30"/>
      <c r="E62" s="30"/>
      <c r="F62" s="30"/>
      <c r="G62" s="30"/>
      <c r="H62" s="31"/>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row>
    <row r="63" spans="1:61" ht="15.75" customHeight="1">
      <c r="A63" s="30"/>
      <c r="B63" s="30"/>
      <c r="C63" s="350"/>
      <c r="D63" s="30"/>
      <c r="E63" s="30"/>
      <c r="F63" s="30"/>
      <c r="G63" s="30"/>
      <c r="H63" s="3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row>
    <row r="64" spans="1:61" ht="15.75" customHeight="1">
      <c r="A64" s="30"/>
      <c r="B64" s="30"/>
      <c r="C64" s="350"/>
      <c r="D64" s="30"/>
      <c r="E64" s="30"/>
      <c r="F64" s="30"/>
      <c r="G64" s="30"/>
      <c r="H64" s="31"/>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row>
    <row r="65" spans="1:61" ht="15.75" customHeight="1">
      <c r="A65" s="30"/>
      <c r="B65" s="30"/>
      <c r="C65" s="350"/>
      <c r="D65" s="30"/>
      <c r="E65" s="30"/>
      <c r="F65" s="30"/>
      <c r="G65" s="30"/>
      <c r="H65" s="31"/>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row>
    <row r="66" spans="1:61" ht="15.75" customHeight="1">
      <c r="A66" s="30"/>
      <c r="B66" s="30"/>
      <c r="C66" s="350"/>
      <c r="D66" s="30"/>
      <c r="E66" s="30"/>
      <c r="F66" s="30"/>
      <c r="G66" s="30"/>
      <c r="H66" s="31"/>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row>
    <row r="67" spans="1:61" ht="15.75" customHeight="1">
      <c r="A67" s="30"/>
      <c r="B67" s="30"/>
      <c r="C67" s="350"/>
      <c r="D67" s="30"/>
      <c r="E67" s="30"/>
      <c r="F67" s="30"/>
      <c r="G67" s="30"/>
      <c r="H67" s="31"/>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row>
    <row r="68" spans="1:61" ht="15.75" customHeight="1">
      <c r="A68" s="30"/>
      <c r="B68" s="30"/>
      <c r="C68" s="350"/>
      <c r="D68" s="30"/>
      <c r="E68" s="30"/>
      <c r="F68" s="30"/>
      <c r="G68" s="30"/>
      <c r="H68" s="31"/>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row>
    <row r="69" spans="1:61" ht="15.75" customHeight="1">
      <c r="A69" s="30"/>
      <c r="B69" s="30"/>
      <c r="C69" s="350"/>
      <c r="D69" s="30"/>
      <c r="E69" s="30"/>
      <c r="F69" s="30"/>
      <c r="G69" s="30"/>
      <c r="H69" s="31"/>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row>
    <row r="70" spans="1:61" ht="15.75" customHeight="1">
      <c r="A70" s="30"/>
      <c r="B70" s="30"/>
      <c r="C70" s="350"/>
      <c r="D70" s="30"/>
      <c r="E70" s="30"/>
      <c r="F70" s="30"/>
      <c r="G70" s="30"/>
      <c r="H70" s="31"/>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row>
    <row r="71" spans="1:61" ht="15.75" customHeight="1">
      <c r="A71" s="30"/>
      <c r="B71" s="30"/>
      <c r="C71" s="350"/>
      <c r="D71" s="30"/>
      <c r="E71" s="30"/>
      <c r="F71" s="30"/>
      <c r="G71" s="30"/>
      <c r="H71" s="31"/>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row>
    <row r="72" spans="1:61" ht="15.75" customHeight="1">
      <c r="A72" s="30"/>
      <c r="B72" s="30"/>
      <c r="C72" s="350"/>
      <c r="D72" s="30"/>
      <c r="E72" s="30"/>
      <c r="F72" s="30"/>
      <c r="G72" s="30"/>
      <c r="H72" s="31"/>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row>
    <row r="73" spans="1:61" ht="15.75" customHeight="1">
      <c r="A73" s="30"/>
      <c r="B73" s="30"/>
      <c r="C73" s="350"/>
      <c r="D73" s="30"/>
      <c r="E73" s="30"/>
      <c r="F73" s="30"/>
      <c r="G73" s="30"/>
      <c r="H73" s="31"/>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row>
    <row r="74" spans="1:61" ht="15.75" customHeight="1">
      <c r="A74" s="30"/>
      <c r="B74" s="30"/>
      <c r="C74" s="350"/>
      <c r="D74" s="30"/>
      <c r="E74" s="30"/>
      <c r="F74" s="30"/>
      <c r="G74" s="30"/>
      <c r="H74" s="31"/>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row>
    <row r="75" spans="1:61" ht="15.75" customHeight="1">
      <c r="A75" s="30"/>
      <c r="B75" s="30"/>
      <c r="C75" s="350"/>
      <c r="D75" s="30"/>
      <c r="E75" s="30"/>
      <c r="F75" s="30"/>
      <c r="G75" s="30"/>
      <c r="H75" s="31"/>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row>
    <row r="76" spans="1:61" ht="15.75" customHeight="1">
      <c r="A76" s="30"/>
      <c r="B76" s="30"/>
      <c r="C76" s="350"/>
      <c r="D76" s="30"/>
      <c r="E76" s="30"/>
      <c r="F76" s="30"/>
      <c r="G76" s="30"/>
      <c r="H76" s="31"/>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row>
    <row r="77" spans="1:61" ht="15.75" customHeight="1">
      <c r="A77" s="30"/>
      <c r="B77" s="30"/>
      <c r="C77" s="350"/>
      <c r="D77" s="30"/>
      <c r="E77" s="30"/>
      <c r="F77" s="30"/>
      <c r="G77" s="30"/>
      <c r="H77" s="31"/>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row>
    <row r="78" spans="1:61" ht="15.75" customHeight="1">
      <c r="A78" s="30"/>
      <c r="B78" s="30"/>
      <c r="C78" s="350"/>
      <c r="D78" s="30"/>
      <c r="E78" s="30"/>
      <c r="F78" s="30"/>
      <c r="G78" s="30"/>
      <c r="H78" s="31"/>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row>
    <row r="79" spans="1:61" ht="15.75" customHeight="1">
      <c r="A79" s="30"/>
      <c r="B79" s="30"/>
      <c r="C79" s="350"/>
      <c r="D79" s="30"/>
      <c r="E79" s="30"/>
      <c r="F79" s="30"/>
      <c r="G79" s="30"/>
      <c r="H79" s="31"/>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row>
    <row r="80" spans="1:61" ht="15.75" customHeight="1">
      <c r="A80" s="30"/>
      <c r="B80" s="30"/>
      <c r="C80" s="350"/>
      <c r="D80" s="30"/>
      <c r="E80" s="30"/>
      <c r="F80" s="30"/>
      <c r="G80" s="30"/>
      <c r="H80" s="31"/>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row>
    <row r="81" spans="1:61" ht="15.75" customHeight="1">
      <c r="A81" s="30"/>
      <c r="B81" s="30"/>
      <c r="C81" s="350"/>
      <c r="D81" s="30"/>
      <c r="E81" s="30"/>
      <c r="F81" s="30"/>
      <c r="G81" s="30"/>
      <c r="H81" s="31"/>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row>
    <row r="82" spans="1:61" ht="15.75" customHeight="1">
      <c r="A82" s="30"/>
      <c r="B82" s="30"/>
      <c r="C82" s="350"/>
      <c r="D82" s="30"/>
      <c r="E82" s="30"/>
      <c r="F82" s="30"/>
      <c r="G82" s="30"/>
      <c r="H82" s="31"/>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row>
    <row r="83" spans="1:61" ht="15.75" customHeight="1">
      <c r="A83" s="30"/>
      <c r="B83" s="30"/>
      <c r="C83" s="350"/>
      <c r="D83" s="30"/>
      <c r="E83" s="30"/>
      <c r="F83" s="30"/>
      <c r="G83" s="30"/>
      <c r="H83" s="31"/>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row>
    <row r="84" spans="1:61" ht="15.75" customHeight="1">
      <c r="A84" s="30"/>
      <c r="B84" s="30"/>
      <c r="C84" s="350"/>
      <c r="D84" s="30"/>
      <c r="E84" s="30"/>
      <c r="F84" s="30"/>
      <c r="G84" s="30"/>
      <c r="H84" s="31"/>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row>
    <row r="85" spans="1:61" ht="15.75" customHeight="1">
      <c r="A85" s="30"/>
      <c r="B85" s="30"/>
      <c r="C85" s="350"/>
      <c r="D85" s="30"/>
      <c r="E85" s="30"/>
      <c r="F85" s="30"/>
      <c r="G85" s="30"/>
      <c r="H85" s="31"/>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row>
    <row r="86" spans="1:61" ht="15.75" customHeight="1">
      <c r="A86" s="30"/>
      <c r="B86" s="30"/>
      <c r="C86" s="350"/>
      <c r="D86" s="30"/>
      <c r="E86" s="30"/>
      <c r="F86" s="30"/>
      <c r="G86" s="30"/>
      <c r="H86" s="31"/>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row>
    <row r="87" spans="1:61" ht="15.75" customHeight="1">
      <c r="A87" s="30"/>
      <c r="B87" s="30"/>
      <c r="C87" s="350"/>
      <c r="D87" s="30"/>
      <c r="E87" s="30"/>
      <c r="F87" s="30"/>
      <c r="G87" s="30"/>
      <c r="H87" s="31"/>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61" ht="15.75" customHeight="1">
      <c r="A88" s="30"/>
      <c r="B88" s="30"/>
      <c r="C88" s="350"/>
      <c r="D88" s="30"/>
      <c r="E88" s="30"/>
      <c r="F88" s="30"/>
      <c r="G88" s="30"/>
      <c r="H88" s="31"/>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row>
    <row r="89" spans="1:61" ht="15.75" customHeight="1">
      <c r="A89" s="30"/>
      <c r="B89" s="30"/>
      <c r="C89" s="350"/>
      <c r="D89" s="30"/>
      <c r="E89" s="30"/>
      <c r="F89" s="30"/>
      <c r="G89" s="30"/>
      <c r="H89" s="31"/>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row>
    <row r="90" spans="1:61" ht="15.75" customHeight="1">
      <c r="A90" s="30"/>
      <c r="B90" s="30"/>
      <c r="C90" s="350"/>
      <c r="D90" s="30"/>
      <c r="E90" s="30"/>
      <c r="F90" s="30"/>
      <c r="G90" s="30"/>
      <c r="H90" s="31"/>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row>
    <row r="91" spans="1:61" ht="15.75" customHeight="1">
      <c r="A91" s="30"/>
      <c r="B91" s="30"/>
      <c r="C91" s="350"/>
      <c r="D91" s="30"/>
      <c r="E91" s="30"/>
      <c r="F91" s="30"/>
      <c r="G91" s="30"/>
      <c r="H91" s="31"/>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row>
    <row r="92" spans="1:61" ht="15.75" customHeight="1">
      <c r="A92" s="30"/>
      <c r="B92" s="30"/>
      <c r="C92" s="350"/>
      <c r="D92" s="30"/>
      <c r="E92" s="30"/>
      <c r="F92" s="30"/>
      <c r="G92" s="30"/>
      <c r="H92" s="31"/>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row>
    <row r="93" spans="1:61" ht="15.75" customHeight="1">
      <c r="A93" s="30"/>
      <c r="B93" s="30"/>
      <c r="C93" s="350"/>
      <c r="D93" s="30"/>
      <c r="E93" s="30"/>
      <c r="F93" s="30"/>
      <c r="G93" s="30"/>
      <c r="H93" s="31"/>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row>
    <row r="94" spans="1:61" ht="15.75" customHeight="1">
      <c r="A94" s="30"/>
      <c r="B94" s="30"/>
      <c r="C94" s="350"/>
      <c r="D94" s="30"/>
      <c r="E94" s="30"/>
      <c r="F94" s="30"/>
      <c r="G94" s="30"/>
      <c r="H94" s="31"/>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row>
    <row r="95" spans="1:61" ht="15.75" customHeight="1">
      <c r="A95" s="30"/>
      <c r="B95" s="30"/>
      <c r="C95" s="350"/>
      <c r="D95" s="30"/>
      <c r="E95" s="30"/>
      <c r="F95" s="30"/>
      <c r="G95" s="30"/>
      <c r="H95" s="31"/>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row>
    <row r="96" spans="1:61" ht="15.75" customHeight="1">
      <c r="A96" s="30"/>
      <c r="B96" s="30"/>
      <c r="C96" s="350"/>
      <c r="D96" s="30"/>
      <c r="E96" s="30"/>
      <c r="F96" s="30"/>
      <c r="G96" s="30"/>
      <c r="H96" s="31"/>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row>
    <row r="97" spans="1:61" ht="15.75" customHeight="1">
      <c r="A97" s="30"/>
      <c r="B97" s="30"/>
      <c r="C97" s="350"/>
      <c r="D97" s="30"/>
      <c r="E97" s="30"/>
      <c r="F97" s="30"/>
      <c r="G97" s="30"/>
      <c r="H97" s="31"/>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row>
    <row r="98" spans="1:61" ht="15.75" customHeight="1">
      <c r="A98" s="30"/>
      <c r="B98" s="30"/>
      <c r="C98" s="350"/>
      <c r="D98" s="30"/>
      <c r="E98" s="30"/>
      <c r="F98" s="30"/>
      <c r="G98" s="30"/>
      <c r="H98" s="31"/>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row>
    <row r="99" spans="1:61" ht="15.75" customHeight="1">
      <c r="A99" s="30"/>
      <c r="B99" s="30"/>
      <c r="C99" s="350"/>
      <c r="D99" s="30"/>
      <c r="E99" s="30"/>
      <c r="F99" s="30"/>
      <c r="G99" s="30"/>
      <c r="H99" s="31"/>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row>
    <row r="100" spans="1:61" ht="15.75" customHeight="1">
      <c r="A100" s="30"/>
      <c r="B100" s="30"/>
      <c r="C100" s="350"/>
      <c r="D100" s="30"/>
      <c r="E100" s="30"/>
      <c r="F100" s="30"/>
      <c r="G100" s="30"/>
      <c r="H100" s="31"/>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row>
    <row r="101" spans="1:61" ht="15.75" customHeight="1">
      <c r="C101" s="351"/>
    </row>
    <row r="102" spans="1:61" ht="15.75" customHeight="1">
      <c r="C102" s="351"/>
    </row>
    <row r="103" spans="1:61" ht="15.75" customHeight="1">
      <c r="C103" s="351"/>
    </row>
    <row r="104" spans="1:61" ht="15.75" customHeight="1">
      <c r="C104" s="351"/>
    </row>
    <row r="105" spans="1:61" ht="15.75" customHeight="1">
      <c r="C105" s="351"/>
    </row>
    <row r="106" spans="1:61" ht="15.75" customHeight="1">
      <c r="C106" s="351"/>
    </row>
    <row r="107" spans="1:61" ht="15.75" customHeight="1">
      <c r="C107" s="351"/>
    </row>
    <row r="108" spans="1:61" ht="15.75" customHeight="1">
      <c r="C108" s="351"/>
    </row>
    <row r="109" spans="1:61" ht="15.75" customHeight="1">
      <c r="C109" s="351"/>
    </row>
    <row r="110" spans="1:61" ht="15.75" customHeight="1">
      <c r="C110" s="351"/>
    </row>
    <row r="111" spans="1:61" ht="15.75" customHeight="1">
      <c r="C111" s="351"/>
    </row>
    <row r="112" spans="1:61" ht="15.75" customHeight="1">
      <c r="C112" s="351"/>
    </row>
    <row r="113" spans="3:3" ht="15.75" customHeight="1">
      <c r="C113" s="351"/>
    </row>
    <row r="114" spans="3:3" ht="15.75" customHeight="1">
      <c r="C114" s="351"/>
    </row>
    <row r="115" spans="3:3" ht="15.75" customHeight="1">
      <c r="C115" s="351"/>
    </row>
    <row r="116" spans="3:3" ht="15.75" customHeight="1">
      <c r="C116" s="351"/>
    </row>
    <row r="117" spans="3:3" ht="15.75" customHeight="1">
      <c r="C117" s="351"/>
    </row>
    <row r="118" spans="3:3" ht="15.75" customHeight="1">
      <c r="C118" s="351"/>
    </row>
    <row r="119" spans="3:3" ht="15.75" customHeight="1">
      <c r="C119" s="351"/>
    </row>
    <row r="120" spans="3:3" ht="15.75" customHeight="1">
      <c r="C120" s="351"/>
    </row>
    <row r="121" spans="3:3" ht="15.75" customHeight="1">
      <c r="C121" s="351"/>
    </row>
    <row r="122" spans="3:3" ht="15.75" customHeight="1">
      <c r="C122" s="351"/>
    </row>
    <row r="123" spans="3:3" ht="15.75" customHeight="1">
      <c r="C123" s="351"/>
    </row>
    <row r="124" spans="3:3" ht="15.75" customHeight="1">
      <c r="C124" s="351"/>
    </row>
    <row r="125" spans="3:3" ht="15.75" customHeight="1">
      <c r="C125" s="351"/>
    </row>
    <row r="126" spans="3:3" ht="15.75" customHeight="1">
      <c r="C126" s="351"/>
    </row>
    <row r="127" spans="3:3" ht="15.75" customHeight="1">
      <c r="C127" s="351"/>
    </row>
    <row r="128" spans="3:3" ht="15.75" customHeight="1">
      <c r="C128" s="351"/>
    </row>
    <row r="129" spans="3:3" ht="15.75" customHeight="1">
      <c r="C129" s="351"/>
    </row>
    <row r="130" spans="3:3" ht="15.75" customHeight="1">
      <c r="C130" s="351"/>
    </row>
    <row r="131" spans="3:3" ht="15.75" customHeight="1">
      <c r="C131" s="351"/>
    </row>
    <row r="132" spans="3:3" ht="15.75" customHeight="1">
      <c r="C132" s="351"/>
    </row>
    <row r="133" spans="3:3" ht="15.75" customHeight="1">
      <c r="C133" s="351"/>
    </row>
    <row r="134" spans="3:3" ht="15.75" customHeight="1">
      <c r="C134" s="351"/>
    </row>
    <row r="135" spans="3:3" ht="15.75" customHeight="1">
      <c r="C135" s="351"/>
    </row>
    <row r="136" spans="3:3" ht="15.75" customHeight="1">
      <c r="C136" s="351"/>
    </row>
    <row r="137" spans="3:3" ht="15.75" customHeight="1">
      <c r="C137" s="351"/>
    </row>
    <row r="138" spans="3:3" ht="15.75" customHeight="1">
      <c r="C138" s="351"/>
    </row>
    <row r="139" spans="3:3" ht="15.75" customHeight="1">
      <c r="C139" s="351"/>
    </row>
    <row r="140" spans="3:3" ht="15.75" customHeight="1">
      <c r="C140" s="351"/>
    </row>
    <row r="141" spans="3:3" ht="15.75" customHeight="1">
      <c r="C141" s="351"/>
    </row>
    <row r="142" spans="3:3" ht="15.75" customHeight="1">
      <c r="C142" s="351"/>
    </row>
    <row r="143" spans="3:3" ht="15.75" customHeight="1">
      <c r="C143" s="351"/>
    </row>
    <row r="144" spans="3:3" ht="15.75" customHeight="1">
      <c r="C144" s="351"/>
    </row>
    <row r="145" spans="3:3" ht="15.75" customHeight="1">
      <c r="C145" s="351"/>
    </row>
    <row r="146" spans="3:3" ht="15.75" customHeight="1">
      <c r="C146" s="351"/>
    </row>
    <row r="147" spans="3:3" ht="15.75" customHeight="1">
      <c r="C147" s="351"/>
    </row>
    <row r="148" spans="3:3" ht="15.75" customHeight="1">
      <c r="C148" s="351"/>
    </row>
    <row r="149" spans="3:3" ht="15.75" customHeight="1">
      <c r="C149" s="351"/>
    </row>
    <row r="150" spans="3:3" ht="15.75" customHeight="1">
      <c r="C150" s="351"/>
    </row>
    <row r="151" spans="3:3" ht="15.75" customHeight="1">
      <c r="C151" s="351"/>
    </row>
    <row r="152" spans="3:3" ht="15.75" customHeight="1">
      <c r="C152" s="351"/>
    </row>
    <row r="153" spans="3:3" ht="15.75" customHeight="1">
      <c r="C153" s="351"/>
    </row>
    <row r="154" spans="3:3" ht="15.75" customHeight="1">
      <c r="C154" s="351"/>
    </row>
    <row r="155" spans="3:3" ht="15.75" customHeight="1">
      <c r="C155" s="351"/>
    </row>
    <row r="156" spans="3:3" ht="15.75" customHeight="1">
      <c r="C156" s="351"/>
    </row>
    <row r="157" spans="3:3" ht="15.75" customHeight="1">
      <c r="C157" s="351"/>
    </row>
    <row r="158" spans="3:3" ht="15.75" customHeight="1">
      <c r="C158" s="351"/>
    </row>
    <row r="159" spans="3:3" ht="15.75" customHeight="1">
      <c r="C159" s="351"/>
    </row>
    <row r="160" spans="3:3" ht="15.75" customHeight="1">
      <c r="C160" s="351"/>
    </row>
    <row r="161" spans="3:3" ht="15.75" customHeight="1">
      <c r="C161" s="351"/>
    </row>
    <row r="162" spans="3:3" ht="15.75" customHeight="1">
      <c r="C162" s="351"/>
    </row>
    <row r="163" spans="3:3" ht="15.75" customHeight="1">
      <c r="C163" s="351"/>
    </row>
    <row r="164" spans="3:3" ht="15.75" customHeight="1">
      <c r="C164" s="351"/>
    </row>
    <row r="165" spans="3:3" ht="15.75" customHeight="1">
      <c r="C165" s="351"/>
    </row>
    <row r="166" spans="3:3" ht="15.75" customHeight="1">
      <c r="C166" s="351"/>
    </row>
    <row r="167" spans="3:3" ht="15.75" customHeight="1">
      <c r="C167" s="351"/>
    </row>
    <row r="168" spans="3:3" ht="15.75" customHeight="1">
      <c r="C168" s="351"/>
    </row>
    <row r="169" spans="3:3" ht="15.75" customHeight="1">
      <c r="C169" s="351"/>
    </row>
    <row r="170" spans="3:3" ht="15.75" customHeight="1">
      <c r="C170" s="351"/>
    </row>
    <row r="171" spans="3:3" ht="15.75" customHeight="1">
      <c r="C171" s="351"/>
    </row>
    <row r="172" spans="3:3" ht="15.75" customHeight="1">
      <c r="C172" s="351"/>
    </row>
    <row r="173" spans="3:3" ht="15.75" customHeight="1">
      <c r="C173" s="351"/>
    </row>
    <row r="174" spans="3:3" ht="15.75" customHeight="1">
      <c r="C174" s="351"/>
    </row>
    <row r="175" spans="3:3" ht="15.75" customHeight="1">
      <c r="C175" s="351"/>
    </row>
    <row r="176" spans="3:3" ht="15.75" customHeight="1">
      <c r="C176" s="351"/>
    </row>
    <row r="177" spans="3:3" ht="15.75" customHeight="1">
      <c r="C177" s="351"/>
    </row>
    <row r="178" spans="3:3" ht="15.75" customHeight="1">
      <c r="C178" s="351"/>
    </row>
    <row r="179" spans="3:3" ht="15.75" customHeight="1">
      <c r="C179" s="351"/>
    </row>
    <row r="180" spans="3:3" ht="15.75" customHeight="1">
      <c r="C180" s="351"/>
    </row>
    <row r="181" spans="3:3" ht="15.75" customHeight="1">
      <c r="C181" s="351"/>
    </row>
    <row r="182" spans="3:3" ht="15.75" customHeight="1">
      <c r="C182" s="351"/>
    </row>
    <row r="183" spans="3:3" ht="15.75" customHeight="1">
      <c r="C183" s="351"/>
    </row>
    <row r="184" spans="3:3" ht="15.75" customHeight="1">
      <c r="C184" s="351"/>
    </row>
    <row r="185" spans="3:3" ht="15.75" customHeight="1">
      <c r="C185" s="351"/>
    </row>
    <row r="186" spans="3:3" ht="15.75" customHeight="1">
      <c r="C186" s="351"/>
    </row>
    <row r="187" spans="3:3" ht="15.75" customHeight="1">
      <c r="C187" s="351"/>
    </row>
    <row r="188" spans="3:3" ht="15.75" customHeight="1">
      <c r="C188" s="351"/>
    </row>
    <row r="189" spans="3:3" ht="15.75" customHeight="1">
      <c r="C189" s="351"/>
    </row>
    <row r="190" spans="3:3" ht="15.75" customHeight="1">
      <c r="C190" s="351"/>
    </row>
    <row r="191" spans="3:3" ht="15.75" customHeight="1">
      <c r="C191" s="351"/>
    </row>
    <row r="192" spans="3:3" ht="15.75" customHeight="1">
      <c r="C192" s="351"/>
    </row>
    <row r="193" spans="3:3" ht="15.75" customHeight="1">
      <c r="C193" s="351"/>
    </row>
    <row r="194" spans="3:3" ht="15.75" customHeight="1">
      <c r="C194" s="351"/>
    </row>
    <row r="195" spans="3:3" ht="15.75" customHeight="1">
      <c r="C195" s="351"/>
    </row>
    <row r="196" spans="3:3" ht="15.75" customHeight="1">
      <c r="C196" s="351"/>
    </row>
    <row r="197" spans="3:3" ht="15.75" customHeight="1">
      <c r="C197" s="351"/>
    </row>
    <row r="198" spans="3:3" ht="15.75" customHeight="1">
      <c r="C198" s="351"/>
    </row>
    <row r="199" spans="3:3" ht="15.75" customHeight="1">
      <c r="C199" s="351"/>
    </row>
    <row r="200" spans="3:3" ht="15.75" customHeight="1">
      <c r="C200" s="351"/>
    </row>
    <row r="201" spans="3:3" ht="15.75" customHeight="1">
      <c r="C201" s="351"/>
    </row>
    <row r="202" spans="3:3" ht="15.75" customHeight="1">
      <c r="C202" s="351"/>
    </row>
    <row r="203" spans="3:3" ht="15.75" customHeight="1">
      <c r="C203" s="351"/>
    </row>
    <row r="204" spans="3:3" ht="15.75" customHeight="1">
      <c r="C204" s="351"/>
    </row>
    <row r="205" spans="3:3" ht="15.75" customHeight="1">
      <c r="C205" s="351"/>
    </row>
    <row r="206" spans="3:3" ht="15.75" customHeight="1">
      <c r="C206" s="351"/>
    </row>
    <row r="207" spans="3:3" ht="15.75" customHeight="1">
      <c r="C207" s="351"/>
    </row>
    <row r="208" spans="3:3" ht="15.75" customHeight="1">
      <c r="C208" s="351"/>
    </row>
    <row r="209" spans="3:3" ht="15.75" customHeight="1">
      <c r="C209" s="351"/>
    </row>
    <row r="210" spans="3:3" ht="15.75" customHeight="1">
      <c r="C210" s="351"/>
    </row>
    <row r="211" spans="3:3" ht="15.75" customHeight="1">
      <c r="C211" s="351"/>
    </row>
    <row r="212" spans="3:3" ht="15.75" customHeight="1">
      <c r="C212" s="351"/>
    </row>
    <row r="213" spans="3:3" ht="15.75" customHeight="1">
      <c r="C213" s="351"/>
    </row>
    <row r="214" spans="3:3" ht="15.75" customHeight="1">
      <c r="C214" s="351"/>
    </row>
    <row r="215" spans="3:3" ht="15.75" customHeight="1">
      <c r="C215" s="351"/>
    </row>
    <row r="216" spans="3:3" ht="15.75" customHeight="1">
      <c r="C216" s="351"/>
    </row>
    <row r="217" spans="3:3" ht="15.75" customHeight="1">
      <c r="C217" s="351"/>
    </row>
    <row r="218" spans="3:3" ht="15.75" customHeight="1">
      <c r="C218" s="351"/>
    </row>
    <row r="219" spans="3:3" ht="15.75" customHeight="1">
      <c r="C219" s="351"/>
    </row>
    <row r="220" spans="3:3" ht="15.75" customHeight="1">
      <c r="C220" s="351"/>
    </row>
    <row r="221" spans="3:3" ht="15.75" customHeight="1">
      <c r="C221" s="351"/>
    </row>
    <row r="222" spans="3:3" ht="15.75" customHeight="1">
      <c r="C222" s="351"/>
    </row>
    <row r="223" spans="3:3" ht="15.75" customHeight="1">
      <c r="C223" s="351"/>
    </row>
    <row r="224" spans="3:3" ht="15.75" customHeight="1">
      <c r="C224" s="351"/>
    </row>
    <row r="225" spans="3:3" ht="15.75" customHeight="1">
      <c r="C225" s="351"/>
    </row>
    <row r="226" spans="3:3" ht="15.75" customHeight="1">
      <c r="C226" s="351"/>
    </row>
    <row r="227" spans="3:3" ht="15.75" customHeight="1">
      <c r="C227" s="351"/>
    </row>
    <row r="228" spans="3:3" ht="15.75" customHeight="1">
      <c r="C228" s="351"/>
    </row>
    <row r="229" spans="3:3" ht="15.75" customHeight="1">
      <c r="C229" s="351"/>
    </row>
    <row r="230" spans="3:3" ht="15.75" customHeight="1">
      <c r="C230" s="351"/>
    </row>
    <row r="231" spans="3:3" ht="15.75" customHeight="1">
      <c r="C231" s="351"/>
    </row>
    <row r="232" spans="3:3" ht="15.75" customHeight="1">
      <c r="C232" s="351"/>
    </row>
    <row r="233" spans="3:3" ht="15.75" customHeight="1">
      <c r="C233" s="351"/>
    </row>
    <row r="234" spans="3:3" ht="15.75" customHeight="1">
      <c r="C234" s="351"/>
    </row>
    <row r="235" spans="3:3" ht="15.75" customHeight="1">
      <c r="C235" s="351"/>
    </row>
    <row r="236" spans="3:3" ht="15.75" customHeight="1">
      <c r="C236" s="351"/>
    </row>
    <row r="237" spans="3:3" ht="15.75" customHeight="1">
      <c r="C237" s="351"/>
    </row>
    <row r="238" spans="3:3" ht="15.75" customHeight="1">
      <c r="C238" s="351"/>
    </row>
    <row r="239" spans="3:3" ht="15.75" customHeight="1">
      <c r="C239" s="351"/>
    </row>
    <row r="240" spans="3:3" ht="15.75" customHeight="1">
      <c r="C240" s="351"/>
    </row>
    <row r="241" spans="3:3" ht="15.75" customHeight="1">
      <c r="C241" s="351"/>
    </row>
    <row r="242" spans="3:3" ht="15.75" customHeight="1">
      <c r="C242" s="351"/>
    </row>
    <row r="243" spans="3:3" ht="15.75" customHeight="1">
      <c r="C243" s="351"/>
    </row>
    <row r="244" spans="3:3" ht="15.75" customHeight="1">
      <c r="C244" s="351"/>
    </row>
    <row r="245" spans="3:3" ht="15.75" customHeight="1">
      <c r="C245" s="351"/>
    </row>
    <row r="246" spans="3:3" ht="15.75" customHeight="1">
      <c r="C246" s="351"/>
    </row>
    <row r="247" spans="3:3" ht="15.75" customHeight="1">
      <c r="C247" s="351"/>
    </row>
    <row r="248" spans="3:3" ht="15.75" customHeight="1">
      <c r="C248" s="351"/>
    </row>
    <row r="249" spans="3:3" ht="15.75" customHeight="1">
      <c r="C249" s="351"/>
    </row>
    <row r="250" spans="3:3" ht="15.75" customHeight="1">
      <c r="C250" s="351"/>
    </row>
    <row r="251" spans="3:3" ht="15.75" customHeight="1">
      <c r="C251" s="351"/>
    </row>
    <row r="252" spans="3:3" ht="15.75" customHeight="1">
      <c r="C252" s="351"/>
    </row>
    <row r="253" spans="3:3" ht="15.75" customHeight="1">
      <c r="C253" s="351"/>
    </row>
    <row r="254" spans="3:3" ht="15.75" customHeight="1">
      <c r="C254" s="351"/>
    </row>
    <row r="255" spans="3:3" ht="15.75" customHeight="1">
      <c r="C255" s="351"/>
    </row>
    <row r="256" spans="3:3" ht="15.75" customHeight="1">
      <c r="C256" s="351"/>
    </row>
    <row r="257" spans="3:3" ht="15.75" customHeight="1">
      <c r="C257" s="351"/>
    </row>
    <row r="258" spans="3:3" ht="15.75" customHeight="1">
      <c r="C258" s="351"/>
    </row>
    <row r="259" spans="3:3" ht="15.75" customHeight="1">
      <c r="C259" s="351"/>
    </row>
    <row r="260" spans="3:3" ht="15.75" customHeight="1">
      <c r="C260" s="351"/>
    </row>
    <row r="261" spans="3:3" ht="15.75" customHeight="1">
      <c r="C261" s="351"/>
    </row>
    <row r="262" spans="3:3" ht="15.75" customHeight="1">
      <c r="C262" s="351"/>
    </row>
    <row r="263" spans="3:3" ht="15.75" customHeight="1">
      <c r="C263" s="351"/>
    </row>
    <row r="264" spans="3:3" ht="15.75" customHeight="1">
      <c r="C264" s="351"/>
    </row>
    <row r="265" spans="3:3" ht="15.75" customHeight="1">
      <c r="C265" s="351"/>
    </row>
    <row r="266" spans="3:3" ht="15.75" customHeight="1">
      <c r="C266" s="351"/>
    </row>
    <row r="267" spans="3:3" ht="15.75" customHeight="1">
      <c r="C267" s="351"/>
    </row>
    <row r="268" spans="3:3" ht="15.75" customHeight="1">
      <c r="C268" s="351"/>
    </row>
    <row r="269" spans="3:3" ht="15.75" customHeight="1">
      <c r="C269" s="351"/>
    </row>
    <row r="270" spans="3:3" ht="15.75" customHeight="1">
      <c r="C270" s="351"/>
    </row>
    <row r="271" spans="3:3" ht="15.75" customHeight="1">
      <c r="C271" s="351"/>
    </row>
    <row r="272" spans="3:3" ht="15.75" customHeight="1">
      <c r="C272" s="351"/>
    </row>
    <row r="273" spans="3:3" ht="15.75" customHeight="1">
      <c r="C273" s="351"/>
    </row>
    <row r="274" spans="3:3" ht="15.75" customHeight="1">
      <c r="C274" s="351"/>
    </row>
    <row r="275" spans="3:3" ht="15.75" customHeight="1">
      <c r="C275" s="351"/>
    </row>
    <row r="276" spans="3:3" ht="15.75" customHeight="1">
      <c r="C276" s="351"/>
    </row>
    <row r="277" spans="3:3" ht="15.75" customHeight="1">
      <c r="C277" s="351"/>
    </row>
    <row r="278" spans="3:3" ht="15.75" customHeight="1">
      <c r="C278" s="351"/>
    </row>
    <row r="279" spans="3:3" ht="15.75" customHeight="1">
      <c r="C279" s="351"/>
    </row>
    <row r="280" spans="3:3" ht="15.75" customHeight="1">
      <c r="C280" s="351"/>
    </row>
    <row r="281" spans="3:3" ht="15.75" customHeight="1">
      <c r="C281" s="351"/>
    </row>
    <row r="282" spans="3:3" ht="15.75" customHeight="1">
      <c r="C282" s="351"/>
    </row>
    <row r="283" spans="3:3" ht="15.75" customHeight="1">
      <c r="C283" s="351"/>
    </row>
    <row r="284" spans="3:3" ht="15.75" customHeight="1">
      <c r="C284" s="351"/>
    </row>
    <row r="285" spans="3:3" ht="15.75" customHeight="1">
      <c r="C285" s="351"/>
    </row>
    <row r="286" spans="3:3" ht="15.75" customHeight="1">
      <c r="C286" s="351"/>
    </row>
    <row r="287" spans="3:3" ht="15.75" customHeight="1">
      <c r="C287" s="351"/>
    </row>
    <row r="288" spans="3:3" ht="15.75" customHeight="1">
      <c r="C288" s="351"/>
    </row>
    <row r="289" spans="3:3" ht="15.75" customHeight="1">
      <c r="C289" s="351"/>
    </row>
    <row r="290" spans="3:3" ht="15.75" customHeight="1">
      <c r="C290" s="351"/>
    </row>
    <row r="291" spans="3:3" ht="15.75" customHeight="1">
      <c r="C291" s="351"/>
    </row>
    <row r="292" spans="3:3" ht="15.75" customHeight="1">
      <c r="C292" s="351"/>
    </row>
    <row r="293" spans="3:3" ht="15.75" customHeight="1">
      <c r="C293" s="351"/>
    </row>
    <row r="294" spans="3:3" ht="15.75" customHeight="1">
      <c r="C294" s="351"/>
    </row>
    <row r="295" spans="3:3" ht="15.75" customHeight="1">
      <c r="C295" s="351"/>
    </row>
    <row r="296" spans="3:3" ht="15.75" customHeight="1">
      <c r="C296" s="351"/>
    </row>
    <row r="297" spans="3:3" ht="15.75" customHeight="1">
      <c r="C297" s="351"/>
    </row>
    <row r="298" spans="3:3" ht="15.75" customHeight="1">
      <c r="C298" s="351"/>
    </row>
    <row r="299" spans="3:3" ht="15.75" customHeight="1">
      <c r="C299" s="351"/>
    </row>
    <row r="300" spans="3:3" ht="15.75" customHeight="1">
      <c r="C300" s="351"/>
    </row>
    <row r="301" spans="3:3" ht="15.75" customHeight="1">
      <c r="C301" s="351"/>
    </row>
    <row r="302" spans="3:3" ht="15.75" customHeight="1">
      <c r="C302" s="351"/>
    </row>
    <row r="303" spans="3:3" ht="15.75" customHeight="1">
      <c r="C303" s="351"/>
    </row>
    <row r="304" spans="3:3" ht="15.75" customHeight="1">
      <c r="C304" s="351"/>
    </row>
    <row r="305" spans="3:3" ht="15.75" customHeight="1">
      <c r="C305" s="351"/>
    </row>
    <row r="306" spans="3:3" ht="15.75" customHeight="1">
      <c r="C306" s="351"/>
    </row>
    <row r="307" spans="3:3" ht="15.75" customHeight="1">
      <c r="C307" s="351"/>
    </row>
    <row r="308" spans="3:3" ht="15.75" customHeight="1">
      <c r="C308" s="351"/>
    </row>
    <row r="309" spans="3:3" ht="15.75" customHeight="1">
      <c r="C309" s="351"/>
    </row>
    <row r="310" spans="3:3" ht="15.75" customHeight="1">
      <c r="C310" s="351"/>
    </row>
    <row r="311" spans="3:3" ht="15.75" customHeight="1">
      <c r="C311" s="351"/>
    </row>
    <row r="312" spans="3:3" ht="15.75" customHeight="1">
      <c r="C312" s="351"/>
    </row>
    <row r="313" spans="3:3" ht="15.75" customHeight="1">
      <c r="C313" s="351"/>
    </row>
    <row r="314" spans="3:3" ht="15.75" customHeight="1">
      <c r="C314" s="351"/>
    </row>
    <row r="315" spans="3:3" ht="15.75" customHeight="1">
      <c r="C315" s="351"/>
    </row>
    <row r="316" spans="3:3" ht="15.75" customHeight="1">
      <c r="C316" s="351"/>
    </row>
    <row r="317" spans="3:3" ht="15.75" customHeight="1">
      <c r="C317" s="351"/>
    </row>
    <row r="318" spans="3:3" ht="15.75" customHeight="1">
      <c r="C318" s="351"/>
    </row>
    <row r="319" spans="3:3" ht="15.75" customHeight="1">
      <c r="C319" s="351"/>
    </row>
    <row r="320" spans="3:3" ht="15.75" customHeight="1">
      <c r="C320" s="351"/>
    </row>
    <row r="321" spans="3:3" ht="15.75" customHeight="1">
      <c r="C321" s="351"/>
    </row>
    <row r="322" spans="3:3" ht="15.75" customHeight="1">
      <c r="C322" s="351"/>
    </row>
    <row r="323" spans="3:3" ht="15.75" customHeight="1">
      <c r="C323" s="351"/>
    </row>
    <row r="324" spans="3:3" ht="15.75" customHeight="1">
      <c r="C324" s="351"/>
    </row>
    <row r="325" spans="3:3" ht="15.75" customHeight="1">
      <c r="C325" s="351"/>
    </row>
    <row r="326" spans="3:3" ht="15.75" customHeight="1">
      <c r="C326" s="351"/>
    </row>
    <row r="327" spans="3:3" ht="15.75" customHeight="1">
      <c r="C327" s="351"/>
    </row>
    <row r="328" spans="3:3" ht="15.75" customHeight="1">
      <c r="C328" s="351"/>
    </row>
    <row r="329" spans="3:3" ht="15.75" customHeight="1">
      <c r="C329" s="351"/>
    </row>
    <row r="330" spans="3:3" ht="15.75" customHeight="1">
      <c r="C330" s="351"/>
    </row>
    <row r="331" spans="3:3" ht="15.75" customHeight="1">
      <c r="C331" s="351"/>
    </row>
    <row r="332" spans="3:3" ht="15.75" customHeight="1">
      <c r="C332" s="351"/>
    </row>
    <row r="333" spans="3:3" ht="15.75" customHeight="1">
      <c r="C333" s="351"/>
    </row>
    <row r="334" spans="3:3" ht="15.75" customHeight="1">
      <c r="C334" s="351"/>
    </row>
    <row r="335" spans="3:3" ht="15.75" customHeight="1">
      <c r="C335" s="351"/>
    </row>
    <row r="336" spans="3:3" ht="15.75" customHeight="1">
      <c r="C336" s="351"/>
    </row>
    <row r="337" spans="3:3" ht="15.75" customHeight="1">
      <c r="C337" s="351"/>
    </row>
    <row r="338" spans="3:3" ht="15.75" customHeight="1">
      <c r="C338" s="351"/>
    </row>
    <row r="339" spans="3:3" ht="15.75" customHeight="1">
      <c r="C339" s="351"/>
    </row>
    <row r="340" spans="3:3" ht="15.75" customHeight="1">
      <c r="C340" s="351"/>
    </row>
    <row r="341" spans="3:3" ht="15.75" customHeight="1">
      <c r="C341" s="351"/>
    </row>
    <row r="342" spans="3:3" ht="15.75" customHeight="1">
      <c r="C342" s="351"/>
    </row>
    <row r="343" spans="3:3" ht="15.75" customHeight="1">
      <c r="C343" s="351"/>
    </row>
    <row r="344" spans="3:3" ht="15.75" customHeight="1">
      <c r="C344" s="351"/>
    </row>
    <row r="345" spans="3:3" ht="15.75" customHeight="1">
      <c r="C345" s="351"/>
    </row>
    <row r="346" spans="3:3" ht="15.75" customHeight="1">
      <c r="C346" s="351"/>
    </row>
    <row r="347" spans="3:3" ht="15.75" customHeight="1">
      <c r="C347" s="351"/>
    </row>
    <row r="348" spans="3:3" ht="15.75" customHeight="1">
      <c r="C348" s="351"/>
    </row>
    <row r="349" spans="3:3" ht="15.75" customHeight="1">
      <c r="C349" s="351"/>
    </row>
    <row r="350" spans="3:3" ht="15.75" customHeight="1">
      <c r="C350" s="351"/>
    </row>
    <row r="351" spans="3:3" ht="15.75" customHeight="1">
      <c r="C351" s="351"/>
    </row>
    <row r="352" spans="3:3" ht="15.75" customHeight="1">
      <c r="C352" s="351"/>
    </row>
    <row r="353" spans="3:3" ht="15.75" customHeight="1">
      <c r="C353" s="351"/>
    </row>
    <row r="354" spans="3:3" ht="15.75" customHeight="1">
      <c r="C354" s="351"/>
    </row>
    <row r="355" spans="3:3" ht="15.75" customHeight="1">
      <c r="C355" s="351"/>
    </row>
    <row r="356" spans="3:3" ht="15.75" customHeight="1">
      <c r="C356" s="351"/>
    </row>
    <row r="357" spans="3:3" ht="15.75" customHeight="1">
      <c r="C357" s="351"/>
    </row>
    <row r="358" spans="3:3" ht="15.75" customHeight="1">
      <c r="C358" s="351"/>
    </row>
    <row r="359" spans="3:3" ht="15.75" customHeight="1">
      <c r="C359" s="351"/>
    </row>
    <row r="360" spans="3:3" ht="15.75" customHeight="1">
      <c r="C360" s="351"/>
    </row>
    <row r="361" spans="3:3" ht="15.75" customHeight="1">
      <c r="C361" s="351"/>
    </row>
    <row r="362" spans="3:3" ht="15.75" customHeight="1">
      <c r="C362" s="351"/>
    </row>
    <row r="363" spans="3:3" ht="15.75" customHeight="1">
      <c r="C363" s="351"/>
    </row>
    <row r="364" spans="3:3" ht="15.75" customHeight="1">
      <c r="C364" s="351"/>
    </row>
    <row r="365" spans="3:3" ht="15.75" customHeight="1">
      <c r="C365" s="351"/>
    </row>
    <row r="366" spans="3:3" ht="15.75" customHeight="1">
      <c r="C366" s="351"/>
    </row>
    <row r="367" spans="3:3" ht="15.75" customHeight="1">
      <c r="C367" s="351"/>
    </row>
    <row r="368" spans="3:3" ht="15.75" customHeight="1">
      <c r="C368" s="351"/>
    </row>
    <row r="369" spans="3:3" ht="15.75" customHeight="1">
      <c r="C369" s="351"/>
    </row>
    <row r="370" spans="3:3" ht="15.75" customHeight="1">
      <c r="C370" s="351"/>
    </row>
    <row r="371" spans="3:3" ht="15.75" customHeight="1">
      <c r="C371" s="351"/>
    </row>
    <row r="372" spans="3:3" ht="15.75" customHeight="1">
      <c r="C372" s="351"/>
    </row>
    <row r="373" spans="3:3" ht="15.75" customHeight="1">
      <c r="C373" s="351"/>
    </row>
    <row r="374" spans="3:3" ht="15.75" customHeight="1">
      <c r="C374" s="351"/>
    </row>
    <row r="375" spans="3:3" ht="15.75" customHeight="1">
      <c r="C375" s="351"/>
    </row>
    <row r="376" spans="3:3" ht="15.75" customHeight="1">
      <c r="C376" s="351"/>
    </row>
    <row r="377" spans="3:3" ht="15.75" customHeight="1">
      <c r="C377" s="351"/>
    </row>
    <row r="378" spans="3:3" ht="15.75" customHeight="1">
      <c r="C378" s="351"/>
    </row>
    <row r="379" spans="3:3" ht="15.75" customHeight="1">
      <c r="C379" s="351"/>
    </row>
    <row r="380" spans="3:3" ht="15.75" customHeight="1">
      <c r="C380" s="351"/>
    </row>
    <row r="381" spans="3:3" ht="15.75" customHeight="1">
      <c r="C381" s="351"/>
    </row>
    <row r="382" spans="3:3" ht="15.75" customHeight="1">
      <c r="C382" s="351"/>
    </row>
    <row r="383" spans="3:3" ht="15.75" customHeight="1">
      <c r="C383" s="351"/>
    </row>
    <row r="384" spans="3:3" ht="15.75" customHeight="1">
      <c r="C384" s="351"/>
    </row>
    <row r="385" spans="3:3" ht="15.75" customHeight="1">
      <c r="C385" s="351"/>
    </row>
    <row r="386" spans="3:3" ht="15.75" customHeight="1">
      <c r="C386" s="351"/>
    </row>
    <row r="387" spans="3:3" ht="15.75" customHeight="1">
      <c r="C387" s="351"/>
    </row>
    <row r="388" spans="3:3" ht="15.75" customHeight="1">
      <c r="C388" s="351"/>
    </row>
    <row r="389" spans="3:3" ht="15.75" customHeight="1">
      <c r="C389" s="351"/>
    </row>
    <row r="390" spans="3:3" ht="15.75" customHeight="1">
      <c r="C390" s="351"/>
    </row>
    <row r="391" spans="3:3" ht="15.75" customHeight="1">
      <c r="C391" s="351"/>
    </row>
    <row r="392" spans="3:3" ht="15.75" customHeight="1">
      <c r="C392" s="351"/>
    </row>
    <row r="393" spans="3:3" ht="15.75" customHeight="1">
      <c r="C393" s="351"/>
    </row>
    <row r="394" spans="3:3" ht="15.75" customHeight="1">
      <c r="C394" s="351"/>
    </row>
    <row r="395" spans="3:3" ht="15.75" customHeight="1">
      <c r="C395" s="351"/>
    </row>
    <row r="396" spans="3:3" ht="15.75" customHeight="1">
      <c r="C396" s="351"/>
    </row>
    <row r="397" spans="3:3" ht="15.75" customHeight="1">
      <c r="C397" s="351"/>
    </row>
    <row r="398" spans="3:3" ht="15.75" customHeight="1">
      <c r="C398" s="351"/>
    </row>
    <row r="399" spans="3:3" ht="15.75" customHeight="1">
      <c r="C399" s="351"/>
    </row>
    <row r="400" spans="3:3" ht="15.75" customHeight="1">
      <c r="C400" s="351"/>
    </row>
    <row r="401" spans="3:3" ht="15.75" customHeight="1">
      <c r="C401" s="351"/>
    </row>
    <row r="402" spans="3:3" ht="15.75" customHeight="1">
      <c r="C402" s="351"/>
    </row>
    <row r="403" spans="3:3" ht="15.75" customHeight="1">
      <c r="C403" s="351"/>
    </row>
    <row r="404" spans="3:3" ht="15.75" customHeight="1">
      <c r="C404" s="351"/>
    </row>
    <row r="405" spans="3:3" ht="15.75" customHeight="1">
      <c r="C405" s="351"/>
    </row>
    <row r="406" spans="3:3" ht="15.75" customHeight="1">
      <c r="C406" s="351"/>
    </row>
    <row r="407" spans="3:3" ht="15.75" customHeight="1">
      <c r="C407" s="351"/>
    </row>
    <row r="408" spans="3:3" ht="15.75" customHeight="1">
      <c r="C408" s="351"/>
    </row>
    <row r="409" spans="3:3" ht="15.75" customHeight="1">
      <c r="C409" s="351"/>
    </row>
    <row r="410" spans="3:3" ht="15.75" customHeight="1">
      <c r="C410" s="351"/>
    </row>
    <row r="411" spans="3:3" ht="15.75" customHeight="1">
      <c r="C411" s="351"/>
    </row>
    <row r="412" spans="3:3" ht="15.75" customHeight="1">
      <c r="C412" s="351"/>
    </row>
    <row r="413" spans="3:3" ht="15.75" customHeight="1">
      <c r="C413" s="351"/>
    </row>
    <row r="414" spans="3:3" ht="15.75" customHeight="1">
      <c r="C414" s="351"/>
    </row>
    <row r="415" spans="3:3" ht="15.75" customHeight="1">
      <c r="C415" s="351"/>
    </row>
    <row r="416" spans="3:3" ht="15.75" customHeight="1">
      <c r="C416" s="351"/>
    </row>
    <row r="417" spans="3:3" ht="15.75" customHeight="1">
      <c r="C417" s="351"/>
    </row>
    <row r="418" spans="3:3" ht="15.75" customHeight="1">
      <c r="C418" s="351"/>
    </row>
    <row r="419" spans="3:3" ht="15.75" customHeight="1">
      <c r="C419" s="351"/>
    </row>
    <row r="420" spans="3:3" ht="15.75" customHeight="1">
      <c r="C420" s="351"/>
    </row>
    <row r="421" spans="3:3" ht="15.75" customHeight="1">
      <c r="C421" s="351"/>
    </row>
    <row r="422" spans="3:3" ht="15.75" customHeight="1">
      <c r="C422" s="351"/>
    </row>
    <row r="423" spans="3:3" ht="15.75" customHeight="1">
      <c r="C423" s="351"/>
    </row>
    <row r="424" spans="3:3" ht="15.75" customHeight="1">
      <c r="C424" s="351"/>
    </row>
    <row r="425" spans="3:3" ht="15.75" customHeight="1">
      <c r="C425" s="351"/>
    </row>
    <row r="426" spans="3:3" ht="15.75" customHeight="1">
      <c r="C426" s="351"/>
    </row>
    <row r="427" spans="3:3" ht="15.75" customHeight="1">
      <c r="C427" s="351"/>
    </row>
    <row r="428" spans="3:3" ht="15.75" customHeight="1">
      <c r="C428" s="351"/>
    </row>
    <row r="429" spans="3:3" ht="15.75" customHeight="1">
      <c r="C429" s="351"/>
    </row>
    <row r="430" spans="3:3" ht="15.75" customHeight="1">
      <c r="C430" s="351"/>
    </row>
    <row r="431" spans="3:3" ht="15.75" customHeight="1">
      <c r="C431" s="351"/>
    </row>
    <row r="432" spans="3:3" ht="15.75" customHeight="1">
      <c r="C432" s="351"/>
    </row>
    <row r="433" spans="3:3" ht="15.75" customHeight="1">
      <c r="C433" s="351"/>
    </row>
    <row r="434" spans="3:3" ht="15.75" customHeight="1">
      <c r="C434" s="351"/>
    </row>
    <row r="435" spans="3:3" ht="15.75" customHeight="1">
      <c r="C435" s="351"/>
    </row>
    <row r="436" spans="3:3" ht="15.75" customHeight="1">
      <c r="C436" s="351"/>
    </row>
    <row r="437" spans="3:3" ht="15.75" customHeight="1">
      <c r="C437" s="351"/>
    </row>
    <row r="438" spans="3:3" ht="15.75" customHeight="1">
      <c r="C438" s="351"/>
    </row>
    <row r="439" spans="3:3" ht="15.75" customHeight="1">
      <c r="C439" s="351"/>
    </row>
    <row r="440" spans="3:3" ht="15.75" customHeight="1">
      <c r="C440" s="351"/>
    </row>
    <row r="441" spans="3:3" ht="15.75" customHeight="1">
      <c r="C441" s="351"/>
    </row>
    <row r="442" spans="3:3" ht="15.75" customHeight="1">
      <c r="C442" s="351"/>
    </row>
    <row r="443" spans="3:3" ht="15.75" customHeight="1">
      <c r="C443" s="351"/>
    </row>
    <row r="444" spans="3:3" ht="15.75" customHeight="1">
      <c r="C444" s="351"/>
    </row>
    <row r="445" spans="3:3" ht="15.75" customHeight="1">
      <c r="C445" s="351"/>
    </row>
    <row r="446" spans="3:3" ht="15.75" customHeight="1">
      <c r="C446" s="351"/>
    </row>
    <row r="447" spans="3:3" ht="15.75" customHeight="1">
      <c r="C447" s="351"/>
    </row>
    <row r="448" spans="3:3" ht="15.75" customHeight="1">
      <c r="C448" s="351"/>
    </row>
    <row r="449" spans="3:3" ht="15.75" customHeight="1">
      <c r="C449" s="351"/>
    </row>
    <row r="450" spans="3:3" ht="15.75" customHeight="1">
      <c r="C450" s="351"/>
    </row>
    <row r="451" spans="3:3" ht="15.75" customHeight="1">
      <c r="C451" s="351"/>
    </row>
    <row r="452" spans="3:3" ht="15.75" customHeight="1">
      <c r="C452" s="351"/>
    </row>
    <row r="453" spans="3:3" ht="15.75" customHeight="1">
      <c r="C453" s="351"/>
    </row>
    <row r="454" spans="3:3" ht="15.75" customHeight="1">
      <c r="C454" s="351"/>
    </row>
    <row r="455" spans="3:3" ht="15.75" customHeight="1">
      <c r="C455" s="351"/>
    </row>
    <row r="456" spans="3:3" ht="15.75" customHeight="1">
      <c r="C456" s="351"/>
    </row>
    <row r="457" spans="3:3" ht="15.75" customHeight="1">
      <c r="C457" s="351"/>
    </row>
    <row r="458" spans="3:3" ht="15.75" customHeight="1">
      <c r="C458" s="351"/>
    </row>
    <row r="459" spans="3:3" ht="15.75" customHeight="1">
      <c r="C459" s="351"/>
    </row>
    <row r="460" spans="3:3" ht="15.75" customHeight="1">
      <c r="C460" s="351"/>
    </row>
    <row r="461" spans="3:3" ht="15.75" customHeight="1">
      <c r="C461" s="351"/>
    </row>
    <row r="462" spans="3:3" ht="15.75" customHeight="1">
      <c r="C462" s="351"/>
    </row>
    <row r="463" spans="3:3" ht="15.75" customHeight="1">
      <c r="C463" s="351"/>
    </row>
    <row r="464" spans="3:3" ht="15.75" customHeight="1">
      <c r="C464" s="351"/>
    </row>
    <row r="465" spans="3:3" ht="15.75" customHeight="1">
      <c r="C465" s="351"/>
    </row>
    <row r="466" spans="3:3" ht="15.75" customHeight="1">
      <c r="C466" s="351"/>
    </row>
    <row r="467" spans="3:3" ht="15.75" customHeight="1">
      <c r="C467" s="351"/>
    </row>
    <row r="468" spans="3:3" ht="15.75" customHeight="1">
      <c r="C468" s="351"/>
    </row>
    <row r="469" spans="3:3" ht="15.75" customHeight="1">
      <c r="C469" s="351"/>
    </row>
    <row r="470" spans="3:3" ht="15.75" customHeight="1">
      <c r="C470" s="351"/>
    </row>
    <row r="471" spans="3:3" ht="15.75" customHeight="1">
      <c r="C471" s="351"/>
    </row>
    <row r="472" spans="3:3" ht="15.75" customHeight="1">
      <c r="C472" s="351"/>
    </row>
    <row r="473" spans="3:3" ht="15.75" customHeight="1">
      <c r="C473" s="351"/>
    </row>
    <row r="474" spans="3:3" ht="15.75" customHeight="1">
      <c r="C474" s="351"/>
    </row>
    <row r="475" spans="3:3" ht="15.75" customHeight="1">
      <c r="C475" s="351"/>
    </row>
    <row r="476" spans="3:3" ht="15.75" customHeight="1">
      <c r="C476" s="351"/>
    </row>
    <row r="477" spans="3:3" ht="15.75" customHeight="1">
      <c r="C477" s="351"/>
    </row>
    <row r="478" spans="3:3" ht="15.75" customHeight="1">
      <c r="C478" s="351"/>
    </row>
    <row r="479" spans="3:3" ht="15.75" customHeight="1">
      <c r="C479" s="351"/>
    </row>
    <row r="480" spans="3:3" ht="15.75" customHeight="1">
      <c r="C480" s="351"/>
    </row>
    <row r="481" spans="3:3" ht="15.75" customHeight="1">
      <c r="C481" s="351"/>
    </row>
    <row r="482" spans="3:3" ht="15.75" customHeight="1">
      <c r="C482" s="351"/>
    </row>
    <row r="483" spans="3:3" ht="15.75" customHeight="1">
      <c r="C483" s="351"/>
    </row>
    <row r="484" spans="3:3" ht="15.75" customHeight="1">
      <c r="C484" s="351"/>
    </row>
    <row r="485" spans="3:3" ht="15.75" customHeight="1">
      <c r="C485" s="351"/>
    </row>
    <row r="486" spans="3:3" ht="15.75" customHeight="1">
      <c r="C486" s="351"/>
    </row>
    <row r="487" spans="3:3" ht="15.75" customHeight="1">
      <c r="C487" s="351"/>
    </row>
    <row r="488" spans="3:3" ht="15.75" customHeight="1">
      <c r="C488" s="351"/>
    </row>
    <row r="489" spans="3:3" ht="15.75" customHeight="1">
      <c r="C489" s="351"/>
    </row>
    <row r="490" spans="3:3" ht="15.75" customHeight="1">
      <c r="C490" s="351"/>
    </row>
    <row r="491" spans="3:3" ht="15.75" customHeight="1">
      <c r="C491" s="351"/>
    </row>
    <row r="492" spans="3:3" ht="15.75" customHeight="1">
      <c r="C492" s="351"/>
    </row>
    <row r="493" spans="3:3" ht="15.75" customHeight="1">
      <c r="C493" s="351"/>
    </row>
    <row r="494" spans="3:3" ht="15.75" customHeight="1">
      <c r="C494" s="351"/>
    </row>
    <row r="495" spans="3:3" ht="15.75" customHeight="1">
      <c r="C495" s="351"/>
    </row>
    <row r="496" spans="3:3" ht="15.75" customHeight="1">
      <c r="C496" s="351"/>
    </row>
    <row r="497" spans="3:3" ht="15.75" customHeight="1">
      <c r="C497" s="351"/>
    </row>
    <row r="498" spans="3:3" ht="15.75" customHeight="1">
      <c r="C498" s="351"/>
    </row>
    <row r="499" spans="3:3" ht="15.75" customHeight="1">
      <c r="C499" s="351"/>
    </row>
    <row r="500" spans="3:3" ht="15.75" customHeight="1">
      <c r="C500" s="351"/>
    </row>
    <row r="501" spans="3:3" ht="15.75" customHeight="1">
      <c r="C501" s="351"/>
    </row>
    <row r="502" spans="3:3" ht="15.75" customHeight="1">
      <c r="C502" s="351"/>
    </row>
    <row r="503" spans="3:3" ht="15.75" customHeight="1">
      <c r="C503" s="351"/>
    </row>
    <row r="504" spans="3:3" ht="15.75" customHeight="1">
      <c r="C504" s="351"/>
    </row>
    <row r="505" spans="3:3" ht="15.75" customHeight="1">
      <c r="C505" s="351"/>
    </row>
    <row r="506" spans="3:3" ht="15.75" customHeight="1">
      <c r="C506" s="351"/>
    </row>
    <row r="507" spans="3:3" ht="15.75" customHeight="1">
      <c r="C507" s="351"/>
    </row>
    <row r="508" spans="3:3" ht="15.75" customHeight="1">
      <c r="C508" s="351"/>
    </row>
    <row r="509" spans="3:3" ht="15.75" customHeight="1">
      <c r="C509" s="351"/>
    </row>
    <row r="510" spans="3:3" ht="15.75" customHeight="1">
      <c r="C510" s="351"/>
    </row>
    <row r="511" spans="3:3" ht="15.75" customHeight="1">
      <c r="C511" s="351"/>
    </row>
    <row r="512" spans="3:3" ht="15.75" customHeight="1">
      <c r="C512" s="351"/>
    </row>
    <row r="513" spans="3:3" ht="15.75" customHeight="1">
      <c r="C513" s="351"/>
    </row>
    <row r="514" spans="3:3" ht="15.75" customHeight="1">
      <c r="C514" s="351"/>
    </row>
    <row r="515" spans="3:3" ht="15.75" customHeight="1">
      <c r="C515" s="351"/>
    </row>
    <row r="516" spans="3:3" ht="15.75" customHeight="1">
      <c r="C516" s="351"/>
    </row>
    <row r="517" spans="3:3" ht="15.75" customHeight="1">
      <c r="C517" s="351"/>
    </row>
    <row r="518" spans="3:3" ht="15.75" customHeight="1">
      <c r="C518" s="351"/>
    </row>
    <row r="519" spans="3:3" ht="15.75" customHeight="1">
      <c r="C519" s="351"/>
    </row>
    <row r="520" spans="3:3" ht="15.75" customHeight="1">
      <c r="C520" s="351"/>
    </row>
    <row r="521" spans="3:3" ht="15.75" customHeight="1">
      <c r="C521" s="351"/>
    </row>
    <row r="522" spans="3:3" ht="15.75" customHeight="1">
      <c r="C522" s="351"/>
    </row>
    <row r="523" spans="3:3" ht="15.75" customHeight="1">
      <c r="C523" s="351"/>
    </row>
    <row r="524" spans="3:3" ht="15.75" customHeight="1">
      <c r="C524" s="351"/>
    </row>
    <row r="525" spans="3:3" ht="15.75" customHeight="1">
      <c r="C525" s="351"/>
    </row>
    <row r="526" spans="3:3" ht="15.75" customHeight="1">
      <c r="C526" s="351"/>
    </row>
    <row r="527" spans="3:3" ht="15.75" customHeight="1">
      <c r="C527" s="351"/>
    </row>
    <row r="528" spans="3:3" ht="15.75" customHeight="1">
      <c r="C528" s="351"/>
    </row>
    <row r="529" spans="3:3" ht="15.75" customHeight="1">
      <c r="C529" s="351"/>
    </row>
    <row r="530" spans="3:3" ht="15.75" customHeight="1">
      <c r="C530" s="351"/>
    </row>
    <row r="531" spans="3:3" ht="15.75" customHeight="1">
      <c r="C531" s="351"/>
    </row>
    <row r="532" spans="3:3" ht="15.75" customHeight="1">
      <c r="C532" s="351"/>
    </row>
    <row r="533" spans="3:3" ht="15.75" customHeight="1">
      <c r="C533" s="351"/>
    </row>
    <row r="534" spans="3:3" ht="15.75" customHeight="1">
      <c r="C534" s="351"/>
    </row>
    <row r="535" spans="3:3" ht="15.75" customHeight="1">
      <c r="C535" s="351"/>
    </row>
    <row r="536" spans="3:3" ht="15.75" customHeight="1">
      <c r="C536" s="351"/>
    </row>
    <row r="537" spans="3:3" ht="15.75" customHeight="1">
      <c r="C537" s="351"/>
    </row>
    <row r="538" spans="3:3" ht="15.75" customHeight="1">
      <c r="C538" s="351"/>
    </row>
    <row r="539" spans="3:3" ht="15.75" customHeight="1">
      <c r="C539" s="351"/>
    </row>
    <row r="540" spans="3:3" ht="15.75" customHeight="1">
      <c r="C540" s="351"/>
    </row>
    <row r="541" spans="3:3" ht="15.75" customHeight="1">
      <c r="C541" s="351"/>
    </row>
    <row r="542" spans="3:3" ht="15.75" customHeight="1">
      <c r="C542" s="351"/>
    </row>
    <row r="543" spans="3:3" ht="15.75" customHeight="1">
      <c r="C543" s="351"/>
    </row>
    <row r="544" spans="3:3" ht="15.75" customHeight="1">
      <c r="C544" s="351"/>
    </row>
    <row r="545" spans="3:3" ht="15.75" customHeight="1">
      <c r="C545" s="351"/>
    </row>
    <row r="546" spans="3:3" ht="15.75" customHeight="1">
      <c r="C546" s="351"/>
    </row>
    <row r="547" spans="3:3" ht="15.75" customHeight="1">
      <c r="C547" s="351"/>
    </row>
    <row r="548" spans="3:3" ht="15.75" customHeight="1">
      <c r="C548" s="351"/>
    </row>
    <row r="549" spans="3:3" ht="15.75" customHeight="1">
      <c r="C549" s="351"/>
    </row>
    <row r="550" spans="3:3" ht="15.75" customHeight="1">
      <c r="C550" s="351"/>
    </row>
    <row r="551" spans="3:3" ht="15.75" customHeight="1">
      <c r="C551" s="351"/>
    </row>
    <row r="552" spans="3:3" ht="15.75" customHeight="1">
      <c r="C552" s="351"/>
    </row>
    <row r="553" spans="3:3" ht="15.75" customHeight="1">
      <c r="C553" s="351"/>
    </row>
    <row r="554" spans="3:3" ht="15.75" customHeight="1">
      <c r="C554" s="351"/>
    </row>
    <row r="555" spans="3:3" ht="15.75" customHeight="1">
      <c r="C555" s="351"/>
    </row>
    <row r="556" spans="3:3" ht="15.75" customHeight="1">
      <c r="C556" s="351"/>
    </row>
    <row r="557" spans="3:3" ht="15.75" customHeight="1">
      <c r="C557" s="351"/>
    </row>
    <row r="558" spans="3:3" ht="15.75" customHeight="1">
      <c r="C558" s="351"/>
    </row>
    <row r="559" spans="3:3" ht="15.75" customHeight="1">
      <c r="C559" s="351"/>
    </row>
    <row r="560" spans="3:3" ht="15.75" customHeight="1">
      <c r="C560" s="351"/>
    </row>
    <row r="561" spans="3:3" ht="15.75" customHeight="1">
      <c r="C561" s="351"/>
    </row>
    <row r="562" spans="3:3" ht="15.75" customHeight="1">
      <c r="C562" s="351"/>
    </row>
    <row r="563" spans="3:3" ht="15.75" customHeight="1">
      <c r="C563" s="351"/>
    </row>
    <row r="564" spans="3:3" ht="15.75" customHeight="1">
      <c r="C564" s="351"/>
    </row>
    <row r="565" spans="3:3" ht="15.75" customHeight="1">
      <c r="C565" s="351"/>
    </row>
    <row r="566" spans="3:3" ht="15.75" customHeight="1">
      <c r="C566" s="351"/>
    </row>
    <row r="567" spans="3:3" ht="15.75" customHeight="1">
      <c r="C567" s="351"/>
    </row>
    <row r="568" spans="3:3" ht="15.75" customHeight="1">
      <c r="C568" s="351"/>
    </row>
    <row r="569" spans="3:3" ht="15.75" customHeight="1">
      <c r="C569" s="351"/>
    </row>
    <row r="570" spans="3:3" ht="15.75" customHeight="1">
      <c r="C570" s="351"/>
    </row>
    <row r="571" spans="3:3" ht="15.75" customHeight="1">
      <c r="C571" s="351"/>
    </row>
    <row r="572" spans="3:3" ht="15.75" customHeight="1">
      <c r="C572" s="351"/>
    </row>
    <row r="573" spans="3:3" ht="15.75" customHeight="1">
      <c r="C573" s="351"/>
    </row>
    <row r="574" spans="3:3" ht="15.75" customHeight="1">
      <c r="C574" s="351"/>
    </row>
    <row r="575" spans="3:3" ht="15.75" customHeight="1">
      <c r="C575" s="351"/>
    </row>
    <row r="576" spans="3:3" ht="15.75" customHeight="1">
      <c r="C576" s="351"/>
    </row>
    <row r="577" spans="3:3" ht="15.75" customHeight="1">
      <c r="C577" s="351"/>
    </row>
    <row r="578" spans="3:3" ht="15.75" customHeight="1">
      <c r="C578" s="351"/>
    </row>
    <row r="579" spans="3:3" ht="15.75" customHeight="1">
      <c r="C579" s="351"/>
    </row>
    <row r="580" spans="3:3" ht="15.75" customHeight="1">
      <c r="C580" s="351"/>
    </row>
    <row r="581" spans="3:3" ht="15.75" customHeight="1">
      <c r="C581" s="351"/>
    </row>
    <row r="582" spans="3:3" ht="15.75" customHeight="1">
      <c r="C582" s="351"/>
    </row>
    <row r="583" spans="3:3" ht="15.75" customHeight="1">
      <c r="C583" s="351"/>
    </row>
    <row r="584" spans="3:3" ht="15.75" customHeight="1">
      <c r="C584" s="351"/>
    </row>
    <row r="585" spans="3:3" ht="15.75" customHeight="1">
      <c r="C585" s="351"/>
    </row>
    <row r="586" spans="3:3" ht="15.75" customHeight="1">
      <c r="C586" s="351"/>
    </row>
    <row r="587" spans="3:3" ht="15.75" customHeight="1">
      <c r="C587" s="351"/>
    </row>
    <row r="588" spans="3:3" ht="15.75" customHeight="1">
      <c r="C588" s="351"/>
    </row>
    <row r="589" spans="3:3" ht="15.75" customHeight="1">
      <c r="C589" s="351"/>
    </row>
    <row r="590" spans="3:3" ht="15.75" customHeight="1">
      <c r="C590" s="351"/>
    </row>
    <row r="591" spans="3:3" ht="15.75" customHeight="1">
      <c r="C591" s="351"/>
    </row>
    <row r="592" spans="3:3" ht="15.75" customHeight="1">
      <c r="C592" s="351"/>
    </row>
    <row r="593" spans="3:3" ht="15.75" customHeight="1">
      <c r="C593" s="351"/>
    </row>
    <row r="594" spans="3:3" ht="15.75" customHeight="1">
      <c r="C594" s="351"/>
    </row>
    <row r="595" spans="3:3" ht="15.75" customHeight="1">
      <c r="C595" s="351"/>
    </row>
    <row r="596" spans="3:3" ht="15.75" customHeight="1">
      <c r="C596" s="351"/>
    </row>
    <row r="597" spans="3:3" ht="15.75" customHeight="1">
      <c r="C597" s="351"/>
    </row>
    <row r="598" spans="3:3" ht="15.75" customHeight="1">
      <c r="C598" s="351"/>
    </row>
    <row r="599" spans="3:3" ht="15.75" customHeight="1">
      <c r="C599" s="351"/>
    </row>
    <row r="600" spans="3:3" ht="15.75" customHeight="1">
      <c r="C600" s="351"/>
    </row>
    <row r="601" spans="3:3" ht="15.75" customHeight="1">
      <c r="C601" s="351"/>
    </row>
    <row r="602" spans="3:3" ht="15.75" customHeight="1">
      <c r="C602" s="351"/>
    </row>
    <row r="603" spans="3:3" ht="15.75" customHeight="1">
      <c r="C603" s="351"/>
    </row>
    <row r="604" spans="3:3" ht="15.75" customHeight="1">
      <c r="C604" s="351"/>
    </row>
    <row r="605" spans="3:3" ht="15.75" customHeight="1">
      <c r="C605" s="351"/>
    </row>
    <row r="606" spans="3:3" ht="15.75" customHeight="1">
      <c r="C606" s="351"/>
    </row>
    <row r="607" spans="3:3" ht="15.75" customHeight="1">
      <c r="C607" s="351"/>
    </row>
    <row r="608" spans="3:3" ht="15.75" customHeight="1">
      <c r="C608" s="351"/>
    </row>
    <row r="609" spans="3:3" ht="15.75" customHeight="1">
      <c r="C609" s="351"/>
    </row>
    <row r="610" spans="3:3" ht="15.75" customHeight="1">
      <c r="C610" s="351"/>
    </row>
    <row r="611" spans="3:3" ht="15.75" customHeight="1">
      <c r="C611" s="351"/>
    </row>
    <row r="612" spans="3:3" ht="15.75" customHeight="1">
      <c r="C612" s="351"/>
    </row>
    <row r="613" spans="3:3" ht="15.75" customHeight="1">
      <c r="C613" s="351"/>
    </row>
    <row r="614" spans="3:3" ht="15.75" customHeight="1">
      <c r="C614" s="351"/>
    </row>
    <row r="615" spans="3:3" ht="15.75" customHeight="1">
      <c r="C615" s="351"/>
    </row>
    <row r="616" spans="3:3" ht="15.75" customHeight="1">
      <c r="C616" s="351"/>
    </row>
    <row r="617" spans="3:3" ht="15.75" customHeight="1">
      <c r="C617" s="351"/>
    </row>
    <row r="618" spans="3:3" ht="15.75" customHeight="1">
      <c r="C618" s="351"/>
    </row>
    <row r="619" spans="3:3" ht="15.75" customHeight="1">
      <c r="C619" s="351"/>
    </row>
    <row r="620" spans="3:3" ht="15.75" customHeight="1">
      <c r="C620" s="351"/>
    </row>
    <row r="621" spans="3:3" ht="15.75" customHeight="1">
      <c r="C621" s="351"/>
    </row>
    <row r="622" spans="3:3" ht="15.75" customHeight="1">
      <c r="C622" s="351"/>
    </row>
    <row r="623" spans="3:3" ht="15.75" customHeight="1">
      <c r="C623" s="351"/>
    </row>
    <row r="624" spans="3:3" ht="15.75" customHeight="1">
      <c r="C624" s="351"/>
    </row>
    <row r="625" spans="3:3" ht="15.75" customHeight="1">
      <c r="C625" s="351"/>
    </row>
    <row r="626" spans="3:3" ht="15.75" customHeight="1">
      <c r="C626" s="351"/>
    </row>
    <row r="627" spans="3:3" ht="15.75" customHeight="1">
      <c r="C627" s="351"/>
    </row>
    <row r="628" spans="3:3" ht="15.75" customHeight="1">
      <c r="C628" s="351"/>
    </row>
    <row r="629" spans="3:3" ht="15.75" customHeight="1">
      <c r="C629" s="351"/>
    </row>
    <row r="630" spans="3:3" ht="15.75" customHeight="1">
      <c r="C630" s="351"/>
    </row>
    <row r="631" spans="3:3" ht="15.75" customHeight="1">
      <c r="C631" s="351"/>
    </row>
    <row r="632" spans="3:3" ht="15.75" customHeight="1">
      <c r="C632" s="351"/>
    </row>
    <row r="633" spans="3:3" ht="15.75" customHeight="1">
      <c r="C633" s="351"/>
    </row>
    <row r="634" spans="3:3" ht="15.75" customHeight="1">
      <c r="C634" s="351"/>
    </row>
    <row r="635" spans="3:3" ht="15.75" customHeight="1">
      <c r="C635" s="351"/>
    </row>
    <row r="636" spans="3:3" ht="15.75" customHeight="1">
      <c r="C636" s="351"/>
    </row>
    <row r="637" spans="3:3" ht="15.75" customHeight="1">
      <c r="C637" s="351"/>
    </row>
    <row r="638" spans="3:3" ht="15.75" customHeight="1">
      <c r="C638" s="351"/>
    </row>
    <row r="639" spans="3:3" ht="15.75" customHeight="1">
      <c r="C639" s="351"/>
    </row>
    <row r="640" spans="3:3" ht="15.75" customHeight="1">
      <c r="C640" s="351"/>
    </row>
    <row r="641" spans="3:3" ht="15.75" customHeight="1">
      <c r="C641" s="351"/>
    </row>
    <row r="642" spans="3:3" ht="15.75" customHeight="1">
      <c r="C642" s="351"/>
    </row>
    <row r="643" spans="3:3" ht="15.75" customHeight="1">
      <c r="C643" s="351"/>
    </row>
    <row r="644" spans="3:3" ht="15.75" customHeight="1">
      <c r="C644" s="351"/>
    </row>
    <row r="645" spans="3:3" ht="15.75" customHeight="1">
      <c r="C645" s="351"/>
    </row>
    <row r="646" spans="3:3" ht="15.75" customHeight="1">
      <c r="C646" s="351"/>
    </row>
    <row r="647" spans="3:3" ht="15.75" customHeight="1">
      <c r="C647" s="351"/>
    </row>
    <row r="648" spans="3:3" ht="15.75" customHeight="1">
      <c r="C648" s="351"/>
    </row>
    <row r="649" spans="3:3" ht="15.75" customHeight="1">
      <c r="C649" s="351"/>
    </row>
    <row r="650" spans="3:3" ht="15.75" customHeight="1">
      <c r="C650" s="351"/>
    </row>
    <row r="651" spans="3:3" ht="15.75" customHeight="1">
      <c r="C651" s="351"/>
    </row>
    <row r="652" spans="3:3" ht="15.75" customHeight="1">
      <c r="C652" s="351"/>
    </row>
    <row r="653" spans="3:3" ht="15.75" customHeight="1">
      <c r="C653" s="351"/>
    </row>
    <row r="654" spans="3:3" ht="15.75" customHeight="1">
      <c r="C654" s="351"/>
    </row>
    <row r="655" spans="3:3" ht="15.75" customHeight="1">
      <c r="C655" s="351"/>
    </row>
    <row r="656" spans="3:3" ht="15.75" customHeight="1">
      <c r="C656" s="351"/>
    </row>
    <row r="657" spans="3:3" ht="15.75" customHeight="1">
      <c r="C657" s="351"/>
    </row>
    <row r="658" spans="3:3" ht="15.75" customHeight="1">
      <c r="C658" s="351"/>
    </row>
    <row r="659" spans="3:3" ht="15.75" customHeight="1">
      <c r="C659" s="351"/>
    </row>
    <row r="660" spans="3:3" ht="15.75" customHeight="1">
      <c r="C660" s="351"/>
    </row>
    <row r="661" spans="3:3" ht="15.75" customHeight="1">
      <c r="C661" s="351"/>
    </row>
    <row r="662" spans="3:3" ht="15.75" customHeight="1">
      <c r="C662" s="351"/>
    </row>
    <row r="663" spans="3:3" ht="15.75" customHeight="1">
      <c r="C663" s="351"/>
    </row>
    <row r="664" spans="3:3" ht="15.75" customHeight="1">
      <c r="C664" s="351"/>
    </row>
    <row r="665" spans="3:3" ht="15.75" customHeight="1">
      <c r="C665" s="351"/>
    </row>
    <row r="666" spans="3:3" ht="15.75" customHeight="1">
      <c r="C666" s="351"/>
    </row>
    <row r="667" spans="3:3" ht="15.75" customHeight="1">
      <c r="C667" s="351"/>
    </row>
    <row r="668" spans="3:3" ht="15.75" customHeight="1">
      <c r="C668" s="351"/>
    </row>
    <row r="669" spans="3:3" ht="15.75" customHeight="1">
      <c r="C669" s="351"/>
    </row>
    <row r="670" spans="3:3" ht="15.75" customHeight="1">
      <c r="C670" s="351"/>
    </row>
    <row r="671" spans="3:3" ht="15.75" customHeight="1">
      <c r="C671" s="351"/>
    </row>
    <row r="672" spans="3:3" ht="15.75" customHeight="1">
      <c r="C672" s="351"/>
    </row>
    <row r="673" spans="3:3" ht="15.75" customHeight="1">
      <c r="C673" s="351"/>
    </row>
    <row r="674" spans="3:3" ht="15.75" customHeight="1">
      <c r="C674" s="351"/>
    </row>
    <row r="675" spans="3:3" ht="15.75" customHeight="1">
      <c r="C675" s="351"/>
    </row>
    <row r="676" spans="3:3" ht="15.75" customHeight="1">
      <c r="C676" s="351"/>
    </row>
    <row r="677" spans="3:3" ht="15.75" customHeight="1">
      <c r="C677" s="351"/>
    </row>
    <row r="678" spans="3:3" ht="15.75" customHeight="1">
      <c r="C678" s="351"/>
    </row>
    <row r="679" spans="3:3" ht="15.75" customHeight="1">
      <c r="C679" s="351"/>
    </row>
    <row r="680" spans="3:3" ht="15.75" customHeight="1">
      <c r="C680" s="351"/>
    </row>
    <row r="681" spans="3:3" ht="15.75" customHeight="1">
      <c r="C681" s="351"/>
    </row>
    <row r="682" spans="3:3" ht="15.75" customHeight="1">
      <c r="C682" s="351"/>
    </row>
    <row r="683" spans="3:3" ht="15.75" customHeight="1">
      <c r="C683" s="351"/>
    </row>
    <row r="684" spans="3:3" ht="15.75" customHeight="1">
      <c r="C684" s="351"/>
    </row>
    <row r="685" spans="3:3" ht="15.75" customHeight="1">
      <c r="C685" s="351"/>
    </row>
    <row r="686" spans="3:3" ht="15.75" customHeight="1">
      <c r="C686" s="351"/>
    </row>
    <row r="687" spans="3:3" ht="15.75" customHeight="1">
      <c r="C687" s="351"/>
    </row>
    <row r="688" spans="3:3" ht="15.75" customHeight="1">
      <c r="C688" s="351"/>
    </row>
    <row r="689" spans="3:3" ht="15.75" customHeight="1">
      <c r="C689" s="351"/>
    </row>
    <row r="690" spans="3:3" ht="15.75" customHeight="1">
      <c r="C690" s="351"/>
    </row>
    <row r="691" spans="3:3" ht="15.75" customHeight="1">
      <c r="C691" s="351"/>
    </row>
    <row r="692" spans="3:3" ht="15.75" customHeight="1">
      <c r="C692" s="351"/>
    </row>
    <row r="693" spans="3:3" ht="15.75" customHeight="1">
      <c r="C693" s="351"/>
    </row>
    <row r="694" spans="3:3" ht="15.75" customHeight="1">
      <c r="C694" s="351"/>
    </row>
    <row r="695" spans="3:3" ht="15.75" customHeight="1">
      <c r="C695" s="351"/>
    </row>
    <row r="696" spans="3:3" ht="15.75" customHeight="1">
      <c r="C696" s="351"/>
    </row>
    <row r="697" spans="3:3" ht="15.75" customHeight="1">
      <c r="C697" s="351"/>
    </row>
    <row r="698" spans="3:3" ht="15.75" customHeight="1">
      <c r="C698" s="351"/>
    </row>
    <row r="699" spans="3:3" ht="15.75" customHeight="1">
      <c r="C699" s="351"/>
    </row>
    <row r="700" spans="3:3" ht="15.75" customHeight="1">
      <c r="C700" s="351"/>
    </row>
    <row r="701" spans="3:3" ht="15.75" customHeight="1">
      <c r="C701" s="351"/>
    </row>
    <row r="702" spans="3:3" ht="15.75" customHeight="1">
      <c r="C702" s="351"/>
    </row>
    <row r="703" spans="3:3" ht="15.75" customHeight="1">
      <c r="C703" s="351"/>
    </row>
    <row r="704" spans="3:3" ht="15.75" customHeight="1">
      <c r="C704" s="351"/>
    </row>
    <row r="705" spans="3:3" ht="15.75" customHeight="1">
      <c r="C705" s="351"/>
    </row>
    <row r="706" spans="3:3" ht="15.75" customHeight="1">
      <c r="C706" s="351"/>
    </row>
    <row r="707" spans="3:3" ht="15.75" customHeight="1">
      <c r="C707" s="351"/>
    </row>
    <row r="708" spans="3:3" ht="15.75" customHeight="1">
      <c r="C708" s="351"/>
    </row>
    <row r="709" spans="3:3" ht="15.75" customHeight="1">
      <c r="C709" s="351"/>
    </row>
    <row r="710" spans="3:3" ht="15.75" customHeight="1">
      <c r="C710" s="351"/>
    </row>
    <row r="711" spans="3:3" ht="15.75" customHeight="1">
      <c r="C711" s="351"/>
    </row>
    <row r="712" spans="3:3" ht="15.75" customHeight="1">
      <c r="C712" s="351"/>
    </row>
    <row r="713" spans="3:3" ht="15.75" customHeight="1">
      <c r="C713" s="351"/>
    </row>
    <row r="714" spans="3:3" ht="15.75" customHeight="1">
      <c r="C714" s="351"/>
    </row>
    <row r="715" spans="3:3" ht="15.75" customHeight="1">
      <c r="C715" s="351"/>
    </row>
    <row r="716" spans="3:3" ht="15.75" customHeight="1">
      <c r="C716" s="351"/>
    </row>
    <row r="717" spans="3:3" ht="15.75" customHeight="1">
      <c r="C717" s="351"/>
    </row>
    <row r="718" spans="3:3" ht="15.75" customHeight="1">
      <c r="C718" s="351"/>
    </row>
    <row r="719" spans="3:3" ht="15.75" customHeight="1">
      <c r="C719" s="351"/>
    </row>
    <row r="720" spans="3:3" ht="15.75" customHeight="1">
      <c r="C720" s="351"/>
    </row>
    <row r="721" spans="3:3" ht="15.75" customHeight="1">
      <c r="C721" s="351"/>
    </row>
    <row r="722" spans="3:3" ht="15.75" customHeight="1">
      <c r="C722" s="351"/>
    </row>
    <row r="723" spans="3:3" ht="15.75" customHeight="1">
      <c r="C723" s="351"/>
    </row>
    <row r="724" spans="3:3" ht="15.75" customHeight="1">
      <c r="C724" s="351"/>
    </row>
    <row r="725" spans="3:3" ht="15.75" customHeight="1">
      <c r="C725" s="351"/>
    </row>
    <row r="726" spans="3:3" ht="15.75" customHeight="1">
      <c r="C726" s="351"/>
    </row>
    <row r="727" spans="3:3" ht="15.75" customHeight="1">
      <c r="C727" s="351"/>
    </row>
    <row r="728" spans="3:3" ht="15.75" customHeight="1">
      <c r="C728" s="351"/>
    </row>
    <row r="729" spans="3:3" ht="15.75" customHeight="1">
      <c r="C729" s="351"/>
    </row>
    <row r="730" spans="3:3" ht="15.75" customHeight="1">
      <c r="C730" s="351"/>
    </row>
    <row r="731" spans="3:3" ht="15.75" customHeight="1">
      <c r="C731" s="351"/>
    </row>
    <row r="732" spans="3:3" ht="15.75" customHeight="1">
      <c r="C732" s="351"/>
    </row>
    <row r="733" spans="3:3" ht="15.75" customHeight="1">
      <c r="C733" s="351"/>
    </row>
    <row r="734" spans="3:3" ht="15.75" customHeight="1">
      <c r="C734" s="351"/>
    </row>
    <row r="735" spans="3:3" ht="15.75" customHeight="1">
      <c r="C735" s="351"/>
    </row>
    <row r="736" spans="3:3" ht="15.75" customHeight="1">
      <c r="C736" s="351"/>
    </row>
    <row r="737" spans="3:3" ht="15.75" customHeight="1">
      <c r="C737" s="351"/>
    </row>
    <row r="738" spans="3:3" ht="15.75" customHeight="1">
      <c r="C738" s="351"/>
    </row>
    <row r="739" spans="3:3" ht="15.75" customHeight="1">
      <c r="C739" s="351"/>
    </row>
    <row r="740" spans="3:3" ht="15.75" customHeight="1">
      <c r="C740" s="351"/>
    </row>
    <row r="741" spans="3:3" ht="15.75" customHeight="1">
      <c r="C741" s="351"/>
    </row>
    <row r="742" spans="3:3" ht="15.75" customHeight="1">
      <c r="C742" s="351"/>
    </row>
    <row r="743" spans="3:3" ht="15.75" customHeight="1">
      <c r="C743" s="351"/>
    </row>
    <row r="744" spans="3:3" ht="15.75" customHeight="1">
      <c r="C744" s="351"/>
    </row>
    <row r="745" spans="3:3" ht="15.75" customHeight="1">
      <c r="C745" s="351"/>
    </row>
    <row r="746" spans="3:3" ht="15.75" customHeight="1">
      <c r="C746" s="351"/>
    </row>
    <row r="747" spans="3:3" ht="15.75" customHeight="1">
      <c r="C747" s="351"/>
    </row>
    <row r="748" spans="3:3" ht="15.75" customHeight="1">
      <c r="C748" s="351"/>
    </row>
    <row r="749" spans="3:3" ht="15.75" customHeight="1">
      <c r="C749" s="351"/>
    </row>
    <row r="750" spans="3:3" ht="15.75" customHeight="1">
      <c r="C750" s="351"/>
    </row>
    <row r="751" spans="3:3" ht="15.75" customHeight="1">
      <c r="C751" s="351"/>
    </row>
    <row r="752" spans="3:3" ht="15.75" customHeight="1">
      <c r="C752" s="351"/>
    </row>
    <row r="753" spans="3:3" ht="15.75" customHeight="1">
      <c r="C753" s="351"/>
    </row>
    <row r="754" spans="3:3" ht="15.75" customHeight="1">
      <c r="C754" s="351"/>
    </row>
    <row r="755" spans="3:3" ht="15.75" customHeight="1">
      <c r="C755" s="351"/>
    </row>
    <row r="756" spans="3:3" ht="15.75" customHeight="1">
      <c r="C756" s="351"/>
    </row>
    <row r="757" spans="3:3" ht="15.75" customHeight="1">
      <c r="C757" s="351"/>
    </row>
    <row r="758" spans="3:3" ht="15.75" customHeight="1">
      <c r="C758" s="351"/>
    </row>
    <row r="759" spans="3:3" ht="15.75" customHeight="1">
      <c r="C759" s="351"/>
    </row>
    <row r="760" spans="3:3" ht="15.75" customHeight="1">
      <c r="C760" s="351"/>
    </row>
    <row r="761" spans="3:3" ht="15.75" customHeight="1">
      <c r="C761" s="351"/>
    </row>
    <row r="762" spans="3:3" ht="15.75" customHeight="1">
      <c r="C762" s="351"/>
    </row>
    <row r="763" spans="3:3" ht="15.75" customHeight="1">
      <c r="C763" s="351"/>
    </row>
    <row r="764" spans="3:3" ht="15.75" customHeight="1">
      <c r="C764" s="351"/>
    </row>
    <row r="765" spans="3:3" ht="15.75" customHeight="1">
      <c r="C765" s="351"/>
    </row>
    <row r="766" spans="3:3" ht="15.75" customHeight="1">
      <c r="C766" s="351"/>
    </row>
    <row r="767" spans="3:3" ht="15.75" customHeight="1">
      <c r="C767" s="351"/>
    </row>
    <row r="768" spans="3:3" ht="15.75" customHeight="1">
      <c r="C768" s="351"/>
    </row>
    <row r="769" spans="3:3" ht="15.75" customHeight="1">
      <c r="C769" s="351"/>
    </row>
    <row r="770" spans="3:3" ht="15.75" customHeight="1">
      <c r="C770" s="351"/>
    </row>
    <row r="771" spans="3:3" ht="15.75" customHeight="1">
      <c r="C771" s="351"/>
    </row>
    <row r="772" spans="3:3" ht="15.75" customHeight="1">
      <c r="C772" s="351"/>
    </row>
    <row r="773" spans="3:3" ht="15.75" customHeight="1">
      <c r="C773" s="351"/>
    </row>
    <row r="774" spans="3:3" ht="15.75" customHeight="1">
      <c r="C774" s="351"/>
    </row>
    <row r="775" spans="3:3" ht="15.75" customHeight="1">
      <c r="C775" s="351"/>
    </row>
    <row r="776" spans="3:3" ht="15.75" customHeight="1">
      <c r="C776" s="351"/>
    </row>
    <row r="777" spans="3:3" ht="15.75" customHeight="1">
      <c r="C777" s="351"/>
    </row>
    <row r="778" spans="3:3" ht="15.75" customHeight="1">
      <c r="C778" s="351"/>
    </row>
    <row r="779" spans="3:3" ht="15.75" customHeight="1">
      <c r="C779" s="351"/>
    </row>
    <row r="780" spans="3:3" ht="15.75" customHeight="1">
      <c r="C780" s="351"/>
    </row>
    <row r="781" spans="3:3" ht="15.75" customHeight="1">
      <c r="C781" s="351"/>
    </row>
    <row r="782" spans="3:3" ht="15.75" customHeight="1">
      <c r="C782" s="351"/>
    </row>
    <row r="783" spans="3:3" ht="15.75" customHeight="1">
      <c r="C783" s="351"/>
    </row>
    <row r="784" spans="3:3" ht="15.75" customHeight="1">
      <c r="C784" s="351"/>
    </row>
    <row r="785" spans="3:3" ht="15.75" customHeight="1">
      <c r="C785" s="351"/>
    </row>
    <row r="786" spans="3:3" ht="15.75" customHeight="1">
      <c r="C786" s="351"/>
    </row>
    <row r="787" spans="3:3" ht="15.75" customHeight="1">
      <c r="C787" s="351"/>
    </row>
    <row r="788" spans="3:3" ht="15.75" customHeight="1">
      <c r="C788" s="351"/>
    </row>
    <row r="789" spans="3:3" ht="15.75" customHeight="1">
      <c r="C789" s="351"/>
    </row>
    <row r="790" spans="3:3" ht="15.75" customHeight="1">
      <c r="C790" s="351"/>
    </row>
    <row r="791" spans="3:3" ht="15.75" customHeight="1">
      <c r="C791" s="351"/>
    </row>
    <row r="792" spans="3:3" ht="15.75" customHeight="1">
      <c r="C792" s="351"/>
    </row>
    <row r="793" spans="3:3" ht="15.75" customHeight="1">
      <c r="C793" s="351"/>
    </row>
    <row r="794" spans="3:3" ht="15.75" customHeight="1">
      <c r="C794" s="351"/>
    </row>
    <row r="795" spans="3:3" ht="15.75" customHeight="1">
      <c r="C795" s="351"/>
    </row>
    <row r="796" spans="3:3" ht="15.75" customHeight="1">
      <c r="C796" s="351"/>
    </row>
    <row r="797" spans="3:3" ht="15.75" customHeight="1">
      <c r="C797" s="351"/>
    </row>
    <row r="798" spans="3:3" ht="15.75" customHeight="1">
      <c r="C798" s="351"/>
    </row>
    <row r="799" spans="3:3" ht="15.75" customHeight="1">
      <c r="C799" s="351"/>
    </row>
    <row r="800" spans="3:3" ht="15.75" customHeight="1">
      <c r="C800" s="351"/>
    </row>
    <row r="801" spans="3:3" ht="15.75" customHeight="1">
      <c r="C801" s="351"/>
    </row>
    <row r="802" spans="3:3" ht="15.75" customHeight="1">
      <c r="C802" s="351"/>
    </row>
    <row r="803" spans="3:3" ht="15.75" customHeight="1">
      <c r="C803" s="351"/>
    </row>
    <row r="804" spans="3:3" ht="15.75" customHeight="1">
      <c r="C804" s="351"/>
    </row>
    <row r="805" spans="3:3" ht="15.75" customHeight="1">
      <c r="C805" s="351"/>
    </row>
    <row r="806" spans="3:3" ht="15.75" customHeight="1">
      <c r="C806" s="351"/>
    </row>
    <row r="807" spans="3:3" ht="15.75" customHeight="1">
      <c r="C807" s="351"/>
    </row>
    <row r="808" spans="3:3" ht="15.75" customHeight="1">
      <c r="C808" s="351"/>
    </row>
    <row r="809" spans="3:3" ht="15.75" customHeight="1">
      <c r="C809" s="351"/>
    </row>
    <row r="810" spans="3:3" ht="15.75" customHeight="1">
      <c r="C810" s="351"/>
    </row>
    <row r="811" spans="3:3" ht="15.75" customHeight="1">
      <c r="C811" s="351"/>
    </row>
    <row r="812" spans="3:3" ht="15.75" customHeight="1">
      <c r="C812" s="351"/>
    </row>
    <row r="813" spans="3:3" ht="15.75" customHeight="1">
      <c r="C813" s="351"/>
    </row>
    <row r="814" spans="3:3" ht="15.75" customHeight="1">
      <c r="C814" s="351"/>
    </row>
    <row r="815" spans="3:3" ht="15.75" customHeight="1">
      <c r="C815" s="351"/>
    </row>
    <row r="816" spans="3:3" ht="15.75" customHeight="1">
      <c r="C816" s="351"/>
    </row>
    <row r="817" spans="3:3" ht="15.75" customHeight="1">
      <c r="C817" s="351"/>
    </row>
    <row r="818" spans="3:3" ht="15.75" customHeight="1">
      <c r="C818" s="351"/>
    </row>
    <row r="819" spans="3:3" ht="15.75" customHeight="1">
      <c r="C819" s="351"/>
    </row>
    <row r="820" spans="3:3" ht="15.75" customHeight="1">
      <c r="C820" s="351"/>
    </row>
    <row r="821" spans="3:3" ht="15.75" customHeight="1">
      <c r="C821" s="351"/>
    </row>
    <row r="822" spans="3:3" ht="15.75" customHeight="1">
      <c r="C822" s="351"/>
    </row>
    <row r="823" spans="3:3" ht="15.75" customHeight="1">
      <c r="C823" s="351"/>
    </row>
    <row r="824" spans="3:3" ht="15.75" customHeight="1">
      <c r="C824" s="351"/>
    </row>
    <row r="825" spans="3:3" ht="15.75" customHeight="1">
      <c r="C825" s="351"/>
    </row>
    <row r="826" spans="3:3" ht="15.75" customHeight="1">
      <c r="C826" s="351"/>
    </row>
    <row r="827" spans="3:3" ht="15.75" customHeight="1">
      <c r="C827" s="351"/>
    </row>
    <row r="828" spans="3:3" ht="15.75" customHeight="1">
      <c r="C828" s="351"/>
    </row>
    <row r="829" spans="3:3" ht="15.75" customHeight="1">
      <c r="C829" s="351"/>
    </row>
    <row r="830" spans="3:3" ht="15.75" customHeight="1">
      <c r="C830" s="351"/>
    </row>
  </sheetData>
  <mergeCells count="3">
    <mergeCell ref="C1:G1"/>
    <mergeCell ref="H1:K1"/>
    <mergeCell ref="L1:Q1"/>
  </mergeCells>
  <conditionalFormatting sqref="J3:J10">
    <cfRule type="colorScale" priority="1">
      <colorScale>
        <cfvo type="min"/>
        <cfvo type="percentile" val="50"/>
        <cfvo type="max"/>
        <color rgb="FF57BB8A"/>
        <color rgb="FFFFFFFF"/>
        <color rgb="FFE67C73"/>
      </colorScale>
    </cfRule>
  </conditionalFormatting>
  <conditionalFormatting sqref="K15:K29">
    <cfRule type="containsText" dxfId="12" priority="2" operator="containsText" text="Acierto">
      <formula>NOT(ISERROR(SEARCH(("Acierto"),(K15))))</formula>
    </cfRule>
    <cfRule type="cellIs" dxfId="11" priority="3" operator="equal">
      <formula>"Incorrecta"</formula>
    </cfRule>
    <cfRule type="containsText" dxfId="10" priority="4" operator="containsText" text="Neutral">
      <formula>NOT(ISERROR(SEARCH(("Neutral"),(K15))))</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7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30"/>
      <c r="B1" s="30"/>
      <c r="C1" s="548" t="s">
        <v>30</v>
      </c>
      <c r="D1" s="549"/>
      <c r="E1" s="549"/>
      <c r="F1" s="550"/>
      <c r="G1" s="551"/>
      <c r="H1" s="549"/>
      <c r="I1" s="549"/>
      <c r="J1" s="549"/>
      <c r="K1" s="550"/>
      <c r="L1" s="548" t="s">
        <v>32</v>
      </c>
      <c r="M1" s="549"/>
      <c r="N1" s="549"/>
      <c r="O1" s="549"/>
      <c r="P1" s="549"/>
      <c r="Q1" s="55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ht="48">
      <c r="A2" s="38"/>
      <c r="B2" s="39" t="s">
        <v>0</v>
      </c>
      <c r="C2" s="40" t="s">
        <v>1</v>
      </c>
      <c r="D2" s="39" t="s">
        <v>35</v>
      </c>
      <c r="E2" s="39" t="s">
        <v>2</v>
      </c>
      <c r="F2" s="39" t="s">
        <v>36</v>
      </c>
      <c r="G2" s="41" t="s">
        <v>3</v>
      </c>
      <c r="H2" s="41" t="s">
        <v>334</v>
      </c>
      <c r="I2" s="42" t="s">
        <v>335</v>
      </c>
      <c r="J2" s="42" t="s">
        <v>325</v>
      </c>
      <c r="K2" s="42" t="s">
        <v>336</v>
      </c>
      <c r="L2" s="43" t="s">
        <v>4</v>
      </c>
      <c r="M2" s="39" t="s">
        <v>51</v>
      </c>
      <c r="N2" s="39" t="s">
        <v>52</v>
      </c>
      <c r="O2" s="39" t="s">
        <v>53</v>
      </c>
      <c r="P2" s="39" t="s">
        <v>54</v>
      </c>
      <c r="Q2" s="39" t="s">
        <v>55</v>
      </c>
      <c r="R2" s="46"/>
      <c r="S2" s="46"/>
      <c r="T2" s="46"/>
      <c r="U2" s="46"/>
      <c r="V2" s="46"/>
      <c r="W2" s="46"/>
      <c r="X2" s="46"/>
      <c r="Y2" s="46"/>
      <c r="Z2" s="46"/>
      <c r="AA2" s="46"/>
      <c r="AB2" s="46"/>
      <c r="AC2" s="46"/>
      <c r="AD2" s="46"/>
      <c r="AE2" s="46"/>
      <c r="AF2" s="46"/>
      <c r="AG2" s="46"/>
      <c r="AH2" s="46"/>
      <c r="AI2" s="46"/>
      <c r="AJ2" s="46"/>
      <c r="AK2" s="46"/>
      <c r="AL2" s="46"/>
      <c r="AM2" s="46"/>
      <c r="AN2" s="38"/>
      <c r="AO2" s="38"/>
      <c r="AP2" s="38"/>
      <c r="AQ2" s="38"/>
      <c r="AR2" s="38"/>
      <c r="AS2" s="38"/>
      <c r="AT2" s="38"/>
      <c r="AU2" s="38"/>
      <c r="AV2" s="38"/>
      <c r="AW2" s="38"/>
      <c r="AX2" s="38"/>
      <c r="AY2" s="38"/>
      <c r="AZ2" s="38"/>
    </row>
    <row r="3" spans="1:61" ht="13.2">
      <c r="A3" s="244"/>
      <c r="B3" s="352" t="s">
        <v>337</v>
      </c>
      <c r="C3" s="353"/>
      <c r="D3" s="354"/>
      <c r="E3" s="355"/>
      <c r="F3" s="355"/>
      <c r="G3" s="356"/>
      <c r="H3" s="356"/>
      <c r="I3" s="356"/>
      <c r="J3" s="356"/>
      <c r="K3" s="356"/>
      <c r="L3" s="356"/>
      <c r="M3" s="356"/>
      <c r="N3" s="356"/>
      <c r="O3" s="356"/>
      <c r="P3" s="356"/>
      <c r="Q3" s="356"/>
      <c r="R3" s="24"/>
      <c r="S3" s="24"/>
      <c r="T3" s="24"/>
      <c r="U3" s="24"/>
      <c r="V3" s="30"/>
      <c r="W3" s="24"/>
      <c r="X3" s="30"/>
      <c r="Y3" s="24"/>
      <c r="Z3" s="30"/>
      <c r="AA3" s="24"/>
      <c r="AB3" s="30"/>
      <c r="AC3" s="24"/>
      <c r="AD3" s="30"/>
      <c r="AE3" s="27"/>
      <c r="AF3" s="27"/>
      <c r="AG3" s="27"/>
      <c r="AH3" s="27"/>
      <c r="AK3" s="27"/>
      <c r="AQ3" s="27"/>
      <c r="AR3" s="27"/>
      <c r="AS3" s="27"/>
      <c r="AT3" s="27"/>
      <c r="AU3" s="27"/>
      <c r="AV3" s="27"/>
      <c r="AW3" s="27"/>
      <c r="AX3" s="27"/>
      <c r="AY3" s="27"/>
      <c r="AZ3" s="27"/>
    </row>
    <row r="4" spans="1:61" ht="13.2">
      <c r="A4" s="47">
        <v>1</v>
      </c>
      <c r="B4" s="1" t="s">
        <v>338</v>
      </c>
      <c r="C4" s="48" t="str">
        <f ca="1">IFERROR(__xludf.DUMMYFUNCTION("GoogleFinance(B4,""name"")"),"CVS Health Corp")</f>
        <v>CVS Health Corp</v>
      </c>
      <c r="D4" s="49">
        <f ca="1">IFERROR(__xludf.DUMMYFUNCTION("GoogleFinance(B4,""marketcap"")/1000000"),77042.178299)</f>
        <v>77042.178299000007</v>
      </c>
      <c r="E4" s="26" t="s">
        <v>15</v>
      </c>
      <c r="F4" s="26" t="s">
        <v>117</v>
      </c>
      <c r="G4" s="52">
        <f ca="1">IFERROR(__xludf.DUMMYFUNCTION("GOOGLEFINANCE(B4)"),61.37)</f>
        <v>61.37</v>
      </c>
      <c r="H4" s="418">
        <v>67</v>
      </c>
      <c r="I4" s="57">
        <f ca="1">H4/G4-1</f>
        <v>9.1738634511976613E-2</v>
      </c>
      <c r="J4" s="50">
        <v>90</v>
      </c>
      <c r="K4" s="109">
        <f ca="1">J4/G4-1</f>
        <v>0.46651458367280441</v>
      </c>
      <c r="L4" s="11">
        <f ca="1">IFERROR(__xludf.DUMMYFUNCTION("GoogleFinance(B4,""changepct"")/100"),-0.0018)</f>
        <v>-1.8E-3</v>
      </c>
      <c r="M4" s="11">
        <f ca="1">G4/V5-1</f>
        <v>4.5834015387131721E-3</v>
      </c>
      <c r="N4" s="11">
        <f ca="1">G4/X5-1</f>
        <v>0.10496939142960016</v>
      </c>
      <c r="O4" s="11">
        <f ca="1">G4/Z5-1</f>
        <v>-0.22296783995948344</v>
      </c>
      <c r="P4" s="11">
        <f ca="1">G4/AB5-1</f>
        <v>-0.22316455696202531</v>
      </c>
      <c r="Q4" s="11">
        <f ca="1">G4/AD5-1</f>
        <v>-0.34145294559502093</v>
      </c>
      <c r="R4" s="2"/>
      <c r="S4" s="2"/>
      <c r="T4" s="2"/>
      <c r="U4" s="2" t="str">
        <f ca="1">IFERROR(__xludf.DUMMYFUNCTION("GoogleFinance(B4,""price"",today()-7)"),"Date")</f>
        <v>Date</v>
      </c>
      <c r="V4" s="30" t="str">
        <f ca="1">IFERROR(__xludf.DUMMYFUNCTION("""COMPUTED_VALUE"""),"Close")</f>
        <v>Close</v>
      </c>
      <c r="W4" s="2" t="str">
        <f ca="1">IFERROR(__xludf.DUMMYFUNCTION("GoogleFinance(B4,""price"",today()-31)"),"Date")</f>
        <v>Date</v>
      </c>
      <c r="X4" s="30" t="str">
        <f ca="1">IFERROR(__xludf.DUMMYFUNCTION("""COMPUTED_VALUE"""),"Close")</f>
        <v>Close</v>
      </c>
      <c r="Y4" s="2" t="str">
        <f ca="1">IFERROR(__xludf.DUMMYFUNCTION("GoogleFinance(B4,""price"",today()-91)"),"Date")</f>
        <v>Date</v>
      </c>
      <c r="Z4" s="30" t="str">
        <f ca="1">IFERROR(__xludf.DUMMYFUNCTION("""COMPUTED_VALUE"""),"Close")</f>
        <v>Close</v>
      </c>
      <c r="AA4" s="2" t="str">
        <f ca="1">IFERROR(__xludf.DUMMYFUNCTION("GoogleFinance(B4,""price"",today()-182)"),"Date")</f>
        <v>Date</v>
      </c>
      <c r="AB4" s="30" t="str">
        <f ca="1">IFERROR(__xludf.DUMMYFUNCTION("""COMPUTED_VALUE"""),"Close")</f>
        <v>Close</v>
      </c>
      <c r="AC4" s="2" t="str">
        <f ca="1">IFERROR(__xludf.DUMMYFUNCTION("GoogleFinance(B4,""price"",DATE(2022,12,30))"),"Date")</f>
        <v>Date</v>
      </c>
      <c r="AD4" s="30" t="str">
        <f ca="1">IFERROR(__xludf.DUMMYFUNCTION("""COMPUTED_VALUE"""),"Close")</f>
        <v>Close</v>
      </c>
      <c r="AE4" s="5"/>
      <c r="AF4" s="5"/>
      <c r="AG4" s="5"/>
      <c r="AH4" s="5"/>
      <c r="AK4" s="5"/>
      <c r="AQ4" s="5"/>
      <c r="AR4" s="5"/>
      <c r="AS4" s="5"/>
      <c r="AT4" s="5"/>
      <c r="AU4" s="5"/>
      <c r="AV4" s="5"/>
      <c r="AW4" s="5"/>
      <c r="AX4" s="5"/>
      <c r="AY4" s="5"/>
      <c r="AZ4" s="5"/>
    </row>
    <row r="5" spans="1:61" ht="13.2" hidden="1">
      <c r="A5" s="47" t="e">
        <f>1+#REF!</f>
        <v>#REF!</v>
      </c>
      <c r="B5" s="385"/>
      <c r="C5" s="386"/>
      <c r="D5" s="385"/>
      <c r="E5" s="385"/>
      <c r="F5" s="385"/>
      <c r="G5" s="387"/>
      <c r="H5" s="387"/>
      <c r="I5" s="389"/>
      <c r="J5" s="389"/>
      <c r="K5" s="389"/>
      <c r="L5" s="390"/>
      <c r="M5" s="390"/>
      <c r="N5" s="390"/>
      <c r="O5" s="390"/>
      <c r="P5" s="390"/>
      <c r="Q5" s="390"/>
      <c r="R5" s="24"/>
      <c r="S5" s="24"/>
      <c r="T5" s="24"/>
      <c r="U5" s="24">
        <f ca="1">IFERROR(__xludf.DUMMYFUNCTION("""COMPUTED_VALUE"""),45460.6666666666)</f>
        <v>45460.666666666599</v>
      </c>
      <c r="V5" s="23">
        <f ca="1">IFERROR(__xludf.DUMMYFUNCTION("""COMPUTED_VALUE"""),61.09)</f>
        <v>61.09</v>
      </c>
      <c r="W5" s="24">
        <f ca="1">IFERROR(__xludf.DUMMYFUNCTION("""COMPUTED_VALUE"""),45436.6666666666)</f>
        <v>45436.666666666599</v>
      </c>
      <c r="X5" s="23">
        <f ca="1">IFERROR(__xludf.DUMMYFUNCTION("""COMPUTED_VALUE"""),55.54)</f>
        <v>55.54</v>
      </c>
      <c r="Y5" s="24">
        <f ca="1">IFERROR(__xludf.DUMMYFUNCTION("""COMPUTED_VALUE"""),45376.6666666666)</f>
        <v>45376.666666666599</v>
      </c>
      <c r="Z5" s="23">
        <f ca="1">IFERROR(__xludf.DUMMYFUNCTION("""COMPUTED_VALUE"""),78.98)</f>
        <v>78.98</v>
      </c>
      <c r="AA5" s="24">
        <f ca="1">IFERROR(__xludf.DUMMYFUNCTION("""COMPUTED_VALUE"""),45286.6666666666)</f>
        <v>45286.666666666599</v>
      </c>
      <c r="AB5" s="23">
        <f ca="1">IFERROR(__xludf.DUMMYFUNCTION("""COMPUTED_VALUE"""),79)</f>
        <v>79</v>
      </c>
      <c r="AC5" s="24">
        <f ca="1">IFERROR(__xludf.DUMMYFUNCTION("""COMPUTED_VALUE"""),44925.6666666666)</f>
        <v>44925.666666666599</v>
      </c>
      <c r="AD5" s="23">
        <f ca="1">IFERROR(__xludf.DUMMYFUNCTION("""COMPUTED_VALUE"""),93.19)</f>
        <v>93.19</v>
      </c>
      <c r="AE5" s="27"/>
      <c r="AF5" s="27"/>
      <c r="AG5" s="27"/>
      <c r="AH5" s="27"/>
      <c r="AI5" s="393"/>
      <c r="AJ5" s="393"/>
      <c r="AK5" s="27"/>
      <c r="AL5" s="393"/>
      <c r="AM5" s="393"/>
      <c r="AN5" s="393"/>
      <c r="AO5" s="393"/>
      <c r="AP5" s="393"/>
      <c r="AQ5" s="27"/>
      <c r="AR5" s="27"/>
      <c r="AS5" s="27"/>
      <c r="AT5" s="27"/>
      <c r="AU5" s="27"/>
      <c r="AV5" s="27"/>
      <c r="AW5" s="27"/>
      <c r="AX5" s="27"/>
      <c r="AY5" s="27"/>
      <c r="AZ5" s="27"/>
      <c r="BA5" s="393"/>
      <c r="BB5" s="393"/>
      <c r="BC5" s="393"/>
      <c r="BD5" s="393"/>
      <c r="BE5" s="393"/>
      <c r="BF5" s="393"/>
      <c r="BG5" s="393"/>
      <c r="BH5" s="393"/>
      <c r="BI5" s="393"/>
    </row>
    <row r="6" spans="1:61" ht="13.2">
      <c r="A6" s="47">
        <f t="shared" ref="A6:A10" si="0">1+A4</f>
        <v>2</v>
      </c>
      <c r="B6" s="1" t="s">
        <v>339</v>
      </c>
      <c r="C6" s="48" t="str">
        <f ca="1">IFERROR(__xludf.DUMMYFUNCTION("GoogleFinance(B6,""name"")"),"Lockheed Martin Corp")</f>
        <v>Lockheed Martin Corp</v>
      </c>
      <c r="D6" s="49">
        <f ca="1">IFERROR(__xludf.DUMMYFUNCTION("GoogleFinance(B6,""marketcap"")/1000000"),112195.103784)</f>
        <v>112195.10378400001</v>
      </c>
      <c r="E6" s="26" t="s">
        <v>10</v>
      </c>
      <c r="F6" s="26" t="s">
        <v>340</v>
      </c>
      <c r="G6" s="52">
        <f ca="1">IFERROR(__xludf.DUMMYFUNCTION("GOOGLEFINANCE(B6)"),467.6)</f>
        <v>467.6</v>
      </c>
      <c r="H6" s="59">
        <v>430</v>
      </c>
      <c r="I6" s="57">
        <f ca="1">H6/G6-1</f>
        <v>-8.0410607356715236E-2</v>
      </c>
      <c r="J6" s="50">
        <v>540</v>
      </c>
      <c r="K6" s="109">
        <f ca="1">J6/G6-1</f>
        <v>0.1548331907613345</v>
      </c>
      <c r="L6" s="11">
        <f ca="1">IFERROR(__xludf.DUMMYFUNCTION("GoogleFinance(B6,""changepct"")/100"),0)</f>
        <v>0</v>
      </c>
      <c r="M6" s="11">
        <f ca="1">G6/V7-1</f>
        <v>1.8714189233349998E-2</v>
      </c>
      <c r="N6" s="11">
        <f ca="1">G6/X7-1</f>
        <v>5.3493099390178322E-4</v>
      </c>
      <c r="O6" s="11">
        <f ca="1">G6/Z7-1</f>
        <v>4.770226972283842E-2</v>
      </c>
      <c r="P6" s="11">
        <f ca="1">G6/AB7-1</f>
        <v>3.8695632857967954E-2</v>
      </c>
      <c r="Q6" s="11">
        <f ca="1">G6/AD7-1</f>
        <v>-3.8829164011593198E-2</v>
      </c>
      <c r="R6" s="2"/>
      <c r="S6" s="2"/>
      <c r="T6" s="2"/>
      <c r="U6" s="2" t="str">
        <f ca="1">IFERROR(__xludf.DUMMYFUNCTION("GoogleFinance(B6,""price"",today()-7)"),"Date")</f>
        <v>Date</v>
      </c>
      <c r="V6" s="30" t="str">
        <f ca="1">IFERROR(__xludf.DUMMYFUNCTION("""COMPUTED_VALUE"""),"Close")</f>
        <v>Close</v>
      </c>
      <c r="W6" s="2" t="str">
        <f ca="1">IFERROR(__xludf.DUMMYFUNCTION("GoogleFinance(B6,""price"",today()-31)"),"Date")</f>
        <v>Date</v>
      </c>
      <c r="X6" s="30" t="str">
        <f ca="1">IFERROR(__xludf.DUMMYFUNCTION("""COMPUTED_VALUE"""),"Close")</f>
        <v>Close</v>
      </c>
      <c r="Y6" s="2" t="str">
        <f ca="1">IFERROR(__xludf.DUMMYFUNCTION("GoogleFinance(B6,""price"",today()-91)"),"Date")</f>
        <v>Date</v>
      </c>
      <c r="Z6" s="30" t="str">
        <f ca="1">IFERROR(__xludf.DUMMYFUNCTION("""COMPUTED_VALUE"""),"Close")</f>
        <v>Close</v>
      </c>
      <c r="AA6" s="2" t="str">
        <f ca="1">IFERROR(__xludf.DUMMYFUNCTION("GoogleFinance(B6,""price"",today()-182)"),"Date")</f>
        <v>Date</v>
      </c>
      <c r="AB6" s="30" t="str">
        <f ca="1">IFERROR(__xludf.DUMMYFUNCTION("""COMPUTED_VALUE"""),"Close")</f>
        <v>Close</v>
      </c>
      <c r="AC6" s="2" t="str">
        <f ca="1">IFERROR(__xludf.DUMMYFUNCTION("GoogleFinance(B6,""price"",DATE(2022,12,30))"),"Date")</f>
        <v>Date</v>
      </c>
      <c r="AD6" s="30" t="str">
        <f ca="1">IFERROR(__xludf.DUMMYFUNCTION("""COMPUTED_VALUE"""),"Close")</f>
        <v>Close</v>
      </c>
      <c r="AE6" s="5"/>
      <c r="AF6" s="5"/>
      <c r="AG6" s="5"/>
      <c r="AH6" s="5"/>
      <c r="AK6" s="5"/>
      <c r="AQ6" s="5"/>
      <c r="AR6" s="5"/>
      <c r="AS6" s="5"/>
      <c r="AT6" s="5"/>
      <c r="AU6" s="5"/>
      <c r="AV6" s="5"/>
      <c r="AW6" s="5"/>
      <c r="AX6" s="5"/>
      <c r="AY6" s="5"/>
      <c r="AZ6" s="5"/>
    </row>
    <row r="7" spans="1:61" ht="13.2" hidden="1">
      <c r="A7" s="47" t="e">
        <f t="shared" si="0"/>
        <v>#REF!</v>
      </c>
      <c r="B7" s="385"/>
      <c r="C7" s="386"/>
      <c r="D7" s="385"/>
      <c r="E7" s="385"/>
      <c r="F7" s="385"/>
      <c r="G7" s="387"/>
      <c r="H7" s="387"/>
      <c r="I7" s="389"/>
      <c r="J7" s="389"/>
      <c r="K7" s="389"/>
      <c r="L7" s="390"/>
      <c r="M7" s="390"/>
      <c r="N7" s="390"/>
      <c r="O7" s="390"/>
      <c r="P7" s="390"/>
      <c r="Q7" s="390"/>
      <c r="R7" s="24"/>
      <c r="S7" s="24"/>
      <c r="T7" s="24"/>
      <c r="U7" s="24">
        <f ca="1">IFERROR(__xludf.DUMMYFUNCTION("""COMPUTED_VALUE"""),45460.6666666666)</f>
        <v>45460.666666666599</v>
      </c>
      <c r="V7" s="23">
        <f ca="1">IFERROR(__xludf.DUMMYFUNCTION("""COMPUTED_VALUE"""),459.01)</f>
        <v>459.01</v>
      </c>
      <c r="W7" s="24">
        <f ca="1">IFERROR(__xludf.DUMMYFUNCTION("""COMPUTED_VALUE"""),45436.6666666666)</f>
        <v>45436.666666666599</v>
      </c>
      <c r="X7" s="23">
        <f ca="1">IFERROR(__xludf.DUMMYFUNCTION("""COMPUTED_VALUE"""),467.35)</f>
        <v>467.35</v>
      </c>
      <c r="Y7" s="24">
        <f ca="1">IFERROR(__xludf.DUMMYFUNCTION("""COMPUTED_VALUE"""),45376.6666666666)</f>
        <v>45376.666666666599</v>
      </c>
      <c r="Z7" s="23">
        <f ca="1">IFERROR(__xludf.DUMMYFUNCTION("""COMPUTED_VALUE"""),446.31)</f>
        <v>446.31</v>
      </c>
      <c r="AA7" s="24">
        <f ca="1">IFERROR(__xludf.DUMMYFUNCTION("""COMPUTED_VALUE"""),45286.6666666666)</f>
        <v>45286.666666666599</v>
      </c>
      <c r="AB7" s="23">
        <f ca="1">IFERROR(__xludf.DUMMYFUNCTION("""COMPUTED_VALUE"""),450.18)</f>
        <v>450.18</v>
      </c>
      <c r="AC7" s="24">
        <f ca="1">IFERROR(__xludf.DUMMYFUNCTION("""COMPUTED_VALUE"""),44925.6666666666)</f>
        <v>44925.666666666599</v>
      </c>
      <c r="AD7" s="23">
        <f ca="1">IFERROR(__xludf.DUMMYFUNCTION("""COMPUTED_VALUE"""),486.49)</f>
        <v>486.49</v>
      </c>
      <c r="AE7" s="27"/>
      <c r="AF7" s="27"/>
      <c r="AG7" s="27"/>
      <c r="AH7" s="27"/>
      <c r="AI7" s="393"/>
      <c r="AJ7" s="393"/>
      <c r="AK7" s="27"/>
      <c r="AL7" s="393"/>
      <c r="AM7" s="393"/>
      <c r="AN7" s="393"/>
      <c r="AO7" s="393"/>
      <c r="AP7" s="393"/>
      <c r="AQ7" s="27"/>
      <c r="AR7" s="27"/>
      <c r="AS7" s="27"/>
      <c r="AT7" s="27"/>
      <c r="AU7" s="27"/>
      <c r="AV7" s="27"/>
      <c r="AW7" s="27"/>
      <c r="AX7" s="27"/>
      <c r="AY7" s="27"/>
      <c r="AZ7" s="27"/>
      <c r="BA7" s="393"/>
      <c r="BB7" s="393"/>
      <c r="BC7" s="393"/>
      <c r="BD7" s="393"/>
      <c r="BE7" s="393"/>
      <c r="BF7" s="393"/>
      <c r="BG7" s="393"/>
      <c r="BH7" s="393"/>
      <c r="BI7" s="393"/>
    </row>
    <row r="8" spans="1:61" ht="13.2">
      <c r="A8" s="47">
        <f t="shared" si="0"/>
        <v>3</v>
      </c>
      <c r="B8" s="1" t="s">
        <v>341</v>
      </c>
      <c r="C8" s="48" t="str">
        <f ca="1">IFERROR(__xludf.DUMMYFUNCTION("GoogleFinance(B8,""name"")"),"Northrop Grumman Corp")</f>
        <v>Northrop Grumman Corp</v>
      </c>
      <c r="D8" s="49">
        <f ca="1">IFERROR(__xludf.DUMMYFUNCTION("GoogleFinance(B8,""marketcap"")/1000000"),63944.955349)</f>
        <v>63944.955349000003</v>
      </c>
      <c r="E8" s="26" t="s">
        <v>10</v>
      </c>
      <c r="F8" s="26" t="s">
        <v>340</v>
      </c>
      <c r="G8" s="52">
        <f ca="1">IFERROR(__xludf.DUMMYFUNCTION("GOOGLEFINANCE(B8)"),432.09)</f>
        <v>432.09</v>
      </c>
      <c r="H8" s="59">
        <v>450</v>
      </c>
      <c r="I8" s="57">
        <f ca="1">H8/G8-1</f>
        <v>4.1449697979587752E-2</v>
      </c>
      <c r="J8" s="50">
        <v>540</v>
      </c>
      <c r="K8" s="109">
        <f ca="1">J8/G8-1</f>
        <v>0.24973963757550521</v>
      </c>
      <c r="L8" s="11">
        <f ca="1">IFERROR(__xludf.DUMMYFUNCTION("GoogleFinance(B8,""changepct"")/100"),0)</f>
        <v>0</v>
      </c>
      <c r="M8" s="11">
        <f ca="1">G8/V9-1</f>
        <v>5.3748429429010258E-3</v>
      </c>
      <c r="N8" s="11">
        <f ca="1">G8/X9-1</f>
        <v>-7.3623051690500207E-2</v>
      </c>
      <c r="O8" s="11">
        <f ca="1">G8/Z9-1</f>
        <v>-7.9327537714139695E-2</v>
      </c>
      <c r="P8" s="11">
        <f ca="1">G8/AB9-1</f>
        <v>-6.9773950484391833E-2</v>
      </c>
      <c r="Q8" s="11">
        <f ca="1">G8/AD9-1</f>
        <v>-0.20806070269973065</v>
      </c>
      <c r="R8" s="2"/>
      <c r="S8" s="2"/>
      <c r="T8" s="2"/>
      <c r="U8" s="2" t="str">
        <f ca="1">IFERROR(__xludf.DUMMYFUNCTION("GoogleFinance(B8,""price"",today()-7)"),"Date")</f>
        <v>Date</v>
      </c>
      <c r="V8" s="30" t="str">
        <f ca="1">IFERROR(__xludf.DUMMYFUNCTION("""COMPUTED_VALUE"""),"Close")</f>
        <v>Close</v>
      </c>
      <c r="W8" s="2" t="str">
        <f ca="1">IFERROR(__xludf.DUMMYFUNCTION("GoogleFinance(B8,""price"",today()-31)"),"Date")</f>
        <v>Date</v>
      </c>
      <c r="X8" s="30" t="str">
        <f ca="1">IFERROR(__xludf.DUMMYFUNCTION("""COMPUTED_VALUE"""),"Close")</f>
        <v>Close</v>
      </c>
      <c r="Y8" s="2" t="str">
        <f ca="1">IFERROR(__xludf.DUMMYFUNCTION("GoogleFinance(B8,""price"",today()-91)"),"Date")</f>
        <v>Date</v>
      </c>
      <c r="Z8" s="30" t="str">
        <f ca="1">IFERROR(__xludf.DUMMYFUNCTION("""COMPUTED_VALUE"""),"Close")</f>
        <v>Close</v>
      </c>
      <c r="AA8" s="2" t="str">
        <f ca="1">IFERROR(__xludf.DUMMYFUNCTION("GoogleFinance(B8,""price"",today()-182)"),"Date")</f>
        <v>Date</v>
      </c>
      <c r="AB8" s="30" t="str">
        <f ca="1">IFERROR(__xludf.DUMMYFUNCTION("""COMPUTED_VALUE"""),"Close")</f>
        <v>Close</v>
      </c>
      <c r="AC8" s="2" t="str">
        <f ca="1">IFERROR(__xludf.DUMMYFUNCTION("GoogleFinance(B8,""price"",DATE(2022,12,30))"),"Date")</f>
        <v>Date</v>
      </c>
      <c r="AD8" s="30" t="str">
        <f ca="1">IFERROR(__xludf.DUMMYFUNCTION("""COMPUTED_VALUE"""),"Close")</f>
        <v>Close</v>
      </c>
      <c r="AE8" s="5"/>
      <c r="AF8" s="5"/>
      <c r="AG8" s="5"/>
      <c r="AH8" s="5"/>
      <c r="AK8" s="5"/>
      <c r="AQ8" s="5"/>
      <c r="AR8" s="5"/>
      <c r="AS8" s="5"/>
      <c r="AT8" s="5"/>
      <c r="AU8" s="5"/>
      <c r="AV8" s="5"/>
      <c r="AW8" s="5"/>
      <c r="AX8" s="5"/>
      <c r="AY8" s="5"/>
      <c r="AZ8" s="5"/>
    </row>
    <row r="9" spans="1:61" ht="13.2" hidden="1">
      <c r="A9" s="47" t="e">
        <f t="shared" si="0"/>
        <v>#REF!</v>
      </c>
      <c r="B9" s="385"/>
      <c r="C9" s="386"/>
      <c r="D9" s="385"/>
      <c r="E9" s="385"/>
      <c r="F9" s="385"/>
      <c r="G9" s="387"/>
      <c r="H9" s="387"/>
      <c r="I9" s="389"/>
      <c r="J9" s="389"/>
      <c r="K9" s="389"/>
      <c r="L9" s="390"/>
      <c r="M9" s="390"/>
      <c r="N9" s="390"/>
      <c r="O9" s="390"/>
      <c r="P9" s="390"/>
      <c r="Q9" s="390"/>
      <c r="R9" s="24"/>
      <c r="S9" s="24"/>
      <c r="T9" s="24"/>
      <c r="U9" s="24">
        <f ca="1">IFERROR(__xludf.DUMMYFUNCTION("""COMPUTED_VALUE"""),45460.6666666666)</f>
        <v>45460.666666666599</v>
      </c>
      <c r="V9" s="23">
        <f ca="1">IFERROR(__xludf.DUMMYFUNCTION("""COMPUTED_VALUE"""),429.78)</f>
        <v>429.78</v>
      </c>
      <c r="W9" s="24">
        <f ca="1">IFERROR(__xludf.DUMMYFUNCTION("""COMPUTED_VALUE"""),45436.6666666666)</f>
        <v>45436.666666666599</v>
      </c>
      <c r="X9" s="23">
        <f ca="1">IFERROR(__xludf.DUMMYFUNCTION("""COMPUTED_VALUE"""),466.43)</f>
        <v>466.43</v>
      </c>
      <c r="Y9" s="24">
        <f ca="1">IFERROR(__xludf.DUMMYFUNCTION("""COMPUTED_VALUE"""),45376.6666666666)</f>
        <v>45376.666666666599</v>
      </c>
      <c r="Z9" s="23">
        <f ca="1">IFERROR(__xludf.DUMMYFUNCTION("""COMPUTED_VALUE"""),469.32)</f>
        <v>469.32</v>
      </c>
      <c r="AA9" s="24">
        <f ca="1">IFERROR(__xludf.DUMMYFUNCTION("""COMPUTED_VALUE"""),45286.6666666666)</f>
        <v>45286.666666666599</v>
      </c>
      <c r="AB9" s="23">
        <f ca="1">IFERROR(__xludf.DUMMYFUNCTION("""COMPUTED_VALUE"""),464.5)</f>
        <v>464.5</v>
      </c>
      <c r="AC9" s="24">
        <f ca="1">IFERROR(__xludf.DUMMYFUNCTION("""COMPUTED_VALUE"""),44925.6666666666)</f>
        <v>44925.666666666599</v>
      </c>
      <c r="AD9" s="23">
        <f ca="1">IFERROR(__xludf.DUMMYFUNCTION("""COMPUTED_VALUE"""),545.61)</f>
        <v>545.61</v>
      </c>
      <c r="AE9" s="27"/>
      <c r="AF9" s="27"/>
      <c r="AG9" s="27"/>
      <c r="AH9" s="27"/>
      <c r="AI9" s="393"/>
      <c r="AJ9" s="393"/>
      <c r="AK9" s="27"/>
      <c r="AL9" s="393"/>
      <c r="AM9" s="393"/>
      <c r="AN9" s="393"/>
      <c r="AO9" s="393"/>
      <c r="AP9" s="393"/>
      <c r="AQ9" s="27"/>
      <c r="AR9" s="27"/>
      <c r="AS9" s="27"/>
      <c r="AT9" s="27"/>
      <c r="AU9" s="27"/>
      <c r="AV9" s="27"/>
      <c r="AW9" s="27"/>
      <c r="AX9" s="27"/>
      <c r="AY9" s="27"/>
      <c r="AZ9" s="27"/>
      <c r="BA9" s="393"/>
      <c r="BB9" s="393"/>
      <c r="BC9" s="393"/>
      <c r="BD9" s="393"/>
      <c r="BE9" s="393"/>
      <c r="BF9" s="393"/>
      <c r="BG9" s="393"/>
      <c r="BH9" s="393"/>
      <c r="BI9" s="393"/>
    </row>
    <row r="10" spans="1:61" ht="13.2">
      <c r="A10" s="47">
        <f t="shared" si="0"/>
        <v>4</v>
      </c>
      <c r="B10" s="1" t="s">
        <v>342</v>
      </c>
      <c r="C10" s="48" t="str">
        <f ca="1">IFERROR(__xludf.DUMMYFUNCTION("GoogleFinance(B10,""name"")"),"Verizon Communications Inc.")</f>
        <v>Verizon Communications Inc.</v>
      </c>
      <c r="D10" s="49">
        <f ca="1">IFERROR(__xludf.DUMMYFUNCTION("GoogleFinance(B10,""marketcap"")/1000000"),169380.388025)</f>
        <v>169380.38802499999</v>
      </c>
      <c r="E10" s="50" t="s">
        <v>12</v>
      </c>
      <c r="F10" s="50" t="s">
        <v>117</v>
      </c>
      <c r="G10" s="52">
        <f ca="1">IFERROR(__xludf.DUMMYFUNCTION("GOOGLEFINANCE(B10)"),40.24)</f>
        <v>40.24</v>
      </c>
      <c r="H10" s="59">
        <v>35</v>
      </c>
      <c r="I10" s="57">
        <f ca="1">H10/G10-1</f>
        <v>-0.13021868787276347</v>
      </c>
      <c r="J10" s="50">
        <v>47</v>
      </c>
      <c r="K10" s="109">
        <f ca="1">J10/G10-1</f>
        <v>0.16799204771371756</v>
      </c>
      <c r="L10" s="11">
        <f ca="1">IFERROR(__xludf.DUMMYFUNCTION("GoogleFinance(B10,""changepct"")/100"),0)</f>
        <v>0</v>
      </c>
      <c r="M10" s="11">
        <f ca="1">G10/V11-1</f>
        <v>1.976685250886967E-2</v>
      </c>
      <c r="N10" s="11">
        <f ca="1">G10/X11-1</f>
        <v>1.2581781580271789E-2</v>
      </c>
      <c r="O10" s="11">
        <f ca="1">G10/Z11-1</f>
        <v>-1.5414729630535695E-2</v>
      </c>
      <c r="P10" s="11">
        <f ca="1">G10/AB11-1</f>
        <v>7.3639274279615918E-2</v>
      </c>
      <c r="Q10" s="11">
        <f ca="1">G10/AD11-1</f>
        <v>2.1319796954314851E-2</v>
      </c>
      <c r="R10" s="2"/>
      <c r="S10" s="2"/>
      <c r="T10" s="2"/>
      <c r="U10" s="2" t="str">
        <f ca="1">IFERROR(__xludf.DUMMYFUNCTION("GoogleFinance(B10,""price"",today()-7)"),"Date")</f>
        <v>Date</v>
      </c>
      <c r="V10" s="23" t="str">
        <f ca="1">IFERROR(__xludf.DUMMYFUNCTION("""COMPUTED_VALUE"""),"Close")</f>
        <v>Close</v>
      </c>
      <c r="W10" s="2" t="str">
        <f ca="1">IFERROR(__xludf.DUMMYFUNCTION("GoogleFinance(B10,""price"",today()-31)"),"Date")</f>
        <v>Date</v>
      </c>
      <c r="X10" s="23" t="str">
        <f ca="1">IFERROR(__xludf.DUMMYFUNCTION("""COMPUTED_VALUE"""),"Close")</f>
        <v>Close</v>
      </c>
      <c r="Y10" s="2" t="str">
        <f ca="1">IFERROR(__xludf.DUMMYFUNCTION("GoogleFinance(B10,""price"",today()-91)"),"Date")</f>
        <v>Date</v>
      </c>
      <c r="Z10" s="23" t="str">
        <f ca="1">IFERROR(__xludf.DUMMYFUNCTION("""COMPUTED_VALUE"""),"Close")</f>
        <v>Close</v>
      </c>
      <c r="AA10" s="2" t="str">
        <f ca="1">IFERROR(__xludf.DUMMYFUNCTION("GoogleFinance(B10,""price"",today()-182)"),"Date")</f>
        <v>Date</v>
      </c>
      <c r="AB10" s="23" t="str">
        <f ca="1">IFERROR(__xludf.DUMMYFUNCTION("""COMPUTED_VALUE"""),"Close")</f>
        <v>Close</v>
      </c>
      <c r="AC10" s="2" t="str">
        <f ca="1">IFERROR(__xludf.DUMMYFUNCTION("GoogleFinance(B10,""price"",DATE(2022,12,30))"),"Date")</f>
        <v>Date</v>
      </c>
      <c r="AD10" s="23" t="str">
        <f ca="1">IFERROR(__xludf.DUMMYFUNCTION("""COMPUTED_VALUE"""),"Close")</f>
        <v>Close</v>
      </c>
      <c r="AE10" s="5"/>
      <c r="AF10" s="5"/>
      <c r="AG10" s="5"/>
      <c r="AH10" s="5"/>
      <c r="AI10" s="393"/>
      <c r="AJ10" s="393"/>
      <c r="AK10" s="5"/>
      <c r="AL10" s="393"/>
      <c r="AM10" s="393"/>
      <c r="AN10" s="393"/>
      <c r="AO10" s="393"/>
      <c r="AP10" s="393"/>
      <c r="AQ10" s="5"/>
      <c r="AR10" s="5"/>
      <c r="AS10" s="5"/>
      <c r="AT10" s="5"/>
      <c r="AU10" s="5"/>
      <c r="AV10" s="5"/>
      <c r="AW10" s="5"/>
      <c r="AX10" s="5"/>
      <c r="AY10" s="5"/>
      <c r="AZ10" s="5"/>
      <c r="BA10" s="393"/>
      <c r="BB10" s="393"/>
      <c r="BC10" s="393"/>
      <c r="BD10" s="393"/>
      <c r="BE10" s="393"/>
      <c r="BF10" s="393"/>
      <c r="BG10" s="393"/>
      <c r="BH10" s="393"/>
      <c r="BI10" s="393"/>
    </row>
    <row r="11" spans="1:61" ht="13.2" hidden="1">
      <c r="A11" s="244"/>
      <c r="B11" s="537"/>
      <c r="C11" s="538"/>
      <c r="D11" s="539"/>
      <c r="E11" s="540"/>
      <c r="F11" s="540"/>
      <c r="G11" s="99"/>
      <c r="H11" s="99"/>
      <c r="I11" s="541"/>
      <c r="J11" s="541"/>
      <c r="K11" s="541"/>
      <c r="L11" s="542"/>
      <c r="M11" s="543"/>
      <c r="N11" s="543"/>
      <c r="O11" s="543"/>
      <c r="P11" s="543"/>
      <c r="Q11" s="543"/>
      <c r="R11" s="24"/>
      <c r="S11" s="24"/>
      <c r="T11" s="24"/>
      <c r="U11" s="24">
        <f ca="1">IFERROR(__xludf.DUMMYFUNCTION("""COMPUTED_VALUE"""),45460.6666666666)</f>
        <v>45460.666666666599</v>
      </c>
      <c r="V11" s="23">
        <f ca="1">IFERROR(__xludf.DUMMYFUNCTION("""COMPUTED_VALUE"""),39.46)</f>
        <v>39.46</v>
      </c>
      <c r="W11" s="24">
        <f ca="1">IFERROR(__xludf.DUMMYFUNCTION("""COMPUTED_VALUE"""),45436.6666666666)</f>
        <v>45436.666666666599</v>
      </c>
      <c r="X11" s="23">
        <f ca="1">IFERROR(__xludf.DUMMYFUNCTION("""COMPUTED_VALUE"""),39.74)</f>
        <v>39.74</v>
      </c>
      <c r="Y11" s="24">
        <f ca="1">IFERROR(__xludf.DUMMYFUNCTION("""COMPUTED_VALUE"""),45376.6666666666)</f>
        <v>45376.666666666599</v>
      </c>
      <c r="Z11" s="23">
        <f ca="1">IFERROR(__xludf.DUMMYFUNCTION("""COMPUTED_VALUE"""),40.87)</f>
        <v>40.869999999999997</v>
      </c>
      <c r="AA11" s="24">
        <f ca="1">IFERROR(__xludf.DUMMYFUNCTION("""COMPUTED_VALUE"""),45286.6666666666)</f>
        <v>45286.666666666599</v>
      </c>
      <c r="AB11" s="23">
        <f ca="1">IFERROR(__xludf.DUMMYFUNCTION("""COMPUTED_VALUE"""),37.48)</f>
        <v>37.479999999999997</v>
      </c>
      <c r="AC11" s="24">
        <f ca="1">IFERROR(__xludf.DUMMYFUNCTION("""COMPUTED_VALUE"""),44925.6666666666)</f>
        <v>44925.666666666599</v>
      </c>
      <c r="AD11" s="23">
        <f ca="1">IFERROR(__xludf.DUMMYFUNCTION("""COMPUTED_VALUE"""),39.4)</f>
        <v>39.4</v>
      </c>
      <c r="AE11" s="27"/>
      <c r="AF11" s="27"/>
      <c r="AG11" s="27"/>
      <c r="AH11" s="27"/>
      <c r="AI11" s="393"/>
      <c r="AJ11" s="393"/>
      <c r="AK11" s="27"/>
      <c r="AL11" s="393"/>
      <c r="AM11" s="393"/>
      <c r="AN11" s="393"/>
      <c r="AO11" s="393"/>
      <c r="AP11" s="393"/>
      <c r="AQ11" s="27"/>
      <c r="AR11" s="27"/>
      <c r="AS11" s="27"/>
      <c r="AT11" s="27"/>
      <c r="AU11" s="27"/>
      <c r="AV11" s="27"/>
      <c r="AW11" s="27"/>
      <c r="AX11" s="27"/>
      <c r="AY11" s="27"/>
      <c r="AZ11" s="27"/>
      <c r="BA11" s="393"/>
      <c r="BB11" s="393"/>
      <c r="BC11" s="393"/>
      <c r="BD11" s="393"/>
      <c r="BE11" s="393"/>
      <c r="BF11" s="393"/>
      <c r="BG11" s="393"/>
      <c r="BH11" s="393"/>
      <c r="BI11" s="393"/>
    </row>
    <row r="12" spans="1:61" ht="13.2">
      <c r="A12" s="47">
        <f>1+A10</f>
        <v>5</v>
      </c>
      <c r="B12" s="1" t="s">
        <v>343</v>
      </c>
      <c r="C12" s="48" t="str">
        <f ca="1">IFERROR(__xludf.DUMMYFUNCTION("GoogleFinance(B12,""name"")"),"Crowdstrike Holdings Inc")</f>
        <v>Crowdstrike Holdings Inc</v>
      </c>
      <c r="D12" s="49">
        <f ca="1">IFERROR(__xludf.DUMMYFUNCTION("GoogleFinance(B12,""marketcap"")/1000000"),92630.346366)</f>
        <v>92630.346365999998</v>
      </c>
      <c r="E12" s="50" t="s">
        <v>7</v>
      </c>
      <c r="F12" s="50" t="s">
        <v>344</v>
      </c>
      <c r="G12" s="52">
        <f ca="1">IFERROR(__xludf.DUMMYFUNCTION("GOOGLEFINANCE(B12)"),380.63)</f>
        <v>380.63</v>
      </c>
      <c r="H12" s="59">
        <v>240</v>
      </c>
      <c r="I12" s="57">
        <f ca="1">H12/G12-1</f>
        <v>-0.36946641095026667</v>
      </c>
      <c r="J12" s="50">
        <v>420</v>
      </c>
      <c r="K12" s="109">
        <f ca="1">J12/G12-1</f>
        <v>0.10343378083703336</v>
      </c>
      <c r="L12" s="11">
        <f ca="1">IFERROR(__xludf.DUMMYFUNCTION("GoogleFinance(B12,""changepct"")/100"),0)</f>
        <v>0</v>
      </c>
      <c r="M12" s="11">
        <f ca="1">G12/V13-1</f>
        <v>-2.5100530184668179E-2</v>
      </c>
      <c r="N12" s="11">
        <f ca="1">G12/X13-1</f>
        <v>8.2965829231513188E-2</v>
      </c>
      <c r="O12" s="11">
        <f ca="1">G12/Z13-1</f>
        <v>0.17203473334154462</v>
      </c>
      <c r="P12" s="11">
        <f ca="1">G12/AB13-1</f>
        <v>0.47605382557102405</v>
      </c>
      <c r="Q12" s="11">
        <f ca="1">G12/AD13-1</f>
        <v>2.6150631588944817</v>
      </c>
      <c r="R12" s="2"/>
      <c r="S12" s="2"/>
      <c r="T12" s="2"/>
      <c r="U12" s="2" t="str">
        <f ca="1">IFERROR(__xludf.DUMMYFUNCTION("GoogleFinance(B12,""price"",today()-7)"),"Date")</f>
        <v>Date</v>
      </c>
      <c r="V12" s="23" t="str">
        <f ca="1">IFERROR(__xludf.DUMMYFUNCTION("""COMPUTED_VALUE"""),"Close")</f>
        <v>Close</v>
      </c>
      <c r="W12" s="2" t="str">
        <f ca="1">IFERROR(__xludf.DUMMYFUNCTION("GoogleFinance(B12,""price"",today()-31)"),"Date")</f>
        <v>Date</v>
      </c>
      <c r="X12" s="23" t="str">
        <f ca="1">IFERROR(__xludf.DUMMYFUNCTION("""COMPUTED_VALUE"""),"Close")</f>
        <v>Close</v>
      </c>
      <c r="Y12" s="2" t="str">
        <f ca="1">IFERROR(__xludf.DUMMYFUNCTION("GoogleFinance(B12,""price"",today()-91)"),"Date")</f>
        <v>Date</v>
      </c>
      <c r="Z12" s="23" t="str">
        <f ca="1">IFERROR(__xludf.DUMMYFUNCTION("""COMPUTED_VALUE"""),"Close")</f>
        <v>Close</v>
      </c>
      <c r="AA12" s="2" t="str">
        <f ca="1">IFERROR(__xludf.DUMMYFUNCTION("GoogleFinance(B12,""price"",today()-182)"),"Date")</f>
        <v>Date</v>
      </c>
      <c r="AB12" s="23" t="str">
        <f ca="1">IFERROR(__xludf.DUMMYFUNCTION("""COMPUTED_VALUE"""),"Close")</f>
        <v>Close</v>
      </c>
      <c r="AC12" s="2" t="str">
        <f ca="1">IFERROR(__xludf.DUMMYFUNCTION("GoogleFinance(B12,""price"",DATE(2022,12,30))"),"Date")</f>
        <v>Date</v>
      </c>
      <c r="AD12" s="23" t="str">
        <f ca="1">IFERROR(__xludf.DUMMYFUNCTION("""COMPUTED_VALUE"""),"Close")</f>
        <v>Close</v>
      </c>
      <c r="AE12" s="5"/>
      <c r="AF12" s="5"/>
      <c r="AG12" s="5"/>
      <c r="AH12" s="5"/>
      <c r="AI12" s="393"/>
      <c r="AJ12" s="393"/>
      <c r="AK12" s="5"/>
      <c r="AL12" s="393"/>
      <c r="AM12" s="393"/>
      <c r="AN12" s="393"/>
      <c r="AO12" s="393"/>
      <c r="AP12" s="393"/>
      <c r="AQ12" s="5"/>
      <c r="AR12" s="5"/>
      <c r="AS12" s="5"/>
      <c r="AT12" s="5"/>
      <c r="AU12" s="5"/>
      <c r="AV12" s="5"/>
      <c r="AW12" s="5"/>
      <c r="AX12" s="5"/>
      <c r="AY12" s="5"/>
      <c r="AZ12" s="5"/>
      <c r="BA12" s="393"/>
      <c r="BB12" s="393"/>
      <c r="BC12" s="393"/>
      <c r="BD12" s="393"/>
      <c r="BE12" s="393"/>
      <c r="BF12" s="393"/>
      <c r="BG12" s="393"/>
      <c r="BH12" s="393"/>
      <c r="BI12" s="393"/>
    </row>
    <row r="13" spans="1:61" ht="13.2" hidden="1">
      <c r="A13" s="244"/>
      <c r="B13" s="537"/>
      <c r="C13" s="538"/>
      <c r="D13" s="539"/>
      <c r="E13" s="540"/>
      <c r="F13" s="540"/>
      <c r="G13" s="99"/>
      <c r="H13" s="99"/>
      <c r="I13" s="541"/>
      <c r="J13" s="541"/>
      <c r="K13" s="541"/>
      <c r="L13" s="542"/>
      <c r="M13" s="543"/>
      <c r="N13" s="543"/>
      <c r="O13" s="543"/>
      <c r="P13" s="543"/>
      <c r="Q13" s="543"/>
      <c r="R13" s="24"/>
      <c r="S13" s="24"/>
      <c r="T13" s="24"/>
      <c r="U13" s="24">
        <f ca="1">IFERROR(__xludf.DUMMYFUNCTION("""COMPUTED_VALUE"""),45460.6666666666)</f>
        <v>45460.666666666599</v>
      </c>
      <c r="V13" s="23">
        <f ca="1">IFERROR(__xludf.DUMMYFUNCTION("""COMPUTED_VALUE"""),390.43)</f>
        <v>390.43</v>
      </c>
      <c r="W13" s="24">
        <f ca="1">IFERROR(__xludf.DUMMYFUNCTION("""COMPUTED_VALUE"""),45436.6666666666)</f>
        <v>45436.666666666599</v>
      </c>
      <c r="X13" s="23">
        <f ca="1">IFERROR(__xludf.DUMMYFUNCTION("""COMPUTED_VALUE"""),351.47)</f>
        <v>351.47</v>
      </c>
      <c r="Y13" s="24">
        <f ca="1">IFERROR(__xludf.DUMMYFUNCTION("""COMPUTED_VALUE"""),45376.6666666666)</f>
        <v>45376.666666666599</v>
      </c>
      <c r="Z13" s="23">
        <f ca="1">IFERROR(__xludf.DUMMYFUNCTION("""COMPUTED_VALUE"""),324.76)</f>
        <v>324.76</v>
      </c>
      <c r="AA13" s="24">
        <f ca="1">IFERROR(__xludf.DUMMYFUNCTION("""COMPUTED_VALUE"""),45286.6666666666)</f>
        <v>45286.666666666599</v>
      </c>
      <c r="AB13" s="23">
        <f ca="1">IFERROR(__xludf.DUMMYFUNCTION("""COMPUTED_VALUE"""),257.87)</f>
        <v>257.87</v>
      </c>
      <c r="AC13" s="24">
        <f ca="1">IFERROR(__xludf.DUMMYFUNCTION("""COMPUTED_VALUE"""),44925.6666666666)</f>
        <v>44925.666666666599</v>
      </c>
      <c r="AD13" s="23">
        <f ca="1">IFERROR(__xludf.DUMMYFUNCTION("""COMPUTED_VALUE"""),105.29)</f>
        <v>105.29</v>
      </c>
      <c r="AE13" s="27"/>
      <c r="AF13" s="27"/>
      <c r="AG13" s="27"/>
      <c r="AH13" s="27"/>
      <c r="AI13" s="393"/>
      <c r="AJ13" s="393"/>
      <c r="AK13" s="27"/>
      <c r="AL13" s="393"/>
      <c r="AM13" s="393"/>
      <c r="AN13" s="393"/>
      <c r="AO13" s="393"/>
      <c r="AP13" s="393"/>
      <c r="AQ13" s="27"/>
      <c r="AR13" s="27"/>
      <c r="AS13" s="27"/>
      <c r="AT13" s="27"/>
      <c r="AU13" s="27"/>
      <c r="AV13" s="27"/>
      <c r="AW13" s="27"/>
      <c r="AX13" s="27"/>
      <c r="AY13" s="27"/>
      <c r="AZ13" s="27"/>
      <c r="BA13" s="393"/>
      <c r="BB13" s="393"/>
      <c r="BC13" s="393"/>
      <c r="BD13" s="393"/>
      <c r="BE13" s="393"/>
      <c r="BF13" s="393"/>
      <c r="BG13" s="393"/>
      <c r="BH13" s="393"/>
      <c r="BI13" s="393"/>
    </row>
    <row r="14" spans="1:61" ht="13.2">
      <c r="A14" s="47">
        <f t="shared" ref="A14:A16" si="1">1+A12</f>
        <v>6</v>
      </c>
      <c r="B14" s="1" t="s">
        <v>345</v>
      </c>
      <c r="C14" s="48" t="str">
        <f ca="1">IFERROR(__xludf.DUMMYFUNCTION("GoogleFinance(B14,""name"")"),"Smith &amp; Wesson Brands Inc")</f>
        <v>Smith &amp; Wesson Brands Inc</v>
      </c>
      <c r="D14" s="49">
        <f ca="1">IFERROR(__xludf.DUMMYFUNCTION("GoogleFinance(B14,""marketcap"")/1000000"),650.434784)</f>
        <v>650.43478400000004</v>
      </c>
      <c r="E14" s="50" t="s">
        <v>10</v>
      </c>
      <c r="F14" s="50"/>
      <c r="G14" s="52">
        <f ca="1">IFERROR(__xludf.DUMMYFUNCTION("GOOGLEFINANCE(B14)"),14.29)</f>
        <v>14.29</v>
      </c>
      <c r="H14" s="59">
        <v>12.7</v>
      </c>
      <c r="I14" s="57">
        <f ca="1">H14/G14-1</f>
        <v>-0.11126662001399579</v>
      </c>
      <c r="J14" s="50">
        <v>17</v>
      </c>
      <c r="K14" s="109">
        <f ca="1">J14/G14-1</f>
        <v>0.18964310706787968</v>
      </c>
      <c r="L14" s="11">
        <f ca="1">IFERROR(__xludf.DUMMYFUNCTION("GoogleFinance(B14,""changepct"")/100"),-0.128699999999999)</f>
        <v>-0.12869999999999901</v>
      </c>
      <c r="M14" s="11">
        <f ca="1">G14/V15-1</f>
        <v>-0.11626468769325926</v>
      </c>
      <c r="N14" s="11">
        <f ca="1">G14/X15-1</f>
        <v>-0.11297330850403475</v>
      </c>
      <c r="O14" s="11">
        <f ca="1">G14/Z15-1</f>
        <v>-0.18529076396807298</v>
      </c>
      <c r="P14" s="11">
        <f ca="1">G14/AB15-1</f>
        <v>4.3065693430657026E-2</v>
      </c>
      <c r="Q14" s="11">
        <f ca="1">G14/AD15-1</f>
        <v>0.6463133640552996</v>
      </c>
      <c r="R14" s="2"/>
      <c r="S14" s="2"/>
      <c r="T14" s="2"/>
      <c r="U14" s="2" t="str">
        <f ca="1">IFERROR(__xludf.DUMMYFUNCTION("GoogleFinance(B14,""price"",today()-7)"),"Date")</f>
        <v>Date</v>
      </c>
      <c r="V14" s="23" t="str">
        <f ca="1">IFERROR(__xludf.DUMMYFUNCTION("""COMPUTED_VALUE"""),"Close")</f>
        <v>Close</v>
      </c>
      <c r="W14" s="2" t="str">
        <f ca="1">IFERROR(__xludf.DUMMYFUNCTION("GoogleFinance(B14,""price"",today()-31)"),"Date")</f>
        <v>Date</v>
      </c>
      <c r="X14" s="23" t="str">
        <f ca="1">IFERROR(__xludf.DUMMYFUNCTION("""COMPUTED_VALUE"""),"Close")</f>
        <v>Close</v>
      </c>
      <c r="Y14" s="2" t="str">
        <f ca="1">IFERROR(__xludf.DUMMYFUNCTION("GoogleFinance(B14,""price"",today()-91)"),"Date")</f>
        <v>Date</v>
      </c>
      <c r="Z14" s="23" t="str">
        <f ca="1">IFERROR(__xludf.DUMMYFUNCTION("""COMPUTED_VALUE"""),"Close")</f>
        <v>Close</v>
      </c>
      <c r="AA14" s="2" t="str">
        <f ca="1">IFERROR(__xludf.DUMMYFUNCTION("GoogleFinance(B14,""price"",today()-182)"),"Date")</f>
        <v>Date</v>
      </c>
      <c r="AB14" s="23" t="str">
        <f ca="1">IFERROR(__xludf.DUMMYFUNCTION("""COMPUTED_VALUE"""),"Close")</f>
        <v>Close</v>
      </c>
      <c r="AC14" s="2" t="str">
        <f ca="1">IFERROR(__xludf.DUMMYFUNCTION("GoogleFinance(B14,""price"",DATE(2022,12,30))"),"Date")</f>
        <v>Date</v>
      </c>
      <c r="AD14" s="23" t="str">
        <f ca="1">IFERROR(__xludf.DUMMYFUNCTION("""COMPUTED_VALUE"""),"Close")</f>
        <v>Close</v>
      </c>
      <c r="AE14" s="5"/>
      <c r="AF14" s="5"/>
      <c r="AG14" s="5"/>
      <c r="AH14" s="5"/>
      <c r="AI14" s="393"/>
      <c r="AJ14" s="393"/>
      <c r="AK14" s="5"/>
      <c r="AL14" s="393"/>
      <c r="AM14" s="393"/>
      <c r="AN14" s="393"/>
      <c r="AO14" s="393"/>
      <c r="AP14" s="393"/>
      <c r="AQ14" s="5"/>
      <c r="AR14" s="5"/>
      <c r="AS14" s="5"/>
      <c r="AT14" s="5"/>
      <c r="AU14" s="5"/>
      <c r="AV14" s="5"/>
      <c r="AW14" s="5"/>
      <c r="AX14" s="5"/>
      <c r="AY14" s="5"/>
      <c r="AZ14" s="5"/>
      <c r="BA14" s="393"/>
      <c r="BB14" s="393"/>
      <c r="BC14" s="393"/>
      <c r="BD14" s="393"/>
      <c r="BE14" s="393"/>
      <c r="BF14" s="393"/>
      <c r="BG14" s="393"/>
      <c r="BH14" s="393"/>
      <c r="BI14" s="393"/>
    </row>
    <row r="15" spans="1:61" ht="13.2" hidden="1">
      <c r="A15" s="47">
        <f t="shared" si="1"/>
        <v>1</v>
      </c>
      <c r="B15" s="537"/>
      <c r="C15" s="538"/>
      <c r="D15" s="539"/>
      <c r="E15" s="540"/>
      <c r="F15" s="540"/>
      <c r="G15" s="99"/>
      <c r="H15" s="99"/>
      <c r="I15" s="541"/>
      <c r="J15" s="541"/>
      <c r="K15" s="541"/>
      <c r="L15" s="542"/>
      <c r="M15" s="543"/>
      <c r="N15" s="543"/>
      <c r="O15" s="543"/>
      <c r="P15" s="543"/>
      <c r="Q15" s="543"/>
      <c r="R15" s="24"/>
      <c r="S15" s="24"/>
      <c r="T15" s="24"/>
      <c r="U15" s="24">
        <f ca="1">IFERROR(__xludf.DUMMYFUNCTION("""COMPUTED_VALUE"""),45460.6666666666)</f>
        <v>45460.666666666599</v>
      </c>
      <c r="V15" s="23">
        <f ca="1">IFERROR(__xludf.DUMMYFUNCTION("""COMPUTED_VALUE"""),16.17)</f>
        <v>16.170000000000002</v>
      </c>
      <c r="W15" s="24">
        <f ca="1">IFERROR(__xludf.DUMMYFUNCTION("""COMPUTED_VALUE"""),45436.6666666666)</f>
        <v>45436.666666666599</v>
      </c>
      <c r="X15" s="23">
        <f ca="1">IFERROR(__xludf.DUMMYFUNCTION("""COMPUTED_VALUE"""),16.11)</f>
        <v>16.11</v>
      </c>
      <c r="Y15" s="24">
        <f ca="1">IFERROR(__xludf.DUMMYFUNCTION("""COMPUTED_VALUE"""),45376.6666666666)</f>
        <v>45376.666666666599</v>
      </c>
      <c r="Z15" s="23">
        <f ca="1">IFERROR(__xludf.DUMMYFUNCTION("""COMPUTED_VALUE"""),17.54)</f>
        <v>17.54</v>
      </c>
      <c r="AA15" s="24">
        <f ca="1">IFERROR(__xludf.DUMMYFUNCTION("""COMPUTED_VALUE"""),45286.6666666666)</f>
        <v>45286.666666666599</v>
      </c>
      <c r="AB15" s="23">
        <f ca="1">IFERROR(__xludf.DUMMYFUNCTION("""COMPUTED_VALUE"""),13.7)</f>
        <v>13.7</v>
      </c>
      <c r="AC15" s="24">
        <f ca="1">IFERROR(__xludf.DUMMYFUNCTION("""COMPUTED_VALUE"""),44925.6666666666)</f>
        <v>44925.666666666599</v>
      </c>
      <c r="AD15" s="23">
        <f ca="1">IFERROR(__xludf.DUMMYFUNCTION("""COMPUTED_VALUE"""),8.68)</f>
        <v>8.68</v>
      </c>
      <c r="AE15" s="27"/>
      <c r="AF15" s="27"/>
      <c r="AG15" s="27"/>
      <c r="AH15" s="27"/>
      <c r="AI15" s="393"/>
      <c r="AJ15" s="393"/>
      <c r="AK15" s="27"/>
      <c r="AL15" s="393"/>
      <c r="AM15" s="393"/>
      <c r="AN15" s="393"/>
      <c r="AO15" s="393"/>
      <c r="AP15" s="393"/>
      <c r="AQ15" s="27"/>
      <c r="AR15" s="27"/>
      <c r="AS15" s="27"/>
      <c r="AT15" s="27"/>
      <c r="AU15" s="27"/>
      <c r="AV15" s="27"/>
      <c r="AW15" s="27"/>
      <c r="AX15" s="27"/>
      <c r="AY15" s="27"/>
      <c r="AZ15" s="27"/>
      <c r="BA15" s="393"/>
      <c r="BB15" s="393"/>
      <c r="BC15" s="393"/>
      <c r="BD15" s="393"/>
      <c r="BE15" s="393"/>
      <c r="BF15" s="393"/>
      <c r="BG15" s="393"/>
      <c r="BH15" s="393"/>
      <c r="BI15" s="393"/>
    </row>
    <row r="16" spans="1:61" ht="13.2">
      <c r="A16" s="47">
        <f t="shared" si="1"/>
        <v>7</v>
      </c>
      <c r="B16" s="29" t="s">
        <v>130</v>
      </c>
      <c r="C16" s="125" t="str">
        <f ca="1">IFERROR(__xludf.DUMMYFUNCTION("GoogleFinance(B16,""name"")"),"First Trust Natural Gas ETF")</f>
        <v>First Trust Natural Gas ETF</v>
      </c>
      <c r="D16" s="126" t="str">
        <f ca="1">IFERROR(__xludf.DUMMYFUNCTION("GoogleFinance(B16,""marketcap"")/1000000"),"#N/A")</f>
        <v>#N/A</v>
      </c>
      <c r="E16" s="127" t="s">
        <v>14</v>
      </c>
      <c r="F16" s="127" t="s">
        <v>346</v>
      </c>
      <c r="G16" s="131">
        <f ca="1">IFERROR(__xludf.DUMMYFUNCTION("GOOGLEFINANCE(B16)"),25.94)</f>
        <v>25.94</v>
      </c>
      <c r="H16" s="418">
        <v>23</v>
      </c>
      <c r="I16" s="138">
        <f ca="1">H16/G16-1</f>
        <v>-0.11333847340015424</v>
      </c>
      <c r="J16" s="127">
        <v>36</v>
      </c>
      <c r="K16" s="544">
        <f ca="1">J16/G16-1</f>
        <v>0.38781804163454114</v>
      </c>
      <c r="L16" s="139">
        <f ca="1">IFERROR(__xludf.DUMMYFUNCTION("GoogleFinance(B16,""changepct"")/100"),-0.0084)</f>
        <v>-8.3999999999999995E-3</v>
      </c>
      <c r="M16" s="139">
        <f ca="1">G16/V17-1</f>
        <v>5.8162078324932587E-3</v>
      </c>
      <c r="N16" s="139">
        <f ca="1">G16/X17-1</f>
        <v>-3.4251675353685673E-2</v>
      </c>
      <c r="O16" s="139">
        <f ca="1">G16/Z17-1</f>
        <v>-3.4251675353685673E-2</v>
      </c>
      <c r="P16" s="139">
        <f ca="1">G16/AB17-1</f>
        <v>3.9679358717434887E-2</v>
      </c>
      <c r="Q16" s="139">
        <f ca="1">G16/AD17-1</f>
        <v>5.8343533251733914E-2</v>
      </c>
      <c r="R16" s="129"/>
      <c r="S16" s="129"/>
      <c r="T16" s="129"/>
      <c r="U16" s="129" t="str">
        <f ca="1">IFERROR(__xludf.DUMMYFUNCTION("GoogleFinance(B16,""price"",today()-7)"),"Date")</f>
        <v>Date</v>
      </c>
      <c r="V16" s="283" t="str">
        <f ca="1">IFERROR(__xludf.DUMMYFUNCTION("""COMPUTED_VALUE"""),"Close")</f>
        <v>Close</v>
      </c>
      <c r="W16" s="129" t="str">
        <f ca="1">IFERROR(__xludf.DUMMYFUNCTION("GoogleFinance(B16,""price"",today()-31)"),"Date")</f>
        <v>Date</v>
      </c>
      <c r="X16" s="283" t="str">
        <f ca="1">IFERROR(__xludf.DUMMYFUNCTION("""COMPUTED_VALUE"""),"Close")</f>
        <v>Close</v>
      </c>
      <c r="Y16" s="129" t="str">
        <f ca="1">IFERROR(__xludf.DUMMYFUNCTION("GoogleFinance(B16,""price"",today()-91)"),"Date")</f>
        <v>Date</v>
      </c>
      <c r="Z16" s="283" t="str">
        <f ca="1">IFERROR(__xludf.DUMMYFUNCTION("""COMPUTED_VALUE"""),"Close")</f>
        <v>Close</v>
      </c>
      <c r="AA16" s="129" t="str">
        <f ca="1">IFERROR(__xludf.DUMMYFUNCTION("GoogleFinance(B16,""price"",today()-182)"),"Date")</f>
        <v>Date</v>
      </c>
      <c r="AB16" s="283" t="str">
        <f ca="1">IFERROR(__xludf.DUMMYFUNCTION("""COMPUTED_VALUE"""),"Close")</f>
        <v>Close</v>
      </c>
      <c r="AC16" s="129" t="str">
        <f ca="1">IFERROR(__xludf.DUMMYFUNCTION("GoogleFinance(B16,""price"",DATE(2022,12,30))"),"Date")</f>
        <v>Date</v>
      </c>
      <c r="AD16" s="283" t="str">
        <f ca="1">IFERROR(__xludf.DUMMYFUNCTION("""COMPUTED_VALUE"""),"Close")</f>
        <v>Close</v>
      </c>
      <c r="AE16" s="144"/>
      <c r="AF16" s="144"/>
      <c r="AG16" s="144"/>
      <c r="AH16" s="144"/>
      <c r="AI16" s="409"/>
      <c r="AJ16" s="409"/>
      <c r="AK16" s="144"/>
      <c r="AL16" s="409"/>
      <c r="AM16" s="409"/>
      <c r="AN16" s="409"/>
      <c r="AO16" s="409"/>
      <c r="AP16" s="409"/>
      <c r="AQ16" s="144"/>
      <c r="AR16" s="144"/>
      <c r="AS16" s="144"/>
      <c r="AT16" s="144"/>
      <c r="AU16" s="144"/>
      <c r="AV16" s="144"/>
      <c r="AW16" s="144"/>
      <c r="AX16" s="144"/>
      <c r="AY16" s="144"/>
      <c r="AZ16" s="144"/>
      <c r="BA16" s="409"/>
      <c r="BB16" s="409"/>
      <c r="BC16" s="409"/>
      <c r="BD16" s="409"/>
      <c r="BE16" s="409"/>
      <c r="BF16" s="409"/>
      <c r="BG16" s="409"/>
      <c r="BH16" s="409"/>
      <c r="BI16" s="409"/>
    </row>
    <row r="17" spans="1:61" ht="13.2" hidden="1">
      <c r="A17" s="244"/>
      <c r="B17" s="537"/>
      <c r="C17" s="538"/>
      <c r="D17" s="539"/>
      <c r="E17" s="540"/>
      <c r="F17" s="540"/>
      <c r="G17" s="99"/>
      <c r="H17" s="99"/>
      <c r="I17" s="541"/>
      <c r="J17" s="541"/>
      <c r="K17" s="541"/>
      <c r="L17" s="542"/>
      <c r="M17" s="543"/>
      <c r="N17" s="543"/>
      <c r="O17" s="543"/>
      <c r="P17" s="543"/>
      <c r="Q17" s="543"/>
      <c r="R17" s="24"/>
      <c r="S17" s="24"/>
      <c r="T17" s="24"/>
      <c r="U17" s="24">
        <f ca="1">IFERROR(__xludf.DUMMYFUNCTION("""COMPUTED_VALUE"""),45460.6666666666)</f>
        <v>45460.666666666599</v>
      </c>
      <c r="V17" s="23">
        <f ca="1">IFERROR(__xludf.DUMMYFUNCTION("""COMPUTED_VALUE"""),25.79)</f>
        <v>25.79</v>
      </c>
      <c r="W17" s="24">
        <f ca="1">IFERROR(__xludf.DUMMYFUNCTION("""COMPUTED_VALUE"""),45436.6666666666)</f>
        <v>45436.666666666599</v>
      </c>
      <c r="X17" s="23">
        <f ca="1">IFERROR(__xludf.DUMMYFUNCTION("""COMPUTED_VALUE"""),26.86)</f>
        <v>26.86</v>
      </c>
      <c r="Y17" s="24">
        <f ca="1">IFERROR(__xludf.DUMMYFUNCTION("""COMPUTED_VALUE"""),45376.6666666666)</f>
        <v>45376.666666666599</v>
      </c>
      <c r="Z17" s="23">
        <f ca="1">IFERROR(__xludf.DUMMYFUNCTION("""COMPUTED_VALUE"""),26.86)</f>
        <v>26.86</v>
      </c>
      <c r="AA17" s="24">
        <f ca="1">IFERROR(__xludf.DUMMYFUNCTION("""COMPUTED_VALUE"""),45286.6666666666)</f>
        <v>45286.666666666599</v>
      </c>
      <c r="AB17" s="23">
        <f ca="1">IFERROR(__xludf.DUMMYFUNCTION("""COMPUTED_VALUE"""),24.95)</f>
        <v>24.95</v>
      </c>
      <c r="AC17" s="24">
        <f ca="1">IFERROR(__xludf.DUMMYFUNCTION("""COMPUTED_VALUE"""),44925.6666666666)</f>
        <v>44925.666666666599</v>
      </c>
      <c r="AD17" s="23">
        <f ca="1">IFERROR(__xludf.DUMMYFUNCTION("""COMPUTED_VALUE"""),24.51)</f>
        <v>24.51</v>
      </c>
      <c r="AE17" s="27"/>
      <c r="AF17" s="27"/>
      <c r="AG17" s="27"/>
      <c r="AH17" s="27"/>
      <c r="AI17" s="393"/>
      <c r="AJ17" s="393"/>
      <c r="AK17" s="27"/>
      <c r="AL17" s="393"/>
      <c r="AM17" s="393"/>
      <c r="AN17" s="393"/>
      <c r="AO17" s="393"/>
      <c r="AP17" s="393"/>
      <c r="AQ17" s="27"/>
      <c r="AR17" s="27"/>
      <c r="AS17" s="27"/>
      <c r="AT17" s="27"/>
      <c r="AU17" s="27"/>
      <c r="AV17" s="27"/>
      <c r="AW17" s="27"/>
      <c r="AX17" s="27"/>
      <c r="AY17" s="27"/>
      <c r="AZ17" s="27"/>
      <c r="BA17" s="393"/>
      <c r="BB17" s="393"/>
      <c r="BC17" s="393"/>
      <c r="BD17" s="393"/>
      <c r="BE17" s="393"/>
      <c r="BF17" s="393"/>
      <c r="BG17" s="393"/>
      <c r="BH17" s="393"/>
      <c r="BI17" s="393"/>
    </row>
    <row r="18" spans="1:61" ht="13.2">
      <c r="A18" s="146">
        <f>1+A16</f>
        <v>8</v>
      </c>
      <c r="B18" s="29" t="s">
        <v>347</v>
      </c>
      <c r="C18" s="125" t="str">
        <f ca="1">IFERROR(__xludf.DUMMYFUNCTION("GoogleFinance(B18,""name"")"),"ConocoPhillips")</f>
        <v>ConocoPhillips</v>
      </c>
      <c r="D18" s="126">
        <f ca="1">IFERROR(__xludf.DUMMYFUNCTION("GoogleFinance(B18,""marketcap"")/1000000"),129633.825776)</f>
        <v>129633.825776</v>
      </c>
      <c r="E18" s="127" t="s">
        <v>14</v>
      </c>
      <c r="F18" s="127" t="s">
        <v>346</v>
      </c>
      <c r="G18" s="131">
        <f ca="1">IFERROR(__xludf.DUMMYFUNCTION("GOOGLEFINANCE(B18)"),111.34)</f>
        <v>111.34</v>
      </c>
      <c r="H18" s="418">
        <v>107</v>
      </c>
      <c r="I18" s="138">
        <f ca="1">H18/G18-1</f>
        <v>-3.8979701814262691E-2</v>
      </c>
      <c r="J18" s="127">
        <v>170</v>
      </c>
      <c r="K18" s="544">
        <f ca="1">J18/G18-1</f>
        <v>0.52685467936051733</v>
      </c>
      <c r="L18" s="139">
        <f ca="1">IFERROR(__xludf.DUMMYFUNCTION("GoogleFinance(B18,""changepct"")/100"),0)</f>
        <v>0</v>
      </c>
      <c r="M18" s="139">
        <f ca="1">G18/V19-1</f>
        <v>1.6432353478181394E-2</v>
      </c>
      <c r="N18" s="139">
        <f ca="1">G18/X19-1</f>
        <v>-5.0405117270788891E-2</v>
      </c>
      <c r="O18" s="139">
        <f ca="1">G18/Z19-1</f>
        <v>-0.11795928067812722</v>
      </c>
      <c r="P18" s="139">
        <f ca="1">G18/AB19-1</f>
        <v>-6.4526970257099636E-2</v>
      </c>
      <c r="Q18" s="139">
        <f ca="1">G18/AD19-1</f>
        <v>-5.6440677966101638E-2</v>
      </c>
      <c r="R18" s="129"/>
      <c r="S18" s="129"/>
      <c r="T18" s="129"/>
      <c r="U18" s="129" t="str">
        <f ca="1">IFERROR(__xludf.DUMMYFUNCTION("GoogleFinance(B18,""price"",today()-7)"),"Date")</f>
        <v>Date</v>
      </c>
      <c r="V18" s="283" t="str">
        <f ca="1">IFERROR(__xludf.DUMMYFUNCTION("""COMPUTED_VALUE"""),"Close")</f>
        <v>Close</v>
      </c>
      <c r="W18" s="129" t="str">
        <f ca="1">IFERROR(__xludf.DUMMYFUNCTION("GoogleFinance(B18,""price"",today()-31)"),"Date")</f>
        <v>Date</v>
      </c>
      <c r="X18" s="283" t="str">
        <f ca="1">IFERROR(__xludf.DUMMYFUNCTION("""COMPUTED_VALUE"""),"Close")</f>
        <v>Close</v>
      </c>
      <c r="Y18" s="129" t="str">
        <f ca="1">IFERROR(__xludf.DUMMYFUNCTION("GoogleFinance(B18,""price"",today()-91)"),"Date")</f>
        <v>Date</v>
      </c>
      <c r="Z18" s="283" t="str">
        <f ca="1">IFERROR(__xludf.DUMMYFUNCTION("""COMPUTED_VALUE"""),"Close")</f>
        <v>Close</v>
      </c>
      <c r="AA18" s="129" t="str">
        <f ca="1">IFERROR(__xludf.DUMMYFUNCTION("GoogleFinance(B18,""price"",today()-182)"),"Date")</f>
        <v>Date</v>
      </c>
      <c r="AB18" s="283" t="str">
        <f ca="1">IFERROR(__xludf.DUMMYFUNCTION("""COMPUTED_VALUE"""),"Close")</f>
        <v>Close</v>
      </c>
      <c r="AC18" s="129" t="str">
        <f ca="1">IFERROR(__xludf.DUMMYFUNCTION("GoogleFinance(B18,""price"",DATE(2022,12,30))"),"Date")</f>
        <v>Date</v>
      </c>
      <c r="AD18" s="283" t="str">
        <f ca="1">IFERROR(__xludf.DUMMYFUNCTION("""COMPUTED_VALUE"""),"Close")</f>
        <v>Close</v>
      </c>
      <c r="AE18" s="144"/>
      <c r="AF18" s="144"/>
      <c r="AG18" s="144"/>
      <c r="AH18" s="144"/>
      <c r="AI18" s="409"/>
      <c r="AJ18" s="409"/>
      <c r="AK18" s="144"/>
      <c r="AL18" s="409"/>
      <c r="AM18" s="409"/>
      <c r="AN18" s="409"/>
      <c r="AO18" s="409"/>
      <c r="AP18" s="409"/>
      <c r="AQ18" s="144"/>
      <c r="AR18" s="144"/>
      <c r="AS18" s="144"/>
      <c r="AT18" s="144"/>
      <c r="AU18" s="144"/>
      <c r="AV18" s="144"/>
      <c r="AW18" s="144"/>
      <c r="AX18" s="144"/>
      <c r="AY18" s="144"/>
      <c r="AZ18" s="144"/>
      <c r="BA18" s="409"/>
      <c r="BB18" s="409"/>
      <c r="BC18" s="409"/>
      <c r="BD18" s="409"/>
      <c r="BE18" s="409"/>
      <c r="BF18" s="409"/>
      <c r="BG18" s="409"/>
      <c r="BH18" s="409"/>
      <c r="BI18" s="409"/>
    </row>
    <row r="19" spans="1:61" ht="13.2" hidden="1">
      <c r="A19" s="244"/>
      <c r="B19" s="537"/>
      <c r="C19" s="538"/>
      <c r="D19" s="539"/>
      <c r="E19" s="540"/>
      <c r="F19" s="540"/>
      <c r="G19" s="99"/>
      <c r="H19" s="99"/>
      <c r="I19" s="541"/>
      <c r="J19" s="541"/>
      <c r="K19" s="541"/>
      <c r="L19" s="542"/>
      <c r="M19" s="543"/>
      <c r="N19" s="543"/>
      <c r="O19" s="543"/>
      <c r="P19" s="543"/>
      <c r="Q19" s="543"/>
      <c r="R19" s="24"/>
      <c r="S19" s="24"/>
      <c r="T19" s="24"/>
      <c r="U19" s="24">
        <f ca="1">IFERROR(__xludf.DUMMYFUNCTION("""COMPUTED_VALUE"""),45460.6666666666)</f>
        <v>45460.666666666599</v>
      </c>
      <c r="V19" s="23">
        <f ca="1">IFERROR(__xludf.DUMMYFUNCTION("""COMPUTED_VALUE"""),109.54)</f>
        <v>109.54</v>
      </c>
      <c r="W19" s="24">
        <f ca="1">IFERROR(__xludf.DUMMYFUNCTION("""COMPUTED_VALUE"""),45436.6666666666)</f>
        <v>45436.666666666599</v>
      </c>
      <c r="X19" s="23">
        <f ca="1">IFERROR(__xludf.DUMMYFUNCTION("""COMPUTED_VALUE"""),117.25)</f>
        <v>117.25</v>
      </c>
      <c r="Y19" s="24">
        <f ca="1">IFERROR(__xludf.DUMMYFUNCTION("""COMPUTED_VALUE"""),45376.6666666666)</f>
        <v>45376.666666666599</v>
      </c>
      <c r="Z19" s="23">
        <f ca="1">IFERROR(__xludf.DUMMYFUNCTION("""COMPUTED_VALUE"""),126.23)</f>
        <v>126.23</v>
      </c>
      <c r="AA19" s="24">
        <f ca="1">IFERROR(__xludf.DUMMYFUNCTION("""COMPUTED_VALUE"""),45286.6666666666)</f>
        <v>45286.666666666599</v>
      </c>
      <c r="AB19" s="23">
        <f ca="1">IFERROR(__xludf.DUMMYFUNCTION("""COMPUTED_VALUE"""),119.02)</f>
        <v>119.02</v>
      </c>
      <c r="AC19" s="24">
        <f ca="1">IFERROR(__xludf.DUMMYFUNCTION("""COMPUTED_VALUE"""),44925.6666666666)</f>
        <v>44925.666666666599</v>
      </c>
      <c r="AD19" s="23">
        <f ca="1">IFERROR(__xludf.DUMMYFUNCTION("""COMPUTED_VALUE"""),118)</f>
        <v>118</v>
      </c>
      <c r="AE19" s="27"/>
      <c r="AF19" s="27"/>
      <c r="AG19" s="27"/>
      <c r="AH19" s="27"/>
      <c r="AI19" s="393"/>
      <c r="AJ19" s="393"/>
      <c r="AK19" s="27"/>
      <c r="AL19" s="393"/>
      <c r="AM19" s="393"/>
      <c r="AN19" s="393"/>
      <c r="AO19" s="393"/>
      <c r="AP19" s="393"/>
      <c r="AQ19" s="27"/>
      <c r="AR19" s="27"/>
      <c r="AS19" s="27"/>
      <c r="AT19" s="27"/>
      <c r="AU19" s="27"/>
      <c r="AV19" s="27"/>
      <c r="AW19" s="27"/>
      <c r="AX19" s="27"/>
      <c r="AY19" s="27"/>
      <c r="AZ19" s="27"/>
      <c r="BA19" s="393"/>
      <c r="BB19" s="393"/>
      <c r="BC19" s="393"/>
      <c r="BD19" s="393"/>
      <c r="BE19" s="393"/>
      <c r="BF19" s="393"/>
      <c r="BG19" s="393"/>
      <c r="BH19" s="393"/>
      <c r="BI19" s="393"/>
    </row>
    <row r="20" spans="1:61" ht="13.2">
      <c r="A20" s="146">
        <f>1+A18</f>
        <v>9</v>
      </c>
      <c r="B20" s="29" t="s">
        <v>348</v>
      </c>
      <c r="C20" s="125" t="str">
        <f ca="1">IFERROR(__xludf.DUMMYFUNCTION("GoogleFinance(B20,""name"")"),"Hess Corp")</f>
        <v>Hess Corp</v>
      </c>
      <c r="D20" s="126">
        <f ca="1">IFERROR(__xludf.DUMMYFUNCTION("GoogleFinance(B20,""marketcap"")/1000000"),45039.371363)</f>
        <v>45039.371362999998</v>
      </c>
      <c r="E20" s="127" t="s">
        <v>14</v>
      </c>
      <c r="F20" s="127" t="s">
        <v>346</v>
      </c>
      <c r="G20" s="131">
        <f ca="1">IFERROR(__xludf.DUMMYFUNCTION("GOOGLEFINANCE(B20)"),146.18)</f>
        <v>146.18</v>
      </c>
      <c r="H20" s="418">
        <v>146</v>
      </c>
      <c r="I20" s="138">
        <f ca="1">H20/G20-1</f>
        <v>-1.2313585989875975E-3</v>
      </c>
      <c r="J20" s="127">
        <v>180</v>
      </c>
      <c r="K20" s="544">
        <f ca="1">J20/G20-1</f>
        <v>0.23135859898754951</v>
      </c>
      <c r="L20" s="139">
        <f ca="1">IFERROR(__xludf.DUMMYFUNCTION("GoogleFinance(B20,""changepct"")/100"),0)</f>
        <v>0</v>
      </c>
      <c r="M20" s="139">
        <f ca="1">G20/V21-1</f>
        <v>1.8108371639504073E-2</v>
      </c>
      <c r="N20" s="139">
        <f ca="1">G20/X21-1</f>
        <v>-3.4414426316137003E-2</v>
      </c>
      <c r="O20" s="139">
        <f ca="1">G20/Z21-1</f>
        <v>-3.4350640771568131E-2</v>
      </c>
      <c r="P20" s="139">
        <f ca="1">G20/AB21-1</f>
        <v>-1.6483886160263639E-2</v>
      </c>
      <c r="Q20" s="139">
        <f ca="1">G20/AD21-1</f>
        <v>3.0743195600056561E-2</v>
      </c>
      <c r="R20" s="129"/>
      <c r="S20" s="129"/>
      <c r="T20" s="129"/>
      <c r="U20" s="129" t="str">
        <f ca="1">IFERROR(__xludf.DUMMYFUNCTION("GoogleFinance(B20,""price"",today()-7)"),"Date")</f>
        <v>Date</v>
      </c>
      <c r="V20" s="283" t="str">
        <f ca="1">IFERROR(__xludf.DUMMYFUNCTION("""COMPUTED_VALUE"""),"Close")</f>
        <v>Close</v>
      </c>
      <c r="W20" s="129" t="str">
        <f ca="1">IFERROR(__xludf.DUMMYFUNCTION("GoogleFinance(B20,""price"",today()-31)"),"Date")</f>
        <v>Date</v>
      </c>
      <c r="X20" s="283" t="str">
        <f ca="1">IFERROR(__xludf.DUMMYFUNCTION("""COMPUTED_VALUE"""),"Close")</f>
        <v>Close</v>
      </c>
      <c r="Y20" s="129" t="str">
        <f ca="1">IFERROR(__xludf.DUMMYFUNCTION("GoogleFinance(B20,""price"",today()-91)"),"Date")</f>
        <v>Date</v>
      </c>
      <c r="Z20" s="283" t="str">
        <f ca="1">IFERROR(__xludf.DUMMYFUNCTION("""COMPUTED_VALUE"""),"Close")</f>
        <v>Close</v>
      </c>
      <c r="AA20" s="129" t="str">
        <f ca="1">IFERROR(__xludf.DUMMYFUNCTION("GoogleFinance(B20,""price"",today()-182)"),"Date")</f>
        <v>Date</v>
      </c>
      <c r="AB20" s="283" t="str">
        <f ca="1">IFERROR(__xludf.DUMMYFUNCTION("""COMPUTED_VALUE"""),"Close")</f>
        <v>Close</v>
      </c>
      <c r="AC20" s="129" t="str">
        <f ca="1">IFERROR(__xludf.DUMMYFUNCTION("GoogleFinance(B20,""price"",DATE(2022,12,30))"),"Date")</f>
        <v>Date</v>
      </c>
      <c r="AD20" s="283" t="str">
        <f ca="1">IFERROR(__xludf.DUMMYFUNCTION("""COMPUTED_VALUE"""),"Close")</f>
        <v>Close</v>
      </c>
      <c r="AE20" s="144"/>
      <c r="AF20" s="144"/>
      <c r="AG20" s="144"/>
      <c r="AH20" s="144"/>
      <c r="AI20" s="409"/>
      <c r="AJ20" s="409"/>
      <c r="AK20" s="144"/>
      <c r="AL20" s="409"/>
      <c r="AM20" s="409"/>
      <c r="AN20" s="409"/>
      <c r="AO20" s="409"/>
      <c r="AP20" s="409"/>
      <c r="AQ20" s="144"/>
      <c r="AR20" s="144"/>
      <c r="AS20" s="144"/>
      <c r="AT20" s="144"/>
      <c r="AU20" s="144"/>
      <c r="AV20" s="144"/>
      <c r="AW20" s="144"/>
      <c r="AX20" s="144"/>
      <c r="AY20" s="144"/>
      <c r="AZ20" s="144"/>
      <c r="BA20" s="409"/>
      <c r="BB20" s="409"/>
      <c r="BC20" s="409"/>
      <c r="BD20" s="409"/>
      <c r="BE20" s="409"/>
      <c r="BF20" s="409"/>
      <c r="BG20" s="409"/>
      <c r="BH20" s="409"/>
      <c r="BI20" s="409"/>
    </row>
    <row r="21" spans="1:61" ht="13.2" hidden="1">
      <c r="A21" s="244"/>
      <c r="B21" s="537"/>
      <c r="C21" s="538"/>
      <c r="D21" s="539"/>
      <c r="E21" s="540"/>
      <c r="F21" s="540"/>
      <c r="G21" s="99"/>
      <c r="H21" s="99"/>
      <c r="I21" s="541"/>
      <c r="J21" s="541"/>
      <c r="K21" s="541"/>
      <c r="L21" s="542"/>
      <c r="M21" s="543"/>
      <c r="N21" s="543"/>
      <c r="O21" s="543"/>
      <c r="P21" s="543"/>
      <c r="Q21" s="543"/>
      <c r="R21" s="24"/>
      <c r="S21" s="24"/>
      <c r="T21" s="24"/>
      <c r="U21" s="24">
        <f ca="1">IFERROR(__xludf.DUMMYFUNCTION("""COMPUTED_VALUE"""),45460.6666666666)</f>
        <v>45460.666666666599</v>
      </c>
      <c r="V21" s="23">
        <f ca="1">IFERROR(__xludf.DUMMYFUNCTION("""COMPUTED_VALUE"""),143.58)</f>
        <v>143.58000000000001</v>
      </c>
      <c r="W21" s="24">
        <f ca="1">IFERROR(__xludf.DUMMYFUNCTION("""COMPUTED_VALUE"""),45436.6666666666)</f>
        <v>45436.666666666599</v>
      </c>
      <c r="X21" s="23">
        <f ca="1">IFERROR(__xludf.DUMMYFUNCTION("""COMPUTED_VALUE"""),151.39)</f>
        <v>151.38999999999999</v>
      </c>
      <c r="Y21" s="24">
        <f ca="1">IFERROR(__xludf.DUMMYFUNCTION("""COMPUTED_VALUE"""),45376.6666666666)</f>
        <v>45376.666666666599</v>
      </c>
      <c r="Z21" s="23">
        <f ca="1">IFERROR(__xludf.DUMMYFUNCTION("""COMPUTED_VALUE"""),151.38)</f>
        <v>151.38</v>
      </c>
      <c r="AA21" s="24">
        <f ca="1">IFERROR(__xludf.DUMMYFUNCTION("""COMPUTED_VALUE"""),45286.6666666666)</f>
        <v>45286.666666666599</v>
      </c>
      <c r="AB21" s="23">
        <f ca="1">IFERROR(__xludf.DUMMYFUNCTION("""COMPUTED_VALUE"""),148.63)</f>
        <v>148.63</v>
      </c>
      <c r="AC21" s="24">
        <f ca="1">IFERROR(__xludf.DUMMYFUNCTION("""COMPUTED_VALUE"""),44925.6666666666)</f>
        <v>44925.666666666599</v>
      </c>
      <c r="AD21" s="23">
        <f ca="1">IFERROR(__xludf.DUMMYFUNCTION("""COMPUTED_VALUE"""),141.82)</f>
        <v>141.82</v>
      </c>
      <c r="AE21" s="27"/>
      <c r="AF21" s="27"/>
      <c r="AG21" s="27"/>
      <c r="AH21" s="27"/>
      <c r="AI21" s="393"/>
      <c r="AJ21" s="393"/>
      <c r="AK21" s="27"/>
      <c r="AL21" s="393"/>
      <c r="AM21" s="393"/>
      <c r="AN21" s="393"/>
      <c r="AO21" s="393"/>
      <c r="AP21" s="393"/>
      <c r="AQ21" s="27"/>
      <c r="AR21" s="27"/>
      <c r="AS21" s="27"/>
      <c r="AT21" s="27"/>
      <c r="AU21" s="27"/>
      <c r="AV21" s="27"/>
      <c r="AW21" s="27"/>
      <c r="AX21" s="27"/>
      <c r="AY21" s="27"/>
      <c r="AZ21" s="27"/>
      <c r="BA21" s="393"/>
      <c r="BB21" s="393"/>
      <c r="BC21" s="393"/>
      <c r="BD21" s="393"/>
      <c r="BE21" s="393"/>
      <c r="BF21" s="393"/>
      <c r="BG21" s="393"/>
      <c r="BH21" s="393"/>
      <c r="BI21" s="393"/>
    </row>
    <row r="22" spans="1:61" ht="13.2">
      <c r="A22" s="146">
        <f>1+A20</f>
        <v>10</v>
      </c>
      <c r="B22" s="29" t="s">
        <v>349</v>
      </c>
      <c r="C22" s="125" t="str">
        <f ca="1">IFERROR(__xludf.DUMMYFUNCTION("GoogleFinance(B22,""name"")"),"Teucrium Soybean Fund")</f>
        <v>Teucrium Soybean Fund</v>
      </c>
      <c r="D22" s="126" t="str">
        <f ca="1">IFERROR(__xludf.DUMMYFUNCTION("GoogleFinance(B22,""marketcap"")/1000000"),"#N/A")</f>
        <v>#N/A</v>
      </c>
      <c r="E22" s="127" t="s">
        <v>25</v>
      </c>
      <c r="F22" s="127" t="s">
        <v>350</v>
      </c>
      <c r="G22" s="131">
        <f ca="1">IFERROR(__xludf.DUMMYFUNCTION("GOOGLEFINANCE(B22)"),23.97)</f>
        <v>23.97</v>
      </c>
      <c r="H22" s="418">
        <v>23.5</v>
      </c>
      <c r="I22" s="138">
        <f ca="1">H22/G22-1</f>
        <v>-1.9607843137254832E-2</v>
      </c>
      <c r="J22" s="127">
        <v>35</v>
      </c>
      <c r="K22" s="544">
        <f ca="1">J22/G22-1</f>
        <v>0.46015853149770547</v>
      </c>
      <c r="L22" s="139">
        <f ca="1">IFERROR(__xludf.DUMMYFUNCTION("GoogleFinance(B22,""changepct"")/100"),-0.0004)</f>
        <v>-4.0000000000000002E-4</v>
      </c>
      <c r="M22" s="139">
        <f ca="1">G22/V23-1</f>
        <v>-5.806719203649946E-3</v>
      </c>
      <c r="N22" s="139">
        <f ca="1">G22/X23-1</f>
        <v>-7.3085846867749438E-2</v>
      </c>
      <c r="O22" s="139">
        <f ca="1">G22/Z23-1</f>
        <v>-5.5183287347260634E-2</v>
      </c>
      <c r="P22" s="139">
        <f ca="1">G22/AB23-1</f>
        <v>-0.12772925764192145</v>
      </c>
      <c r="Q22" s="139">
        <f ca="1">G22/AD23-1</f>
        <v>-0.15894736842105273</v>
      </c>
      <c r="R22" s="129"/>
      <c r="S22" s="129"/>
      <c r="T22" s="129"/>
      <c r="U22" s="129" t="str">
        <f ca="1">IFERROR(__xludf.DUMMYFUNCTION("GoogleFinance(B22,""price"",today()-7)"),"Date")</f>
        <v>Date</v>
      </c>
      <c r="V22" s="283" t="str">
        <f ca="1">IFERROR(__xludf.DUMMYFUNCTION("""COMPUTED_VALUE"""),"Close")</f>
        <v>Close</v>
      </c>
      <c r="W22" s="129" t="str">
        <f ca="1">IFERROR(__xludf.DUMMYFUNCTION("GoogleFinance(B22,""price"",today()-31)"),"Date")</f>
        <v>Date</v>
      </c>
      <c r="X22" s="283" t="str">
        <f ca="1">IFERROR(__xludf.DUMMYFUNCTION("""COMPUTED_VALUE"""),"Close")</f>
        <v>Close</v>
      </c>
      <c r="Y22" s="129" t="str">
        <f ca="1">IFERROR(__xludf.DUMMYFUNCTION("GoogleFinance(B22,""price"",today()-91)"),"Date")</f>
        <v>Date</v>
      </c>
      <c r="Z22" s="283" t="str">
        <f ca="1">IFERROR(__xludf.DUMMYFUNCTION("""COMPUTED_VALUE"""),"Close")</f>
        <v>Close</v>
      </c>
      <c r="AA22" s="129" t="str">
        <f ca="1">IFERROR(__xludf.DUMMYFUNCTION("GoogleFinance(B22,""price"",today()-182)"),"Date")</f>
        <v>Date</v>
      </c>
      <c r="AB22" s="283" t="str">
        <f ca="1">IFERROR(__xludf.DUMMYFUNCTION("""COMPUTED_VALUE"""),"Close")</f>
        <v>Close</v>
      </c>
      <c r="AC22" s="129" t="str">
        <f ca="1">IFERROR(__xludf.DUMMYFUNCTION("GoogleFinance(B22,""price"",DATE(2022,12,30))"),"Date")</f>
        <v>Date</v>
      </c>
      <c r="AD22" s="283" t="str">
        <f ca="1">IFERROR(__xludf.DUMMYFUNCTION("""COMPUTED_VALUE"""),"Close")</f>
        <v>Close</v>
      </c>
      <c r="AE22" s="144"/>
      <c r="AF22" s="144"/>
      <c r="AG22" s="144"/>
      <c r="AH22" s="144"/>
      <c r="AI22" s="409"/>
      <c r="AJ22" s="409"/>
      <c r="AK22" s="144"/>
      <c r="AL22" s="409"/>
      <c r="AM22" s="409"/>
      <c r="AN22" s="409"/>
      <c r="AO22" s="409"/>
      <c r="AP22" s="409"/>
      <c r="AQ22" s="144"/>
      <c r="AR22" s="144"/>
      <c r="AS22" s="144"/>
      <c r="AT22" s="144"/>
      <c r="AU22" s="144"/>
      <c r="AV22" s="144"/>
      <c r="AW22" s="144"/>
      <c r="AX22" s="144"/>
      <c r="AY22" s="144"/>
      <c r="AZ22" s="144"/>
      <c r="BA22" s="409"/>
      <c r="BB22" s="409"/>
      <c r="BC22" s="409"/>
      <c r="BD22" s="409"/>
      <c r="BE22" s="409"/>
      <c r="BF22" s="409"/>
      <c r="BG22" s="409"/>
      <c r="BH22" s="409"/>
      <c r="BI22" s="409"/>
    </row>
    <row r="23" spans="1:61" ht="13.2">
      <c r="A23" s="244"/>
      <c r="B23" s="537"/>
      <c r="C23" s="538"/>
      <c r="D23" s="539"/>
      <c r="E23" s="540"/>
      <c r="F23" s="540"/>
      <c r="G23" s="99"/>
      <c r="H23" s="99"/>
      <c r="I23" s="541"/>
      <c r="J23" s="541"/>
      <c r="K23" s="541"/>
      <c r="L23" s="542"/>
      <c r="M23" s="543"/>
      <c r="N23" s="543"/>
      <c r="O23" s="543"/>
      <c r="P23" s="543"/>
      <c r="Q23" s="543"/>
      <c r="R23" s="24"/>
      <c r="S23" s="24"/>
      <c r="T23" s="24"/>
      <c r="U23" s="24">
        <f ca="1">IFERROR(__xludf.DUMMYFUNCTION("""COMPUTED_VALUE"""),45460.6666666666)</f>
        <v>45460.666666666599</v>
      </c>
      <c r="V23" s="23">
        <f ca="1">IFERROR(__xludf.DUMMYFUNCTION("""COMPUTED_VALUE"""),24.11)</f>
        <v>24.11</v>
      </c>
      <c r="W23" s="24">
        <f ca="1">IFERROR(__xludf.DUMMYFUNCTION("""COMPUTED_VALUE"""),45436.6666666666)</f>
        <v>45436.666666666599</v>
      </c>
      <c r="X23" s="23">
        <f ca="1">IFERROR(__xludf.DUMMYFUNCTION("""COMPUTED_VALUE"""),25.86)</f>
        <v>25.86</v>
      </c>
      <c r="Y23" s="24">
        <f ca="1">IFERROR(__xludf.DUMMYFUNCTION("""COMPUTED_VALUE"""),45376.6666666666)</f>
        <v>45376.666666666599</v>
      </c>
      <c r="Z23" s="23">
        <f ca="1">IFERROR(__xludf.DUMMYFUNCTION("""COMPUTED_VALUE"""),25.37)</f>
        <v>25.37</v>
      </c>
      <c r="AA23" s="24">
        <f ca="1">IFERROR(__xludf.DUMMYFUNCTION("""COMPUTED_VALUE"""),45286.6666666666)</f>
        <v>45286.666666666599</v>
      </c>
      <c r="AB23" s="23">
        <f ca="1">IFERROR(__xludf.DUMMYFUNCTION("""COMPUTED_VALUE"""),27.48)</f>
        <v>27.48</v>
      </c>
      <c r="AC23" s="24">
        <f ca="1">IFERROR(__xludf.DUMMYFUNCTION("""COMPUTED_VALUE"""),44925.6666666666)</f>
        <v>44925.666666666599</v>
      </c>
      <c r="AD23" s="23">
        <f ca="1">IFERROR(__xludf.DUMMYFUNCTION("""COMPUTED_VALUE"""),28.5)</f>
        <v>28.5</v>
      </c>
      <c r="AE23" s="27"/>
      <c r="AF23" s="27"/>
      <c r="AG23" s="27"/>
      <c r="AH23" s="27"/>
      <c r="AI23" s="393"/>
      <c r="AJ23" s="393"/>
      <c r="AK23" s="27"/>
      <c r="AL23" s="393"/>
      <c r="AM23" s="393"/>
      <c r="AN23" s="393"/>
      <c r="AO23" s="393"/>
      <c r="AP23" s="393"/>
      <c r="AQ23" s="27"/>
      <c r="AR23" s="27"/>
      <c r="AS23" s="27"/>
      <c r="AT23" s="27"/>
      <c r="AU23" s="27"/>
      <c r="AV23" s="27"/>
      <c r="AW23" s="27"/>
      <c r="AX23" s="27"/>
      <c r="AY23" s="27"/>
      <c r="AZ23" s="27"/>
      <c r="BA23" s="393"/>
      <c r="BB23" s="393"/>
      <c r="BC23" s="393"/>
      <c r="BD23" s="393"/>
      <c r="BE23" s="393"/>
      <c r="BF23" s="393"/>
      <c r="BG23" s="393"/>
      <c r="BH23" s="393"/>
      <c r="BI23" s="393"/>
    </row>
    <row r="24" spans="1:61" ht="13.2">
      <c r="A24" s="244"/>
      <c r="B24" s="352" t="s">
        <v>351</v>
      </c>
      <c r="C24" s="353"/>
      <c r="D24" s="354"/>
      <c r="E24" s="355"/>
      <c r="F24" s="355"/>
      <c r="G24" s="356"/>
      <c r="H24" s="356"/>
      <c r="I24" s="356"/>
      <c r="J24" s="356"/>
      <c r="K24" s="356"/>
      <c r="L24" s="356"/>
      <c r="M24" s="356"/>
      <c r="N24" s="356"/>
      <c r="O24" s="356"/>
      <c r="P24" s="356"/>
      <c r="Q24" s="356"/>
      <c r="R24" s="24"/>
      <c r="S24" s="24"/>
      <c r="T24" s="24"/>
      <c r="U24" s="24"/>
      <c r="V24" s="30"/>
      <c r="W24" s="24"/>
      <c r="X24" s="30"/>
      <c r="Y24" s="24"/>
      <c r="Z24" s="30"/>
      <c r="AA24" s="24"/>
      <c r="AB24" s="30"/>
      <c r="AC24" s="24"/>
      <c r="AD24" s="30"/>
      <c r="AE24" s="27"/>
      <c r="AF24" s="27"/>
      <c r="AG24" s="27"/>
      <c r="AH24" s="27"/>
      <c r="AK24" s="27"/>
      <c r="AQ24" s="27"/>
      <c r="AR24" s="27"/>
      <c r="AS24" s="27"/>
      <c r="AT24" s="27"/>
      <c r="AU24" s="27"/>
      <c r="AV24" s="27"/>
      <c r="AW24" s="27"/>
      <c r="AX24" s="27"/>
      <c r="AY24" s="27"/>
      <c r="AZ24" s="27"/>
    </row>
    <row r="25" spans="1:61" ht="13.2">
      <c r="A25" s="47">
        <v>1</v>
      </c>
      <c r="B25" s="1" t="s">
        <v>352</v>
      </c>
      <c r="C25" s="48" t="str">
        <f ca="1">IFERROR(__xludf.DUMMYFUNCTION("GoogleFinance(B25,""name"")"),"Equinor ASA")</f>
        <v>Equinor ASA</v>
      </c>
      <c r="D25" s="49">
        <f ca="1">IFERROR(__xludf.DUMMYFUNCTION("GoogleFinance(B25,""marketcap"")/1000000"),83346.330346)</f>
        <v>83346.330346000002</v>
      </c>
      <c r="E25" s="50" t="s">
        <v>14</v>
      </c>
      <c r="F25" s="50" t="s">
        <v>126</v>
      </c>
      <c r="G25" s="52">
        <f ca="1">IFERROR(__xludf.DUMMYFUNCTION("GOOGLEFINANCE(B25)"),27.52)</f>
        <v>27.52</v>
      </c>
      <c r="H25" s="59">
        <v>30.2</v>
      </c>
      <c r="I25" s="57">
        <f ca="1">H25/G25-1</f>
        <v>9.738372093023262E-2</v>
      </c>
      <c r="J25" s="50">
        <v>37</v>
      </c>
      <c r="K25" s="109">
        <f ca="1">J25/G25-1</f>
        <v>0.34447674418604657</v>
      </c>
      <c r="L25" s="11">
        <f ca="1">IFERROR(__xludf.DUMMYFUNCTION("GoogleFinance(B25,""changepct"")/100"),0)</f>
        <v>0</v>
      </c>
      <c r="M25" s="11">
        <f ca="1">G25/V26-1</f>
        <v>1.737523105360439E-2</v>
      </c>
      <c r="N25" s="11">
        <f ca="1">G25/X26-1</f>
        <v>-2.8934368383909725E-2</v>
      </c>
      <c r="O25" s="11">
        <f ca="1">G25/Z26-1</f>
        <v>1.2136815005516777E-2</v>
      </c>
      <c r="P25" s="11">
        <f ca="1">G25/AB26-1</f>
        <v>-0.14693118412895223</v>
      </c>
      <c r="Q25" s="11">
        <f ca="1">G25/AD26-1</f>
        <v>-0.2314995811225915</v>
      </c>
      <c r="R25" s="2"/>
      <c r="S25" s="2"/>
      <c r="T25" s="2"/>
      <c r="U25" s="2" t="str">
        <f ca="1">IFERROR(__xludf.DUMMYFUNCTION("GoogleFinance(B25,""price"",today()-7)"),"Date")</f>
        <v>Date</v>
      </c>
      <c r="V25" s="30" t="str">
        <f ca="1">IFERROR(__xludf.DUMMYFUNCTION("""COMPUTED_VALUE"""),"Close")</f>
        <v>Close</v>
      </c>
      <c r="W25" s="2" t="str">
        <f ca="1">IFERROR(__xludf.DUMMYFUNCTION("GoogleFinance(B25,""price"",today()-31)"),"Date")</f>
        <v>Date</v>
      </c>
      <c r="X25" s="30" t="str">
        <f ca="1">IFERROR(__xludf.DUMMYFUNCTION("""COMPUTED_VALUE"""),"Close")</f>
        <v>Close</v>
      </c>
      <c r="Y25" s="2" t="str">
        <f ca="1">IFERROR(__xludf.DUMMYFUNCTION("GoogleFinance(B25,""price"",today()-91)"),"Date")</f>
        <v>Date</v>
      </c>
      <c r="Z25" s="30" t="str">
        <f ca="1">IFERROR(__xludf.DUMMYFUNCTION("""COMPUTED_VALUE"""),"Close")</f>
        <v>Close</v>
      </c>
      <c r="AA25" s="2" t="str">
        <f ca="1">IFERROR(__xludf.DUMMYFUNCTION("GoogleFinance(B25,""price"",today()-182)"),"Date")</f>
        <v>Date</v>
      </c>
      <c r="AB25" s="30" t="str">
        <f ca="1">IFERROR(__xludf.DUMMYFUNCTION("""COMPUTED_VALUE"""),"Close")</f>
        <v>Close</v>
      </c>
      <c r="AC25" s="2" t="str">
        <f ca="1">IFERROR(__xludf.DUMMYFUNCTION("GoogleFinance(B25,""price"",DATE(2022,12,30))"),"Date")</f>
        <v>Date</v>
      </c>
      <c r="AD25" s="30" t="str">
        <f ca="1">IFERROR(__xludf.DUMMYFUNCTION("""COMPUTED_VALUE"""),"Close")</f>
        <v>Close</v>
      </c>
      <c r="AE25" s="5"/>
      <c r="AF25" s="5"/>
      <c r="AG25" s="5"/>
      <c r="AH25" s="5"/>
      <c r="AK25" s="5"/>
      <c r="AQ25" s="5"/>
      <c r="AR25" s="5"/>
      <c r="AS25" s="5"/>
      <c r="AT25" s="5"/>
      <c r="AU25" s="5"/>
      <c r="AV25" s="5"/>
      <c r="AW25" s="5"/>
      <c r="AX25" s="5"/>
      <c r="AY25" s="5"/>
      <c r="AZ25" s="5"/>
    </row>
    <row r="26" spans="1:61" ht="13.2" hidden="1">
      <c r="A26" s="47" t="e">
        <f>1+#REF!</f>
        <v>#REF!</v>
      </c>
      <c r="B26" s="399"/>
      <c r="C26" s="400"/>
      <c r="D26" s="399"/>
      <c r="E26" s="399"/>
      <c r="F26" s="399"/>
      <c r="G26" s="401"/>
      <c r="H26" s="401"/>
      <c r="I26" s="404"/>
      <c r="J26" s="404"/>
      <c r="K26" s="404"/>
      <c r="L26" s="405"/>
      <c r="M26" s="399"/>
      <c r="N26" s="399"/>
      <c r="O26" s="399"/>
      <c r="P26" s="399"/>
      <c r="Q26" s="399"/>
      <c r="R26" s="24"/>
      <c r="S26" s="24"/>
      <c r="T26" s="24"/>
      <c r="U26" s="24">
        <f ca="1">IFERROR(__xludf.DUMMYFUNCTION("""COMPUTED_VALUE"""),45460.6666666666)</f>
        <v>45460.666666666599</v>
      </c>
      <c r="V26" s="23">
        <f ca="1">IFERROR(__xludf.DUMMYFUNCTION("""COMPUTED_VALUE"""),27.05)</f>
        <v>27.05</v>
      </c>
      <c r="W26" s="24">
        <f ca="1">IFERROR(__xludf.DUMMYFUNCTION("""COMPUTED_VALUE"""),45436.6666666666)</f>
        <v>45436.666666666599</v>
      </c>
      <c r="X26" s="23">
        <f ca="1">IFERROR(__xludf.DUMMYFUNCTION("""COMPUTED_VALUE"""),28.34)</f>
        <v>28.34</v>
      </c>
      <c r="Y26" s="24">
        <f ca="1">IFERROR(__xludf.DUMMYFUNCTION("""COMPUTED_VALUE"""),45376.6666666666)</f>
        <v>45376.666666666599</v>
      </c>
      <c r="Z26" s="23">
        <f ca="1">IFERROR(__xludf.DUMMYFUNCTION("""COMPUTED_VALUE"""),27.19)</f>
        <v>27.19</v>
      </c>
      <c r="AA26" s="24">
        <f ca="1">IFERROR(__xludf.DUMMYFUNCTION("""COMPUTED_VALUE"""),45286.6666666666)</f>
        <v>45286.666666666599</v>
      </c>
      <c r="AB26" s="23">
        <f ca="1">IFERROR(__xludf.DUMMYFUNCTION("""COMPUTED_VALUE"""),32.26)</f>
        <v>32.26</v>
      </c>
      <c r="AC26" s="24">
        <f ca="1">IFERROR(__xludf.DUMMYFUNCTION("""COMPUTED_VALUE"""),44925.6666666666)</f>
        <v>44925.666666666599</v>
      </c>
      <c r="AD26" s="23">
        <f ca="1">IFERROR(__xludf.DUMMYFUNCTION("""COMPUTED_VALUE"""),35.81)</f>
        <v>35.81</v>
      </c>
      <c r="AE26" s="27"/>
      <c r="AF26" s="27"/>
      <c r="AG26" s="27"/>
      <c r="AH26" s="27"/>
      <c r="AI26" s="393"/>
      <c r="AJ26" s="393"/>
      <c r="AK26" s="27"/>
      <c r="AL26" s="393"/>
      <c r="AM26" s="393"/>
      <c r="AN26" s="393"/>
      <c r="AO26" s="393"/>
      <c r="AP26" s="393"/>
      <c r="AQ26" s="27"/>
      <c r="AR26" s="27"/>
      <c r="AS26" s="27"/>
      <c r="AT26" s="27"/>
      <c r="AU26" s="27"/>
      <c r="AV26" s="27"/>
      <c r="AW26" s="27"/>
      <c r="AX26" s="27"/>
      <c r="AY26" s="27"/>
      <c r="AZ26" s="27"/>
      <c r="BA26" s="393"/>
      <c r="BB26" s="393"/>
      <c r="BC26" s="393"/>
      <c r="BD26" s="393"/>
      <c r="BE26" s="393"/>
      <c r="BF26" s="393"/>
      <c r="BG26" s="393"/>
      <c r="BH26" s="393"/>
      <c r="BI26" s="393"/>
    </row>
    <row r="27" spans="1:61" ht="13.2">
      <c r="A27" s="47">
        <f t="shared" ref="A27:A33" si="2">1+A25</f>
        <v>2</v>
      </c>
      <c r="B27" s="1" t="s">
        <v>353</v>
      </c>
      <c r="C27" s="48" t="str">
        <f ca="1">IFERROR(__xludf.DUMMYFUNCTION("GoogleFinance(B27,""name"")"),"Consol Energy Inc")</f>
        <v>Consol Energy Inc</v>
      </c>
      <c r="D27" s="49">
        <f ca="1">IFERROR(__xludf.DUMMYFUNCTION("GoogleFinance(B27,""marketcap"")/1000000"),2847.109359)</f>
        <v>2847.109359</v>
      </c>
      <c r="E27" s="50" t="s">
        <v>14</v>
      </c>
      <c r="F27" s="50" t="s">
        <v>354</v>
      </c>
      <c r="G27" s="52">
        <f ca="1">IFERROR(__xludf.DUMMYFUNCTION("GOOGLEFINANCE(B27)"),96.88)</f>
        <v>96.88</v>
      </c>
      <c r="H27" s="59">
        <v>90</v>
      </c>
      <c r="I27" s="57">
        <f ca="1">H27/G27-1</f>
        <v>-7.101568951279924E-2</v>
      </c>
      <c r="J27" s="50">
        <v>130</v>
      </c>
      <c r="K27" s="109">
        <f ca="1">J27/G27-1</f>
        <v>0.34186622625928997</v>
      </c>
      <c r="L27" s="11">
        <f ca="1">IFERROR(__xludf.DUMMYFUNCTION("GoogleFinance(B27,""changepct"")/100"),0)</f>
        <v>0</v>
      </c>
      <c r="M27" s="11">
        <f ca="1">G27/V28-1</f>
        <v>1.2012953097252588E-2</v>
      </c>
      <c r="N27" s="11">
        <f ca="1">G27/X28-1</f>
        <v>-1.3400680342233739E-3</v>
      </c>
      <c r="O27" s="11">
        <f ca="1">G27/Z28-1</f>
        <v>0.12194557035321374</v>
      </c>
      <c r="P27" s="11">
        <f ca="1">G27/AB28-1</f>
        <v>-6.468430198880093E-2</v>
      </c>
      <c r="Q27" s="11">
        <f ca="1">G27/AD28-1</f>
        <v>0.49046153846153828</v>
      </c>
      <c r="R27" s="2"/>
      <c r="S27" s="2"/>
      <c r="T27" s="2"/>
      <c r="U27" s="2" t="str">
        <f ca="1">IFERROR(__xludf.DUMMYFUNCTION("GoogleFinance(B27,""price"",today()-7)"),"Date")</f>
        <v>Date</v>
      </c>
      <c r="V27" s="30" t="str">
        <f ca="1">IFERROR(__xludf.DUMMYFUNCTION("""COMPUTED_VALUE"""),"Close")</f>
        <v>Close</v>
      </c>
      <c r="W27" s="2" t="str">
        <f ca="1">IFERROR(__xludf.DUMMYFUNCTION("GoogleFinance(B27,""price"",today()-31)"),"Date")</f>
        <v>Date</v>
      </c>
      <c r="X27" s="30" t="str">
        <f ca="1">IFERROR(__xludf.DUMMYFUNCTION("""COMPUTED_VALUE"""),"Close")</f>
        <v>Close</v>
      </c>
      <c r="Y27" s="2" t="str">
        <f ca="1">IFERROR(__xludf.DUMMYFUNCTION("GoogleFinance(B27,""price"",today()-91)"),"Date")</f>
        <v>Date</v>
      </c>
      <c r="Z27" s="30" t="str">
        <f ca="1">IFERROR(__xludf.DUMMYFUNCTION("""COMPUTED_VALUE"""),"Close")</f>
        <v>Close</v>
      </c>
      <c r="AA27" s="2" t="str">
        <f ca="1">IFERROR(__xludf.DUMMYFUNCTION("GoogleFinance(B27,""price"",today()-182)"),"Date")</f>
        <v>Date</v>
      </c>
      <c r="AB27" s="30" t="str">
        <f ca="1">IFERROR(__xludf.DUMMYFUNCTION("""COMPUTED_VALUE"""),"Close")</f>
        <v>Close</v>
      </c>
      <c r="AC27" s="2" t="str">
        <f ca="1">IFERROR(__xludf.DUMMYFUNCTION("GoogleFinance(B27,""price"",DATE(2022,12,30))"),"Date")</f>
        <v>Date</v>
      </c>
      <c r="AD27" s="30" t="str">
        <f ca="1">IFERROR(__xludf.DUMMYFUNCTION("""COMPUTED_VALUE"""),"Close")</f>
        <v>Close</v>
      </c>
      <c r="AE27" s="5"/>
      <c r="AF27" s="5"/>
      <c r="AG27" s="5"/>
      <c r="AH27" s="5"/>
      <c r="AK27" s="5"/>
      <c r="AQ27" s="5"/>
      <c r="AR27" s="5"/>
      <c r="AS27" s="5"/>
      <c r="AT27" s="5"/>
      <c r="AU27" s="5"/>
      <c r="AV27" s="5"/>
      <c r="AW27" s="5"/>
      <c r="AX27" s="5"/>
      <c r="AY27" s="5"/>
      <c r="AZ27" s="5"/>
    </row>
    <row r="28" spans="1:61" ht="13.2" hidden="1">
      <c r="A28" s="47" t="e">
        <f t="shared" si="2"/>
        <v>#REF!</v>
      </c>
      <c r="B28" s="385"/>
      <c r="C28" s="386"/>
      <c r="D28" s="385"/>
      <c r="E28" s="385"/>
      <c r="F28" s="385"/>
      <c r="G28" s="387"/>
      <c r="H28" s="387"/>
      <c r="I28" s="389"/>
      <c r="J28" s="389"/>
      <c r="K28" s="389"/>
      <c r="L28" s="390"/>
      <c r="M28" s="385"/>
      <c r="N28" s="385"/>
      <c r="O28" s="385"/>
      <c r="P28" s="385"/>
      <c r="Q28" s="385"/>
      <c r="R28" s="24"/>
      <c r="S28" s="24"/>
      <c r="T28" s="24"/>
      <c r="U28" s="24">
        <f ca="1">IFERROR(__xludf.DUMMYFUNCTION("""COMPUTED_VALUE"""),45460.6666666666)</f>
        <v>45460.666666666599</v>
      </c>
      <c r="V28" s="23">
        <f ca="1">IFERROR(__xludf.DUMMYFUNCTION("""COMPUTED_VALUE"""),95.73)</f>
        <v>95.73</v>
      </c>
      <c r="W28" s="24">
        <f ca="1">IFERROR(__xludf.DUMMYFUNCTION("""COMPUTED_VALUE"""),45436.6666666666)</f>
        <v>45436.666666666599</v>
      </c>
      <c r="X28" s="23">
        <f ca="1">IFERROR(__xludf.DUMMYFUNCTION("""COMPUTED_VALUE"""),97.01)</f>
        <v>97.01</v>
      </c>
      <c r="Y28" s="24">
        <f ca="1">IFERROR(__xludf.DUMMYFUNCTION("""COMPUTED_VALUE"""),45376.6666666666)</f>
        <v>45376.666666666599</v>
      </c>
      <c r="Z28" s="23">
        <f ca="1">IFERROR(__xludf.DUMMYFUNCTION("""COMPUTED_VALUE"""),86.35)</f>
        <v>86.35</v>
      </c>
      <c r="AA28" s="24">
        <f ca="1">IFERROR(__xludf.DUMMYFUNCTION("""COMPUTED_VALUE"""),45286.6666666666)</f>
        <v>45286.666666666599</v>
      </c>
      <c r="AB28" s="23">
        <f ca="1">IFERROR(__xludf.DUMMYFUNCTION("""COMPUTED_VALUE"""),103.58)</f>
        <v>103.58</v>
      </c>
      <c r="AC28" s="24">
        <f ca="1">IFERROR(__xludf.DUMMYFUNCTION("""COMPUTED_VALUE"""),44925.6666666666)</f>
        <v>44925.666666666599</v>
      </c>
      <c r="AD28" s="23">
        <f ca="1">IFERROR(__xludf.DUMMYFUNCTION("""COMPUTED_VALUE"""),65)</f>
        <v>65</v>
      </c>
      <c r="AE28" s="27"/>
      <c r="AF28" s="27"/>
      <c r="AG28" s="27"/>
      <c r="AH28" s="27"/>
      <c r="AI28" s="393"/>
      <c r="AJ28" s="393"/>
      <c r="AK28" s="27"/>
      <c r="AL28" s="393"/>
      <c r="AM28" s="393"/>
      <c r="AN28" s="393"/>
      <c r="AO28" s="393"/>
      <c r="AP28" s="393"/>
      <c r="AQ28" s="27"/>
      <c r="AR28" s="27"/>
      <c r="AS28" s="27"/>
      <c r="AT28" s="27"/>
      <c r="AU28" s="27"/>
      <c r="AV28" s="27"/>
      <c r="AW28" s="27"/>
      <c r="AX28" s="27"/>
      <c r="AY28" s="27"/>
      <c r="AZ28" s="27"/>
      <c r="BA28" s="393"/>
      <c r="BB28" s="393"/>
      <c r="BC28" s="393"/>
      <c r="BD28" s="393"/>
      <c r="BE28" s="393"/>
      <c r="BF28" s="393"/>
      <c r="BG28" s="393"/>
      <c r="BH28" s="393"/>
      <c r="BI28" s="393"/>
    </row>
    <row r="29" spans="1:61" ht="13.2">
      <c r="A29" s="47">
        <f t="shared" si="2"/>
        <v>3</v>
      </c>
      <c r="B29" s="1" t="s">
        <v>319</v>
      </c>
      <c r="C29" s="48" t="str">
        <f ca="1">IFERROR(__xludf.DUMMYFUNCTION("GoogleFinance(B29,""name"")"),"Propetro Holding Corp")</f>
        <v>Propetro Holding Corp</v>
      </c>
      <c r="D29" s="49">
        <f ca="1">IFERROR(__xludf.DUMMYFUNCTION("GoogleFinance(B29,""marketcap"")/1000000"),902.339645)</f>
        <v>902.33964500000002</v>
      </c>
      <c r="E29" s="50" t="s">
        <v>14</v>
      </c>
      <c r="F29" s="50" t="s">
        <v>117</v>
      </c>
      <c r="G29" s="52">
        <f ca="1">IFERROR(__xludf.DUMMYFUNCTION("GOOGLEFINANCE(B29)"),8.43)</f>
        <v>8.43</v>
      </c>
      <c r="H29" s="59">
        <v>9.8000000000000007</v>
      </c>
      <c r="I29" s="57">
        <f ca="1">H29/G29-1</f>
        <v>0.16251482799525507</v>
      </c>
      <c r="J29" s="50">
        <v>14</v>
      </c>
      <c r="K29" s="109">
        <f ca="1">J29/G29-1</f>
        <v>0.66073546856465004</v>
      </c>
      <c r="L29" s="11">
        <f ca="1">IFERROR(__xludf.DUMMYFUNCTION("GoogleFinance(B29,""changepct"")/100"),0)</f>
        <v>0</v>
      </c>
      <c r="M29" s="11">
        <f ca="1">G29/V30-1</f>
        <v>1.4440433212996373E-2</v>
      </c>
      <c r="N29" s="11">
        <f ca="1">G29/X30-1</f>
        <v>-0.12461059190031165</v>
      </c>
      <c r="O29" s="11">
        <f ca="1">G29/Z30-1</f>
        <v>8.2156611039794658E-2</v>
      </c>
      <c r="P29" s="11">
        <f ca="1">G29/AB30-1</f>
        <v>-2.3174971031286296E-2</v>
      </c>
      <c r="Q29" s="11">
        <f ca="1">G29/AD30-1</f>
        <v>-0.18707810993249752</v>
      </c>
      <c r="R29" s="2"/>
      <c r="S29" s="2"/>
      <c r="T29" s="2"/>
      <c r="U29" s="2" t="str">
        <f ca="1">IFERROR(__xludf.DUMMYFUNCTION("GoogleFinance(B29,""price"",today()-7)"),"Date")</f>
        <v>Date</v>
      </c>
      <c r="V29" s="30" t="str">
        <f ca="1">IFERROR(__xludf.DUMMYFUNCTION("""COMPUTED_VALUE"""),"Close")</f>
        <v>Close</v>
      </c>
      <c r="W29" s="2" t="str">
        <f ca="1">IFERROR(__xludf.DUMMYFUNCTION("GoogleFinance(B29,""price"",today()-31)"),"Date")</f>
        <v>Date</v>
      </c>
      <c r="X29" s="30" t="str">
        <f ca="1">IFERROR(__xludf.DUMMYFUNCTION("""COMPUTED_VALUE"""),"Close")</f>
        <v>Close</v>
      </c>
      <c r="Y29" s="2" t="str">
        <f ca="1">IFERROR(__xludf.DUMMYFUNCTION("GoogleFinance(B29,""price"",today()-91)"),"Date")</f>
        <v>Date</v>
      </c>
      <c r="Z29" s="30" t="str">
        <f ca="1">IFERROR(__xludf.DUMMYFUNCTION("""COMPUTED_VALUE"""),"Close")</f>
        <v>Close</v>
      </c>
      <c r="AA29" s="2" t="str">
        <f ca="1">IFERROR(__xludf.DUMMYFUNCTION("GoogleFinance(B29,""price"",today()-182)"),"Date")</f>
        <v>Date</v>
      </c>
      <c r="AB29" s="30" t="str">
        <f ca="1">IFERROR(__xludf.DUMMYFUNCTION("""COMPUTED_VALUE"""),"Close")</f>
        <v>Close</v>
      </c>
      <c r="AC29" s="2" t="str">
        <f ca="1">IFERROR(__xludf.DUMMYFUNCTION("GoogleFinance(B29,""price"",DATE(2022,12,30))"),"Date")</f>
        <v>Date</v>
      </c>
      <c r="AD29" s="30" t="str">
        <f ca="1">IFERROR(__xludf.DUMMYFUNCTION("""COMPUTED_VALUE"""),"Close")</f>
        <v>Close</v>
      </c>
      <c r="AE29" s="5"/>
      <c r="AF29" s="5"/>
      <c r="AG29" s="5"/>
      <c r="AH29" s="5"/>
      <c r="AK29" s="5"/>
      <c r="AQ29" s="5"/>
      <c r="AR29" s="5"/>
      <c r="AS29" s="5"/>
      <c r="AT29" s="5"/>
      <c r="AU29" s="5"/>
      <c r="AV29" s="5"/>
      <c r="AW29" s="5"/>
      <c r="AX29" s="5"/>
      <c r="AY29" s="5"/>
      <c r="AZ29" s="5"/>
    </row>
    <row r="30" spans="1:61" ht="13.2" hidden="1">
      <c r="A30" s="47" t="e">
        <f t="shared" si="2"/>
        <v>#REF!</v>
      </c>
      <c r="B30" s="385"/>
      <c r="C30" s="386"/>
      <c r="D30" s="385"/>
      <c r="E30" s="385"/>
      <c r="F30" s="385"/>
      <c r="G30" s="387"/>
      <c r="H30" s="387"/>
      <c r="I30" s="389"/>
      <c r="J30" s="389"/>
      <c r="K30" s="389"/>
      <c r="L30" s="390"/>
      <c r="M30" s="385"/>
      <c r="N30" s="385"/>
      <c r="O30" s="385"/>
      <c r="P30" s="385"/>
      <c r="Q30" s="385"/>
      <c r="R30" s="24"/>
      <c r="S30" s="24"/>
      <c r="T30" s="24"/>
      <c r="U30" s="24">
        <f ca="1">IFERROR(__xludf.DUMMYFUNCTION("""COMPUTED_VALUE"""),45460.6666666666)</f>
        <v>45460.666666666599</v>
      </c>
      <c r="V30" s="23">
        <f ca="1">IFERROR(__xludf.DUMMYFUNCTION("""COMPUTED_VALUE"""),8.31)</f>
        <v>8.31</v>
      </c>
      <c r="W30" s="24">
        <f ca="1">IFERROR(__xludf.DUMMYFUNCTION("""COMPUTED_VALUE"""),45436.6666666666)</f>
        <v>45436.666666666599</v>
      </c>
      <c r="X30" s="23">
        <f ca="1">IFERROR(__xludf.DUMMYFUNCTION("""COMPUTED_VALUE"""),9.63)</f>
        <v>9.6300000000000008</v>
      </c>
      <c r="Y30" s="24">
        <f ca="1">IFERROR(__xludf.DUMMYFUNCTION("""COMPUTED_VALUE"""),45376.6666666666)</f>
        <v>45376.666666666599</v>
      </c>
      <c r="Z30" s="23">
        <f ca="1">IFERROR(__xludf.DUMMYFUNCTION("""COMPUTED_VALUE"""),7.79)</f>
        <v>7.79</v>
      </c>
      <c r="AA30" s="24">
        <f ca="1">IFERROR(__xludf.DUMMYFUNCTION("""COMPUTED_VALUE"""),45286.6666666666)</f>
        <v>45286.666666666599</v>
      </c>
      <c r="AB30" s="23">
        <f ca="1">IFERROR(__xludf.DUMMYFUNCTION("""COMPUTED_VALUE"""),8.63)</f>
        <v>8.6300000000000008</v>
      </c>
      <c r="AC30" s="24">
        <f ca="1">IFERROR(__xludf.DUMMYFUNCTION("""COMPUTED_VALUE"""),44925.6666666666)</f>
        <v>44925.666666666599</v>
      </c>
      <c r="AD30" s="23">
        <f ca="1">IFERROR(__xludf.DUMMYFUNCTION("""COMPUTED_VALUE"""),10.37)</f>
        <v>10.37</v>
      </c>
      <c r="AE30" s="27"/>
      <c r="AF30" s="27"/>
      <c r="AG30" s="27"/>
      <c r="AH30" s="27"/>
      <c r="AI30" s="393"/>
      <c r="AJ30" s="393"/>
      <c r="AK30" s="27"/>
      <c r="AL30" s="393"/>
      <c r="AM30" s="393"/>
      <c r="AN30" s="393"/>
      <c r="AO30" s="393"/>
      <c r="AP30" s="393"/>
      <c r="AQ30" s="27"/>
      <c r="AR30" s="27"/>
      <c r="AS30" s="27"/>
      <c r="AT30" s="27"/>
      <c r="AU30" s="27"/>
      <c r="AV30" s="27"/>
      <c r="AW30" s="27"/>
      <c r="AX30" s="27"/>
      <c r="AY30" s="27"/>
      <c r="AZ30" s="27"/>
      <c r="BA30" s="393"/>
      <c r="BB30" s="393"/>
      <c r="BC30" s="393"/>
      <c r="BD30" s="393"/>
      <c r="BE30" s="393"/>
      <c r="BF30" s="393"/>
      <c r="BG30" s="393"/>
      <c r="BH30" s="393"/>
      <c r="BI30" s="393"/>
    </row>
    <row r="31" spans="1:61" ht="13.2">
      <c r="A31" s="47">
        <f t="shared" si="2"/>
        <v>4</v>
      </c>
      <c r="B31" s="29" t="s">
        <v>355</v>
      </c>
      <c r="C31" s="125" t="str">
        <f ca="1">IFERROR(__xludf.DUMMYFUNCTION("GoogleFinance(B31,""name"")"),"Copa Holdings, S.A.")</f>
        <v>Copa Holdings, S.A.</v>
      </c>
      <c r="D31" s="126">
        <f ca="1">IFERROR(__xludf.DUMMYFUNCTION("GoogleFinance(B31,""marketcap"")/1000000"),3925.66283)</f>
        <v>3925.6628300000002</v>
      </c>
      <c r="E31" s="127" t="s">
        <v>10</v>
      </c>
      <c r="F31" s="127" t="s">
        <v>313</v>
      </c>
      <c r="G31" s="131">
        <f ca="1">IFERROR(__xludf.DUMMYFUNCTION("GOOGLEFINANCE(B31)"),94.17)</f>
        <v>94.17</v>
      </c>
      <c r="H31" s="418">
        <v>85</v>
      </c>
      <c r="I31" s="138">
        <f ca="1">H31/G31-1</f>
        <v>-9.7377083997026714E-2</v>
      </c>
      <c r="J31" s="127">
        <v>105</v>
      </c>
      <c r="K31" s="544">
        <f ca="1">J31/G31-1</f>
        <v>0.11500477859190816</v>
      </c>
      <c r="L31" s="139">
        <f ca="1">IFERROR(__xludf.DUMMYFUNCTION("GoogleFinance(B31,""changepct"")/100"),0)</f>
        <v>0</v>
      </c>
      <c r="M31" s="139">
        <f ca="1">G31/V32-1</f>
        <v>-2.3335407591785984E-2</v>
      </c>
      <c r="N31" s="139">
        <f ca="1">G31/X32-1</f>
        <v>-6.4381520119225044E-2</v>
      </c>
      <c r="O31" s="139">
        <f ca="1">G31/Z32-1</f>
        <v>-7.1210178518591571E-2</v>
      </c>
      <c r="P31" s="139">
        <f ca="1">G31/AB32-1</f>
        <v>-0.1179280629449232</v>
      </c>
      <c r="Q31" s="139">
        <f ca="1">G31/AD32-1</f>
        <v>0.13225922808705071</v>
      </c>
      <c r="R31" s="129"/>
      <c r="S31" s="129"/>
      <c r="T31" s="129"/>
      <c r="U31" s="129" t="str">
        <f ca="1">IFERROR(__xludf.DUMMYFUNCTION("GoogleFinance(B31,""price"",today()-7)"),"Date")</f>
        <v>Date</v>
      </c>
      <c r="V31" s="143" t="str">
        <f ca="1">IFERROR(__xludf.DUMMYFUNCTION("""COMPUTED_VALUE"""),"Close")</f>
        <v>Close</v>
      </c>
      <c r="W31" s="129" t="str">
        <f ca="1">IFERROR(__xludf.DUMMYFUNCTION("GoogleFinance(B31,""price"",today()-31)"),"Date")</f>
        <v>Date</v>
      </c>
      <c r="X31" s="143" t="str">
        <f ca="1">IFERROR(__xludf.DUMMYFUNCTION("""COMPUTED_VALUE"""),"Close")</f>
        <v>Close</v>
      </c>
      <c r="Y31" s="129" t="str">
        <f ca="1">IFERROR(__xludf.DUMMYFUNCTION("GoogleFinance(B31,""price"",today()-91)"),"Date")</f>
        <v>Date</v>
      </c>
      <c r="Z31" s="143" t="str">
        <f ca="1">IFERROR(__xludf.DUMMYFUNCTION("""COMPUTED_VALUE"""),"Close")</f>
        <v>Close</v>
      </c>
      <c r="AA31" s="129" t="str">
        <f ca="1">IFERROR(__xludf.DUMMYFUNCTION("GoogleFinance(B31,""price"",today()-182)"),"Date")</f>
        <v>Date</v>
      </c>
      <c r="AB31" s="143" t="str">
        <f ca="1">IFERROR(__xludf.DUMMYFUNCTION("""COMPUTED_VALUE"""),"Close")</f>
        <v>Close</v>
      </c>
      <c r="AC31" s="129" t="str">
        <f ca="1">IFERROR(__xludf.DUMMYFUNCTION("GoogleFinance(B31,""price"",DATE(2022,12,30))"),"Date")</f>
        <v>Date</v>
      </c>
      <c r="AD31" s="143" t="str">
        <f ca="1">IFERROR(__xludf.DUMMYFUNCTION("""COMPUTED_VALUE"""),"Close")</f>
        <v>Close</v>
      </c>
      <c r="AE31" s="144"/>
      <c r="AF31" s="144"/>
      <c r="AG31" s="144"/>
      <c r="AH31" s="144"/>
      <c r="AI31" s="145"/>
      <c r="AJ31" s="145"/>
      <c r="AK31" s="144"/>
      <c r="AL31" s="145"/>
      <c r="AM31" s="145"/>
      <c r="AN31" s="145"/>
      <c r="AO31" s="145"/>
      <c r="AP31" s="145"/>
      <c r="AQ31" s="144"/>
      <c r="AR31" s="144"/>
      <c r="AS31" s="144"/>
      <c r="AT31" s="144"/>
      <c r="AU31" s="144"/>
      <c r="AV31" s="144"/>
      <c r="AW31" s="144"/>
      <c r="AX31" s="144"/>
      <c r="AY31" s="144"/>
      <c r="AZ31" s="144"/>
      <c r="BA31" s="145"/>
      <c r="BB31" s="145"/>
      <c r="BC31" s="145"/>
      <c r="BD31" s="145"/>
      <c r="BE31" s="145"/>
      <c r="BF31" s="145"/>
      <c r="BG31" s="145"/>
      <c r="BH31" s="145"/>
      <c r="BI31" s="145"/>
    </row>
    <row r="32" spans="1:61" ht="13.2" hidden="1">
      <c r="A32" s="47" t="e">
        <f t="shared" si="2"/>
        <v>#REF!</v>
      </c>
      <c r="B32" s="385"/>
      <c r="C32" s="386"/>
      <c r="D32" s="385"/>
      <c r="E32" s="385"/>
      <c r="F32" s="385"/>
      <c r="G32" s="387"/>
      <c r="H32" s="387"/>
      <c r="I32" s="389"/>
      <c r="J32" s="389"/>
      <c r="K32" s="389"/>
      <c r="L32" s="390"/>
      <c r="M32" s="385"/>
      <c r="N32" s="385"/>
      <c r="O32" s="385"/>
      <c r="P32" s="385"/>
      <c r="Q32" s="385"/>
      <c r="R32" s="24"/>
      <c r="S32" s="24"/>
      <c r="T32" s="24"/>
      <c r="U32" s="24">
        <f ca="1">IFERROR(__xludf.DUMMYFUNCTION("""COMPUTED_VALUE"""),45460.6666666666)</f>
        <v>45460.666666666599</v>
      </c>
      <c r="V32" s="23">
        <f ca="1">IFERROR(__xludf.DUMMYFUNCTION("""COMPUTED_VALUE"""),96.42)</f>
        <v>96.42</v>
      </c>
      <c r="W32" s="24">
        <f ca="1">IFERROR(__xludf.DUMMYFUNCTION("""COMPUTED_VALUE"""),45436.6666666666)</f>
        <v>45436.666666666599</v>
      </c>
      <c r="X32" s="23">
        <f ca="1">IFERROR(__xludf.DUMMYFUNCTION("""COMPUTED_VALUE"""),100.65)</f>
        <v>100.65</v>
      </c>
      <c r="Y32" s="24">
        <f ca="1">IFERROR(__xludf.DUMMYFUNCTION("""COMPUTED_VALUE"""),45376.6666666666)</f>
        <v>45376.666666666599</v>
      </c>
      <c r="Z32" s="23">
        <f ca="1">IFERROR(__xludf.DUMMYFUNCTION("""COMPUTED_VALUE"""),101.39)</f>
        <v>101.39</v>
      </c>
      <c r="AA32" s="24">
        <f ca="1">IFERROR(__xludf.DUMMYFUNCTION("""COMPUTED_VALUE"""),45286.6666666666)</f>
        <v>45286.666666666599</v>
      </c>
      <c r="AB32" s="23">
        <f ca="1">IFERROR(__xludf.DUMMYFUNCTION("""COMPUTED_VALUE"""),106.76)</f>
        <v>106.76</v>
      </c>
      <c r="AC32" s="24">
        <f ca="1">IFERROR(__xludf.DUMMYFUNCTION("""COMPUTED_VALUE"""),44925.6666666666)</f>
        <v>44925.666666666599</v>
      </c>
      <c r="AD32" s="23">
        <f ca="1">IFERROR(__xludf.DUMMYFUNCTION("""COMPUTED_VALUE"""),83.17)</f>
        <v>83.17</v>
      </c>
      <c r="AE32" s="27"/>
      <c r="AF32" s="27"/>
      <c r="AG32" s="27"/>
      <c r="AH32" s="27"/>
      <c r="AI32" s="393"/>
      <c r="AJ32" s="393"/>
      <c r="AK32" s="27"/>
      <c r="AL32" s="393"/>
      <c r="AM32" s="393"/>
      <c r="AN32" s="393"/>
      <c r="AO32" s="393"/>
      <c r="AP32" s="393"/>
      <c r="AQ32" s="27"/>
      <c r="AR32" s="27"/>
      <c r="AS32" s="27"/>
      <c r="AT32" s="27"/>
      <c r="AU32" s="27"/>
      <c r="AV32" s="27"/>
      <c r="AW32" s="27"/>
      <c r="AX32" s="27"/>
      <c r="AY32" s="27"/>
      <c r="AZ32" s="27"/>
      <c r="BA32" s="393"/>
      <c r="BB32" s="393"/>
      <c r="BC32" s="393"/>
      <c r="BD32" s="393"/>
      <c r="BE32" s="393"/>
      <c r="BF32" s="393"/>
      <c r="BG32" s="393"/>
      <c r="BH32" s="393"/>
      <c r="BI32" s="393"/>
    </row>
    <row r="33" spans="1:61" ht="13.2">
      <c r="A33" s="47">
        <f t="shared" si="2"/>
        <v>5</v>
      </c>
      <c r="B33" s="29" t="s">
        <v>356</v>
      </c>
      <c r="C33" s="125" t="str">
        <f ca="1">IFERROR(__xludf.DUMMYFUNCTION("GoogleFinance(B33,""name"")"),"Open Text Corp")</f>
        <v>Open Text Corp</v>
      </c>
      <c r="D33" s="126">
        <f ca="1">IFERROR(__xludf.DUMMYFUNCTION("GoogleFinance(B33,""marketcap"")/1000000"),8101.661864)</f>
        <v>8101.6618639999997</v>
      </c>
      <c r="E33" s="127" t="s">
        <v>7</v>
      </c>
      <c r="F33" s="127" t="s">
        <v>357</v>
      </c>
      <c r="G33" s="131">
        <f ca="1">IFERROR(__xludf.DUMMYFUNCTION("GOOGLEFINANCE(B33)"),29.69)</f>
        <v>29.69</v>
      </c>
      <c r="H33" s="418">
        <v>36.6</v>
      </c>
      <c r="I33" s="138">
        <f ca="1">H33/G33-1</f>
        <v>0.23273829572246552</v>
      </c>
      <c r="J33" s="127">
        <v>78</v>
      </c>
      <c r="K33" s="544">
        <f ca="1">J33/G33-1</f>
        <v>1.6271471876052543</v>
      </c>
      <c r="L33" s="139">
        <f ca="1">IFERROR(__xludf.DUMMYFUNCTION("GoogleFinance(B33,""changepct"")/100"),0)</f>
        <v>0</v>
      </c>
      <c r="M33" s="139">
        <f ca="1">G33/V34-1</f>
        <v>1.2619372442019161E-2</v>
      </c>
      <c r="N33" s="139">
        <f ca="1">G33/X34-1</f>
        <v>-1.2637179913535079E-2</v>
      </c>
      <c r="O33" s="139">
        <f ca="1">G33/Z34-1</f>
        <v>-0.24221541602858598</v>
      </c>
      <c r="P33" s="139">
        <f ca="1">G33/AB34-1</f>
        <v>-0.30042412818096131</v>
      </c>
      <c r="Q33" s="139">
        <f ca="1">G33/AD34-1</f>
        <v>1.6869095816465229E-3</v>
      </c>
      <c r="R33" s="129"/>
      <c r="S33" s="129"/>
      <c r="T33" s="129"/>
      <c r="U33" s="129" t="str">
        <f ca="1">IFERROR(__xludf.DUMMYFUNCTION("GoogleFinance(B33,""price"",today()-7)"),"Date")</f>
        <v>Date</v>
      </c>
      <c r="V33" s="143" t="str">
        <f ca="1">IFERROR(__xludf.DUMMYFUNCTION("""COMPUTED_VALUE"""),"Close")</f>
        <v>Close</v>
      </c>
      <c r="W33" s="129" t="str">
        <f ca="1">IFERROR(__xludf.DUMMYFUNCTION("GoogleFinance(B33,""price"",today()-31)"),"Date")</f>
        <v>Date</v>
      </c>
      <c r="X33" s="143" t="str">
        <f ca="1">IFERROR(__xludf.DUMMYFUNCTION("""COMPUTED_VALUE"""),"Close")</f>
        <v>Close</v>
      </c>
      <c r="Y33" s="129" t="str">
        <f ca="1">IFERROR(__xludf.DUMMYFUNCTION("GoogleFinance(B33,""price"",today()-91)"),"Date")</f>
        <v>Date</v>
      </c>
      <c r="Z33" s="143" t="str">
        <f ca="1">IFERROR(__xludf.DUMMYFUNCTION("""COMPUTED_VALUE"""),"Close")</f>
        <v>Close</v>
      </c>
      <c r="AA33" s="129" t="str">
        <f ca="1">IFERROR(__xludf.DUMMYFUNCTION("GoogleFinance(B33,""price"",today()-182)"),"Date")</f>
        <v>Date</v>
      </c>
      <c r="AB33" s="143" t="str">
        <f ca="1">IFERROR(__xludf.DUMMYFUNCTION("""COMPUTED_VALUE"""),"Close")</f>
        <v>Close</v>
      </c>
      <c r="AC33" s="129" t="str">
        <f ca="1">IFERROR(__xludf.DUMMYFUNCTION("GoogleFinance(B33,""price"",DATE(2022,12,30))"),"Date")</f>
        <v>Date</v>
      </c>
      <c r="AD33" s="143" t="str">
        <f ca="1">IFERROR(__xludf.DUMMYFUNCTION("""COMPUTED_VALUE"""),"Close")</f>
        <v>Close</v>
      </c>
      <c r="AE33" s="144"/>
      <c r="AF33" s="144"/>
      <c r="AG33" s="144"/>
      <c r="AH33" s="144"/>
      <c r="AI33" s="145"/>
      <c r="AJ33" s="145"/>
      <c r="AK33" s="144"/>
      <c r="AL33" s="145"/>
      <c r="AM33" s="145"/>
      <c r="AN33" s="145"/>
      <c r="AO33" s="145"/>
      <c r="AP33" s="145"/>
      <c r="AQ33" s="144"/>
      <c r="AR33" s="144"/>
      <c r="AS33" s="144"/>
      <c r="AT33" s="144"/>
      <c r="AU33" s="144"/>
      <c r="AV33" s="144"/>
      <c r="AW33" s="144"/>
      <c r="AX33" s="144"/>
      <c r="AY33" s="144"/>
      <c r="AZ33" s="144"/>
      <c r="BA33" s="145"/>
      <c r="BB33" s="145"/>
      <c r="BC33" s="145"/>
      <c r="BD33" s="145"/>
      <c r="BE33" s="145"/>
      <c r="BF33" s="145"/>
      <c r="BG33" s="145"/>
      <c r="BH33" s="145"/>
      <c r="BI33" s="145"/>
    </row>
    <row r="34" spans="1:61" ht="13.2" hidden="1">
      <c r="A34" s="244"/>
      <c r="B34" s="385"/>
      <c r="C34" s="386"/>
      <c r="D34" s="385"/>
      <c r="E34" s="385"/>
      <c r="F34" s="385"/>
      <c r="G34" s="387"/>
      <c r="H34" s="387"/>
      <c r="I34" s="389"/>
      <c r="J34" s="389"/>
      <c r="K34" s="389"/>
      <c r="L34" s="390"/>
      <c r="M34" s="385"/>
      <c r="N34" s="385"/>
      <c r="O34" s="385"/>
      <c r="P34" s="385"/>
      <c r="Q34" s="385"/>
      <c r="R34" s="24"/>
      <c r="S34" s="24"/>
      <c r="T34" s="24"/>
      <c r="U34" s="24">
        <f ca="1">IFERROR(__xludf.DUMMYFUNCTION("""COMPUTED_VALUE"""),45460.6666666666)</f>
        <v>45460.666666666599</v>
      </c>
      <c r="V34" s="23">
        <f ca="1">IFERROR(__xludf.DUMMYFUNCTION("""COMPUTED_VALUE"""),29.32)</f>
        <v>29.32</v>
      </c>
      <c r="W34" s="24">
        <f ca="1">IFERROR(__xludf.DUMMYFUNCTION("""COMPUTED_VALUE"""),45436.6666666666)</f>
        <v>45436.666666666599</v>
      </c>
      <c r="X34" s="23">
        <f ca="1">IFERROR(__xludf.DUMMYFUNCTION("""COMPUTED_VALUE"""),30.07)</f>
        <v>30.07</v>
      </c>
      <c r="Y34" s="24">
        <f ca="1">IFERROR(__xludf.DUMMYFUNCTION("""COMPUTED_VALUE"""),45376.6666666666)</f>
        <v>45376.666666666599</v>
      </c>
      <c r="Z34" s="23">
        <f ca="1">IFERROR(__xludf.DUMMYFUNCTION("""COMPUTED_VALUE"""),39.18)</f>
        <v>39.18</v>
      </c>
      <c r="AA34" s="24">
        <f ca="1">IFERROR(__xludf.DUMMYFUNCTION("""COMPUTED_VALUE"""),45286.6666666666)</f>
        <v>45286.666666666599</v>
      </c>
      <c r="AB34" s="23">
        <f ca="1">IFERROR(__xludf.DUMMYFUNCTION("""COMPUTED_VALUE"""),42.44)</f>
        <v>42.44</v>
      </c>
      <c r="AC34" s="24">
        <f ca="1">IFERROR(__xludf.DUMMYFUNCTION("""COMPUTED_VALUE"""),44925.6666666666)</f>
        <v>44925.666666666599</v>
      </c>
      <c r="AD34" s="23">
        <f ca="1">IFERROR(__xludf.DUMMYFUNCTION("""COMPUTED_VALUE"""),29.64)</f>
        <v>29.64</v>
      </c>
      <c r="AE34" s="27"/>
      <c r="AF34" s="27"/>
      <c r="AG34" s="27"/>
      <c r="AH34" s="27"/>
      <c r="AI34" s="393"/>
      <c r="AJ34" s="393"/>
      <c r="AK34" s="27"/>
      <c r="AL34" s="393"/>
      <c r="AM34" s="393"/>
      <c r="AN34" s="393"/>
      <c r="AO34" s="393"/>
      <c r="AP34" s="393"/>
      <c r="AQ34" s="27"/>
      <c r="AR34" s="27"/>
      <c r="AS34" s="27"/>
      <c r="AT34" s="27"/>
      <c r="AU34" s="27"/>
      <c r="AV34" s="27"/>
      <c r="AW34" s="27"/>
      <c r="AX34" s="27"/>
      <c r="AY34" s="27"/>
      <c r="AZ34" s="27"/>
      <c r="BA34" s="393"/>
      <c r="BB34" s="393"/>
      <c r="BC34" s="393"/>
      <c r="BD34" s="393"/>
      <c r="BE34" s="393"/>
      <c r="BF34" s="393"/>
      <c r="BG34" s="393"/>
      <c r="BH34" s="393"/>
      <c r="BI34" s="393"/>
    </row>
    <row r="35" spans="1:61" ht="13.2">
      <c r="A35" s="47">
        <f>1+A33</f>
        <v>6</v>
      </c>
      <c r="B35" s="29" t="s">
        <v>358</v>
      </c>
      <c r="C35" s="125" t="str">
        <f ca="1">IFERROR(__xludf.DUMMYFUNCTION("GoogleFinance(B35,""name"")"),"CVR Energy, Inc.")</f>
        <v>CVR Energy, Inc.</v>
      </c>
      <c r="D35" s="126">
        <f ca="1">IFERROR(__xludf.DUMMYFUNCTION("GoogleFinance(B35,""marketcap"")/1000000"),2697.23599)</f>
        <v>2697.2359900000001</v>
      </c>
      <c r="E35" s="127" t="s">
        <v>14</v>
      </c>
      <c r="F35" s="127" t="s">
        <v>359</v>
      </c>
      <c r="G35" s="131">
        <f ca="1">IFERROR(__xludf.DUMMYFUNCTION("GOOGLEFINANCE(B35)"),26.83)</f>
        <v>26.83</v>
      </c>
      <c r="H35" s="418">
        <v>33</v>
      </c>
      <c r="I35" s="138">
        <f ca="1">H35/G35-1</f>
        <v>0.22996645546030581</v>
      </c>
      <c r="J35" s="127">
        <v>50</v>
      </c>
      <c r="K35" s="544">
        <f ca="1">J35/G35-1</f>
        <v>0.86358553857622078</v>
      </c>
      <c r="L35" s="139">
        <f ca="1">IFERROR(__xludf.DUMMYFUNCTION("GoogleFinance(B35,""changepct"")/100"),0)</f>
        <v>0</v>
      </c>
      <c r="M35" s="139">
        <f ca="1">G35/V36-1</f>
        <v>-8.1330868761553266E-3</v>
      </c>
      <c r="N35" s="139">
        <f ca="1">G35/X36-1</f>
        <v>-9.9059771658831508E-2</v>
      </c>
      <c r="O35" s="139">
        <f ca="1">G35/Z36-1</f>
        <v>-0.25801991150442471</v>
      </c>
      <c r="P35" s="139">
        <f ca="1">G35/AB36-1</f>
        <v>-0.15094936708860773</v>
      </c>
      <c r="Q35" s="139">
        <f ca="1">G35/AD36-1</f>
        <v>-0.1439055520102106</v>
      </c>
      <c r="R35" s="129"/>
      <c r="S35" s="129"/>
      <c r="T35" s="129"/>
      <c r="U35" s="129" t="str">
        <f ca="1">IFERROR(__xludf.DUMMYFUNCTION("GoogleFinance(B35,""price"",today()-7)"),"Date")</f>
        <v>Date</v>
      </c>
      <c r="V35" s="143" t="str">
        <f ca="1">IFERROR(__xludf.DUMMYFUNCTION("""COMPUTED_VALUE"""),"Close")</f>
        <v>Close</v>
      </c>
      <c r="W35" s="129" t="str">
        <f ca="1">IFERROR(__xludf.DUMMYFUNCTION("GoogleFinance(B35,""price"",today()-31)"),"Date")</f>
        <v>Date</v>
      </c>
      <c r="X35" s="143" t="str">
        <f ca="1">IFERROR(__xludf.DUMMYFUNCTION("""COMPUTED_VALUE"""),"Close")</f>
        <v>Close</v>
      </c>
      <c r="Y35" s="129" t="str">
        <f ca="1">IFERROR(__xludf.DUMMYFUNCTION("GoogleFinance(B35,""price"",today()-91)"),"Date")</f>
        <v>Date</v>
      </c>
      <c r="Z35" s="143" t="str">
        <f ca="1">IFERROR(__xludf.DUMMYFUNCTION("""COMPUTED_VALUE"""),"Close")</f>
        <v>Close</v>
      </c>
      <c r="AA35" s="129" t="str">
        <f ca="1">IFERROR(__xludf.DUMMYFUNCTION("GoogleFinance(B35,""price"",today()-182)"),"Date")</f>
        <v>Date</v>
      </c>
      <c r="AB35" s="143" t="str">
        <f ca="1">IFERROR(__xludf.DUMMYFUNCTION("""COMPUTED_VALUE"""),"Close")</f>
        <v>Close</v>
      </c>
      <c r="AC35" s="129" t="str">
        <f ca="1">IFERROR(__xludf.DUMMYFUNCTION("GoogleFinance(B35,""price"",DATE(2022,12,30))"),"Date")</f>
        <v>Date</v>
      </c>
      <c r="AD35" s="143" t="str">
        <f ca="1">IFERROR(__xludf.DUMMYFUNCTION("""COMPUTED_VALUE"""),"Close")</f>
        <v>Close</v>
      </c>
      <c r="AE35" s="144"/>
      <c r="AF35" s="144"/>
      <c r="AG35" s="144"/>
      <c r="AH35" s="144"/>
      <c r="AI35" s="145"/>
      <c r="AJ35" s="145"/>
      <c r="AK35" s="144"/>
      <c r="AL35" s="145"/>
      <c r="AM35" s="145"/>
      <c r="AN35" s="145"/>
      <c r="AO35" s="145"/>
      <c r="AP35" s="145"/>
      <c r="AQ35" s="144"/>
      <c r="AR35" s="144"/>
      <c r="AS35" s="144"/>
      <c r="AT35" s="144"/>
      <c r="AU35" s="144"/>
      <c r="AV35" s="144"/>
      <c r="AW35" s="144"/>
      <c r="AX35" s="144"/>
      <c r="AY35" s="144"/>
      <c r="AZ35" s="144"/>
      <c r="BA35" s="145"/>
      <c r="BB35" s="145"/>
      <c r="BC35" s="145"/>
      <c r="BD35" s="145"/>
      <c r="BE35" s="145"/>
      <c r="BF35" s="145"/>
      <c r="BG35" s="145"/>
      <c r="BH35" s="145"/>
      <c r="BI35" s="145"/>
    </row>
    <row r="36" spans="1:61" ht="13.2">
      <c r="A36" s="244"/>
      <c r="B36" s="385"/>
      <c r="C36" s="386"/>
      <c r="D36" s="385"/>
      <c r="E36" s="385"/>
      <c r="F36" s="385"/>
      <c r="G36" s="387"/>
      <c r="H36" s="387"/>
      <c r="I36" s="389"/>
      <c r="J36" s="389"/>
      <c r="K36" s="389"/>
      <c r="L36" s="390"/>
      <c r="M36" s="385"/>
      <c r="N36" s="385"/>
      <c r="O36" s="385"/>
      <c r="P36" s="385"/>
      <c r="Q36" s="385"/>
      <c r="R36" s="24"/>
      <c r="S36" s="24"/>
      <c r="T36" s="24"/>
      <c r="U36" s="24">
        <f ca="1">IFERROR(__xludf.DUMMYFUNCTION("""COMPUTED_VALUE"""),45460.6666666666)</f>
        <v>45460.666666666599</v>
      </c>
      <c r="V36" s="23">
        <f ca="1">IFERROR(__xludf.DUMMYFUNCTION("""COMPUTED_VALUE"""),27.05)</f>
        <v>27.05</v>
      </c>
      <c r="W36" s="24">
        <f ca="1">IFERROR(__xludf.DUMMYFUNCTION("""COMPUTED_VALUE"""),45436.6666666666)</f>
        <v>45436.666666666599</v>
      </c>
      <c r="X36" s="23">
        <f ca="1">IFERROR(__xludf.DUMMYFUNCTION("""COMPUTED_VALUE"""),29.78)</f>
        <v>29.78</v>
      </c>
      <c r="Y36" s="24">
        <f ca="1">IFERROR(__xludf.DUMMYFUNCTION("""COMPUTED_VALUE"""),45376.6666666666)</f>
        <v>45376.666666666599</v>
      </c>
      <c r="Z36" s="23">
        <f ca="1">IFERROR(__xludf.DUMMYFUNCTION("""COMPUTED_VALUE"""),36.16)</f>
        <v>36.159999999999997</v>
      </c>
      <c r="AA36" s="24">
        <f ca="1">IFERROR(__xludf.DUMMYFUNCTION("""COMPUTED_VALUE"""),45286.6666666666)</f>
        <v>45286.666666666599</v>
      </c>
      <c r="AB36" s="23">
        <f ca="1">IFERROR(__xludf.DUMMYFUNCTION("""COMPUTED_VALUE"""),31.6)</f>
        <v>31.6</v>
      </c>
      <c r="AC36" s="24">
        <f ca="1">IFERROR(__xludf.DUMMYFUNCTION("""COMPUTED_VALUE"""),44925.6666666666)</f>
        <v>44925.666666666599</v>
      </c>
      <c r="AD36" s="23">
        <f ca="1">IFERROR(__xludf.DUMMYFUNCTION("""COMPUTED_VALUE"""),31.34)</f>
        <v>31.34</v>
      </c>
      <c r="AE36" s="27"/>
      <c r="AF36" s="27"/>
      <c r="AG36" s="27"/>
      <c r="AH36" s="27"/>
      <c r="AI36" s="393"/>
      <c r="AJ36" s="393"/>
      <c r="AK36" s="27"/>
      <c r="AL36" s="393"/>
      <c r="AM36" s="393"/>
      <c r="AN36" s="393"/>
      <c r="AO36" s="393"/>
      <c r="AP36" s="393"/>
      <c r="AQ36" s="27"/>
      <c r="AR36" s="27"/>
      <c r="AS36" s="27"/>
      <c r="AT36" s="27"/>
      <c r="AU36" s="27"/>
      <c r="AV36" s="27"/>
      <c r="AW36" s="27"/>
      <c r="AX36" s="27"/>
      <c r="AY36" s="27"/>
      <c r="AZ36" s="27"/>
      <c r="BA36" s="393"/>
      <c r="BB36" s="393"/>
      <c r="BC36" s="393"/>
      <c r="BD36" s="393"/>
      <c r="BE36" s="393"/>
      <c r="BF36" s="393"/>
      <c r="BG36" s="393"/>
      <c r="BH36" s="393"/>
      <c r="BI36" s="393"/>
    </row>
    <row r="37" spans="1:61" ht="5.25" customHeight="1">
      <c r="A37" s="244"/>
      <c r="B37" s="428"/>
      <c r="C37" s="429"/>
      <c r="D37" s="428"/>
      <c r="E37" s="428"/>
      <c r="F37" s="428"/>
      <c r="G37" s="545"/>
      <c r="H37" s="545"/>
      <c r="I37" s="433"/>
      <c r="J37" s="433"/>
      <c r="K37" s="433"/>
      <c r="L37" s="432"/>
      <c r="M37" s="428"/>
      <c r="N37" s="428"/>
      <c r="O37" s="428"/>
      <c r="P37" s="428"/>
      <c r="Q37" s="428"/>
      <c r="R37" s="24"/>
      <c r="S37" s="24"/>
      <c r="T37" s="24"/>
      <c r="U37" s="24"/>
      <c r="V37" s="30"/>
      <c r="W37" s="24"/>
      <c r="X37" s="30"/>
      <c r="Y37" s="24"/>
      <c r="Z37" s="30"/>
      <c r="AA37" s="24"/>
      <c r="AB37" s="30"/>
      <c r="AC37" s="24"/>
      <c r="AD37" s="30"/>
      <c r="AE37" s="27"/>
      <c r="AF37" s="27"/>
      <c r="AG37" s="27"/>
      <c r="AH37" s="27"/>
      <c r="AK37" s="27"/>
      <c r="AQ37" s="27"/>
      <c r="AR37" s="27"/>
      <c r="AS37" s="27"/>
      <c r="AT37" s="27"/>
      <c r="AU37" s="27"/>
      <c r="AV37" s="27"/>
      <c r="AW37" s="27"/>
      <c r="AX37" s="27"/>
      <c r="AY37" s="27"/>
      <c r="AZ37" s="27"/>
    </row>
    <row r="38" spans="1:61" ht="36">
      <c r="A38" s="244"/>
      <c r="B38" s="39" t="s">
        <v>0</v>
      </c>
      <c r="C38" s="40" t="s">
        <v>1</v>
      </c>
      <c r="D38" s="39" t="s">
        <v>35</v>
      </c>
      <c r="E38" s="39" t="s">
        <v>2</v>
      </c>
      <c r="F38" s="39" t="s">
        <v>36</v>
      </c>
      <c r="G38" s="41" t="s">
        <v>3</v>
      </c>
      <c r="H38" s="41" t="s">
        <v>360</v>
      </c>
      <c r="I38" s="42" t="s">
        <v>361</v>
      </c>
      <c r="J38" s="42" t="s">
        <v>362</v>
      </c>
      <c r="K38" s="42" t="s">
        <v>363</v>
      </c>
      <c r="L38" s="43" t="s">
        <v>4</v>
      </c>
      <c r="M38" s="39" t="s">
        <v>51</v>
      </c>
      <c r="N38" s="39" t="s">
        <v>52</v>
      </c>
      <c r="O38" s="39" t="s">
        <v>53</v>
      </c>
      <c r="P38" s="39" t="s">
        <v>54</v>
      </c>
      <c r="Q38" s="39" t="s">
        <v>55</v>
      </c>
      <c r="R38" s="24"/>
      <c r="S38" s="24"/>
      <c r="T38" s="24"/>
      <c r="U38" s="24"/>
      <c r="V38" s="30"/>
      <c r="W38" s="24"/>
      <c r="X38" s="30"/>
      <c r="Y38" s="24"/>
      <c r="Z38" s="30"/>
      <c r="AA38" s="24"/>
      <c r="AB38" s="30"/>
      <c r="AC38" s="24"/>
      <c r="AD38" s="30"/>
      <c r="AE38" s="27"/>
      <c r="AF38" s="27"/>
      <c r="AG38" s="27"/>
      <c r="AH38" s="27"/>
      <c r="AK38" s="27"/>
      <c r="AQ38" s="27"/>
      <c r="AR38" s="27"/>
      <c r="AS38" s="27"/>
      <c r="AT38" s="27"/>
      <c r="AU38" s="27"/>
      <c r="AV38" s="27"/>
      <c r="AW38" s="27"/>
      <c r="AX38" s="27"/>
      <c r="AY38" s="27"/>
      <c r="AZ38" s="27"/>
    </row>
    <row r="39" spans="1:61" ht="13.2">
      <c r="A39" s="244"/>
      <c r="B39" s="436" t="s">
        <v>364</v>
      </c>
      <c r="C39" s="437"/>
      <c r="D39" s="438"/>
      <c r="E39" s="439"/>
      <c r="F39" s="439"/>
      <c r="G39" s="440"/>
      <c r="H39" s="440"/>
      <c r="I39" s="440"/>
      <c r="J39" s="440"/>
      <c r="K39" s="440"/>
      <c r="L39" s="440"/>
      <c r="M39" s="440"/>
      <c r="N39" s="440"/>
      <c r="O39" s="440"/>
      <c r="P39" s="440"/>
      <c r="Q39" s="440"/>
      <c r="R39" s="24"/>
      <c r="S39" s="24"/>
      <c r="T39" s="24"/>
      <c r="U39" s="24"/>
      <c r="V39" s="30"/>
      <c r="W39" s="24"/>
      <c r="X39" s="30"/>
      <c r="Y39" s="24"/>
      <c r="Z39" s="30"/>
      <c r="AA39" s="24"/>
      <c r="AB39" s="30"/>
      <c r="AC39" s="24"/>
      <c r="AD39" s="30"/>
      <c r="AE39" s="27"/>
      <c r="AF39" s="27"/>
      <c r="AG39" s="27"/>
      <c r="AH39" s="27"/>
      <c r="AK39" s="27"/>
      <c r="AQ39" s="27"/>
      <c r="AR39" s="27"/>
      <c r="AS39" s="27"/>
      <c r="AT39" s="27"/>
      <c r="AU39" s="27"/>
      <c r="AV39" s="27"/>
      <c r="AW39" s="27"/>
      <c r="AX39" s="27"/>
      <c r="AY39" s="27"/>
      <c r="AZ39" s="27"/>
    </row>
    <row r="40" spans="1:61" ht="13.2">
      <c r="A40" s="47">
        <v>1</v>
      </c>
      <c r="B40" s="1" t="s">
        <v>365</v>
      </c>
      <c r="C40" s="48" t="str">
        <f ca="1">IFERROR(__xludf.DUMMYFUNCTION("GoogleFinance(B40,""name"")"),"eBay Inc")</f>
        <v>eBay Inc</v>
      </c>
      <c r="D40" s="49">
        <f ca="1">IFERROR(__xludf.DUMMYFUNCTION("GoogleFinance(B40,""marketcap"")/1000000"),27183.29535)</f>
        <v>27183.29535</v>
      </c>
      <c r="E40" s="50" t="s">
        <v>177</v>
      </c>
      <c r="F40" s="50" t="s">
        <v>20</v>
      </c>
      <c r="G40" s="52">
        <f ca="1">IFERROR(__xludf.DUMMYFUNCTION("GOOGLEFINANCE(B40)"),54.15)</f>
        <v>54.15</v>
      </c>
      <c r="H40" s="59">
        <v>46</v>
      </c>
      <c r="I40" s="57">
        <f ca="1">H40/G40-1</f>
        <v>-0.1505078485687904</v>
      </c>
      <c r="J40" s="50">
        <v>34</v>
      </c>
      <c r="K40" s="109">
        <f>H40/J40-1</f>
        <v>0.35294117647058831</v>
      </c>
      <c r="L40" s="11">
        <f ca="1">IFERROR(__xludf.DUMMYFUNCTION("GoogleFinance(B40,""changepct"")/100"),0)</f>
        <v>0</v>
      </c>
      <c r="M40" s="11">
        <f ca="1">G40/V41-1</f>
        <v>1.9006398193451179E-2</v>
      </c>
      <c r="N40" s="11">
        <f ca="1">G40/X41-1</f>
        <v>-4.7785333578386213E-3</v>
      </c>
      <c r="O40" s="11">
        <f ca="1">G40/Z41-1</f>
        <v>5.6997852820612982E-2</v>
      </c>
      <c r="P40" s="11">
        <f ca="1">G40/AB41-1</f>
        <v>0.2454001839926403</v>
      </c>
      <c r="Q40" s="11">
        <f ca="1">G40/AD41-1</f>
        <v>0.30576320231492637</v>
      </c>
      <c r="R40" s="2"/>
      <c r="S40" s="2"/>
      <c r="T40" s="2"/>
      <c r="U40" s="2" t="str">
        <f ca="1">IFERROR(__xludf.DUMMYFUNCTION("GoogleFinance(B40,""price"",today()-7)"),"Date")</f>
        <v>Date</v>
      </c>
      <c r="V40" s="30" t="str">
        <f ca="1">IFERROR(__xludf.DUMMYFUNCTION("""COMPUTED_VALUE"""),"Close")</f>
        <v>Close</v>
      </c>
      <c r="W40" s="2" t="str">
        <f ca="1">IFERROR(__xludf.DUMMYFUNCTION("GoogleFinance(B40,""price"",today()-31)"),"Date")</f>
        <v>Date</v>
      </c>
      <c r="X40" s="30" t="str">
        <f ca="1">IFERROR(__xludf.DUMMYFUNCTION("""COMPUTED_VALUE"""),"Close")</f>
        <v>Close</v>
      </c>
      <c r="Y40" s="2" t="str">
        <f ca="1">IFERROR(__xludf.DUMMYFUNCTION("GoogleFinance(B40,""price"",today()-91)"),"Date")</f>
        <v>Date</v>
      </c>
      <c r="Z40" s="30" t="str">
        <f ca="1">IFERROR(__xludf.DUMMYFUNCTION("""COMPUTED_VALUE"""),"Close")</f>
        <v>Close</v>
      </c>
      <c r="AA40" s="2" t="str">
        <f ca="1">IFERROR(__xludf.DUMMYFUNCTION("GoogleFinance(B40,""price"",today()-182)"),"Date")</f>
        <v>Date</v>
      </c>
      <c r="AB40" s="30" t="str">
        <f ca="1">IFERROR(__xludf.DUMMYFUNCTION("""COMPUTED_VALUE"""),"Close")</f>
        <v>Close</v>
      </c>
      <c r="AC40" s="2" t="str">
        <f ca="1">IFERROR(__xludf.DUMMYFUNCTION("GoogleFinance(B40,""price"",DATE(2022,12,30))"),"Date")</f>
        <v>Date</v>
      </c>
      <c r="AD40" s="30" t="str">
        <f ca="1">IFERROR(__xludf.DUMMYFUNCTION("""COMPUTED_VALUE"""),"Close")</f>
        <v>Close</v>
      </c>
      <c r="AE40" s="5"/>
      <c r="AF40" s="5"/>
      <c r="AG40" s="5"/>
      <c r="AH40" s="5"/>
      <c r="AK40" s="5"/>
      <c r="AQ40" s="5"/>
      <c r="AR40" s="5"/>
      <c r="AS40" s="5"/>
      <c r="AT40" s="5"/>
      <c r="AU40" s="5"/>
      <c r="AV40" s="5"/>
      <c r="AW40" s="5"/>
      <c r="AX40" s="5"/>
      <c r="AY40" s="5"/>
      <c r="AZ40" s="5"/>
    </row>
    <row r="41" spans="1:61" ht="13.2" hidden="1">
      <c r="A41" s="47">
        <v>1</v>
      </c>
      <c r="B41" s="1"/>
      <c r="C41" s="48"/>
      <c r="D41" s="49"/>
      <c r="E41" s="50"/>
      <c r="F41" s="50"/>
      <c r="G41" s="52"/>
      <c r="H41" s="59"/>
      <c r="I41" s="57"/>
      <c r="J41" s="50"/>
      <c r="K41" s="109"/>
      <c r="L41" s="9"/>
      <c r="M41" s="57"/>
      <c r="N41" s="57"/>
      <c r="O41" s="57"/>
      <c r="P41" s="57"/>
      <c r="Q41" s="57"/>
      <c r="R41" s="2"/>
      <c r="S41" s="2"/>
      <c r="T41" s="2"/>
      <c r="U41" s="2">
        <f ca="1">IFERROR(__xludf.DUMMYFUNCTION("""COMPUTED_VALUE"""),45460.6666666666)</f>
        <v>45460.666666666599</v>
      </c>
      <c r="V41" s="30">
        <f ca="1">IFERROR(__xludf.DUMMYFUNCTION("""COMPUTED_VALUE"""),53.14)</f>
        <v>53.14</v>
      </c>
      <c r="W41" s="2">
        <f ca="1">IFERROR(__xludf.DUMMYFUNCTION("""COMPUTED_VALUE"""),45436.6666666666)</f>
        <v>45436.666666666599</v>
      </c>
      <c r="X41" s="30">
        <f ca="1">IFERROR(__xludf.DUMMYFUNCTION("""COMPUTED_VALUE"""),54.41)</f>
        <v>54.41</v>
      </c>
      <c r="Y41" s="2">
        <f ca="1">IFERROR(__xludf.DUMMYFUNCTION("""COMPUTED_VALUE"""),45376.6666666666)</f>
        <v>45376.666666666599</v>
      </c>
      <c r="Z41" s="30">
        <f ca="1">IFERROR(__xludf.DUMMYFUNCTION("""COMPUTED_VALUE"""),51.23)</f>
        <v>51.23</v>
      </c>
      <c r="AA41" s="2">
        <f ca="1">IFERROR(__xludf.DUMMYFUNCTION("""COMPUTED_VALUE"""),45286.6666666666)</f>
        <v>45286.666666666599</v>
      </c>
      <c r="AB41" s="30">
        <f ca="1">IFERROR(__xludf.DUMMYFUNCTION("""COMPUTED_VALUE"""),43.48)</f>
        <v>43.48</v>
      </c>
      <c r="AC41" s="2">
        <f ca="1">IFERROR(__xludf.DUMMYFUNCTION("""COMPUTED_VALUE"""),44925.6666666666)</f>
        <v>44925.666666666599</v>
      </c>
      <c r="AD41" s="30">
        <f ca="1">IFERROR(__xludf.DUMMYFUNCTION("""COMPUTED_VALUE"""),41.47)</f>
        <v>41.47</v>
      </c>
      <c r="AE41" s="5"/>
      <c r="AF41" s="5"/>
      <c r="AG41" s="5" t="s">
        <v>76</v>
      </c>
      <c r="AH41" s="5">
        <v>4.65E-2</v>
      </c>
      <c r="AI41" s="32">
        <v>-1.0200000000000001E-2</v>
      </c>
      <c r="AK41" s="5"/>
      <c r="AQ41" s="5"/>
      <c r="AR41" s="5"/>
      <c r="AS41" s="5"/>
      <c r="AT41" s="5"/>
      <c r="AU41" s="5"/>
      <c r="AV41" s="5"/>
      <c r="AW41" s="5"/>
      <c r="AX41" s="5"/>
      <c r="AY41" s="5"/>
      <c r="AZ41" s="5"/>
    </row>
    <row r="42" spans="1:61" ht="13.2">
      <c r="A42" s="47">
        <f t="shared" ref="A42:A44" si="3">1+A40</f>
        <v>2</v>
      </c>
      <c r="B42" s="1" t="s">
        <v>366</v>
      </c>
      <c r="C42" s="48" t="str">
        <f ca="1">IFERROR(__xludf.DUMMYFUNCTION("GoogleFinance(B42,""name"")"),"Alcoa Corp")</f>
        <v>Alcoa Corp</v>
      </c>
      <c r="D42" s="49">
        <f ca="1">IFERROR(__xludf.DUMMYFUNCTION("GoogleFinance(B42,""marketcap"")/1000000"),7254.284873)</f>
        <v>7254.2848729999996</v>
      </c>
      <c r="E42" s="50" t="s">
        <v>367</v>
      </c>
      <c r="F42" s="50" t="s">
        <v>368</v>
      </c>
      <c r="G42" s="52">
        <f ca="1">IFERROR(__xludf.DUMMYFUNCTION("GOOGLEFINANCE(B42)"),40.4)</f>
        <v>40.4</v>
      </c>
      <c r="H42" s="59">
        <v>30</v>
      </c>
      <c r="I42" s="546">
        <f ca="1">H42/G42-1</f>
        <v>-0.25742574257425743</v>
      </c>
      <c r="J42" s="26">
        <v>24</v>
      </c>
      <c r="K42" s="547">
        <f>H42/J42-1</f>
        <v>0.25</v>
      </c>
      <c r="L42" s="11">
        <f ca="1">IFERROR(__xludf.DUMMYFUNCTION("GoogleFinance(B42,""changepct"")/100"),0)</f>
        <v>0</v>
      </c>
      <c r="M42" s="11">
        <f ca="1">G42/V43-1</f>
        <v>8.0213903743315607E-2</v>
      </c>
      <c r="N42" s="11">
        <f ca="1">G42/X43-1</f>
        <v>-2.9779058597502406E-2</v>
      </c>
      <c r="O42" s="11">
        <f ca="1">G42/Z43-1</f>
        <v>0.26804770872567474</v>
      </c>
      <c r="P42" s="11">
        <f ca="1">G42/AB43-1</f>
        <v>0.19279598464718051</v>
      </c>
      <c r="Q42" s="11">
        <f ca="1">G42/AD43-1</f>
        <v>-0.11150208928964156</v>
      </c>
      <c r="R42" s="2"/>
      <c r="S42" s="2"/>
      <c r="T42" s="2"/>
      <c r="U42" s="2" t="str">
        <f ca="1">IFERROR(__xludf.DUMMYFUNCTION("GoogleFinance(B42,""price"",today()-7)"),"Date")</f>
        <v>Date</v>
      </c>
      <c r="V42" s="30" t="str">
        <f ca="1">IFERROR(__xludf.DUMMYFUNCTION("""COMPUTED_VALUE"""),"Close")</f>
        <v>Close</v>
      </c>
      <c r="W42" s="2" t="str">
        <f ca="1">IFERROR(__xludf.DUMMYFUNCTION("GoogleFinance(B42,""price"",today()-31)"),"Date")</f>
        <v>Date</v>
      </c>
      <c r="X42" s="30" t="str">
        <f ca="1">IFERROR(__xludf.DUMMYFUNCTION("""COMPUTED_VALUE"""),"Close")</f>
        <v>Close</v>
      </c>
      <c r="Y42" s="2" t="str">
        <f ca="1">IFERROR(__xludf.DUMMYFUNCTION("GoogleFinance(B42,""price"",today()-91)"),"Date")</f>
        <v>Date</v>
      </c>
      <c r="Z42" s="30" t="str">
        <f ca="1">IFERROR(__xludf.DUMMYFUNCTION("""COMPUTED_VALUE"""),"Close")</f>
        <v>Close</v>
      </c>
      <c r="AA42" s="2" t="str">
        <f ca="1">IFERROR(__xludf.DUMMYFUNCTION("GoogleFinance(B42,""price"",today()-182)"),"Date")</f>
        <v>Date</v>
      </c>
      <c r="AB42" s="30" t="str">
        <f ca="1">IFERROR(__xludf.DUMMYFUNCTION("""COMPUTED_VALUE"""),"Close")</f>
        <v>Close</v>
      </c>
      <c r="AC42" s="2" t="str">
        <f ca="1">IFERROR(__xludf.DUMMYFUNCTION("GoogleFinance(B42,""price"",DATE(2022,12,30))"),"Date")</f>
        <v>Date</v>
      </c>
      <c r="AD42" s="30" t="str">
        <f ca="1">IFERROR(__xludf.DUMMYFUNCTION("""COMPUTED_VALUE"""),"Close")</f>
        <v>Close</v>
      </c>
      <c r="AE42" s="5"/>
      <c r="AF42" s="5"/>
      <c r="AG42" s="5"/>
      <c r="AH42" s="5"/>
      <c r="AK42" s="5"/>
      <c r="AQ42" s="5"/>
      <c r="AR42" s="5"/>
      <c r="AS42" s="5"/>
      <c r="AT42" s="5"/>
      <c r="AU42" s="5"/>
      <c r="AV42" s="5"/>
      <c r="AW42" s="5"/>
      <c r="AX42" s="5"/>
      <c r="AY42" s="5"/>
      <c r="AZ42" s="5"/>
    </row>
    <row r="43" spans="1:61" ht="13.2" hidden="1">
      <c r="A43" s="47">
        <f t="shared" si="3"/>
        <v>2</v>
      </c>
      <c r="B43" s="1"/>
      <c r="C43" s="48"/>
      <c r="D43" s="49"/>
      <c r="E43" s="50"/>
      <c r="F43" s="50"/>
      <c r="G43" s="131"/>
      <c r="H43" s="59"/>
      <c r="I43" s="57"/>
      <c r="J43" s="50"/>
      <c r="K43" s="109"/>
      <c r="L43" s="9"/>
      <c r="M43" s="57"/>
      <c r="N43" s="57"/>
      <c r="O43" s="57"/>
      <c r="P43" s="57"/>
      <c r="Q43" s="57"/>
      <c r="R43" s="2"/>
      <c r="S43" s="2"/>
      <c r="T43" s="2"/>
      <c r="U43" s="2">
        <f ca="1">IFERROR(__xludf.DUMMYFUNCTION("""COMPUTED_VALUE"""),45460.6666666666)</f>
        <v>45460.666666666599</v>
      </c>
      <c r="V43" s="30">
        <f ca="1">IFERROR(__xludf.DUMMYFUNCTION("""COMPUTED_VALUE"""),37.4)</f>
        <v>37.4</v>
      </c>
      <c r="W43" s="2">
        <f ca="1">IFERROR(__xludf.DUMMYFUNCTION("""COMPUTED_VALUE"""),45436.6666666666)</f>
        <v>45436.666666666599</v>
      </c>
      <c r="X43" s="30">
        <f ca="1">IFERROR(__xludf.DUMMYFUNCTION("""COMPUTED_VALUE"""),41.64)</f>
        <v>41.64</v>
      </c>
      <c r="Y43" s="2">
        <f ca="1">IFERROR(__xludf.DUMMYFUNCTION("""COMPUTED_VALUE"""),45376.6666666666)</f>
        <v>45376.666666666599</v>
      </c>
      <c r="Z43" s="30">
        <f ca="1">IFERROR(__xludf.DUMMYFUNCTION("""COMPUTED_VALUE"""),31.86)</f>
        <v>31.86</v>
      </c>
      <c r="AA43" s="2">
        <f ca="1">IFERROR(__xludf.DUMMYFUNCTION("""COMPUTED_VALUE"""),45286.6666666666)</f>
        <v>45286.666666666599</v>
      </c>
      <c r="AB43" s="30">
        <f ca="1">IFERROR(__xludf.DUMMYFUNCTION("""COMPUTED_VALUE"""),33.87)</f>
        <v>33.869999999999997</v>
      </c>
      <c r="AC43" s="2">
        <f ca="1">IFERROR(__xludf.DUMMYFUNCTION("""COMPUTED_VALUE"""),44925.6666666666)</f>
        <v>44925.666666666599</v>
      </c>
      <c r="AD43" s="30">
        <f ca="1">IFERROR(__xludf.DUMMYFUNCTION("""COMPUTED_VALUE"""),45.47)</f>
        <v>45.47</v>
      </c>
      <c r="AE43" s="5"/>
      <c r="AF43" s="5"/>
      <c r="AG43" s="5" t="s">
        <v>76</v>
      </c>
      <c r="AH43" s="5">
        <v>4.65E-2</v>
      </c>
      <c r="AI43" s="32">
        <v>-1.0200000000000001E-2</v>
      </c>
      <c r="AK43" s="5"/>
      <c r="AQ43" s="5"/>
      <c r="AR43" s="5"/>
      <c r="AS43" s="5"/>
      <c r="AT43" s="5"/>
      <c r="AU43" s="5"/>
      <c r="AV43" s="5"/>
      <c r="AW43" s="5"/>
      <c r="AX43" s="5"/>
      <c r="AY43" s="5"/>
      <c r="AZ43" s="5"/>
    </row>
    <row r="44" spans="1:61" ht="13.2">
      <c r="A44" s="47">
        <f t="shared" si="3"/>
        <v>3</v>
      </c>
      <c r="B44" s="1" t="s">
        <v>369</v>
      </c>
      <c r="C44" s="48" t="str">
        <f ca="1">IFERROR(__xludf.DUMMYFUNCTION("GoogleFinance(B44,""name"")"),"Air Products and Chemicals Inc")</f>
        <v>Air Products and Chemicals Inc</v>
      </c>
      <c r="D44" s="49">
        <f ca="1">IFERROR(__xludf.DUMMYFUNCTION("GoogleFinance(B44,""marketcap"")/1000000"),60669.503983)</f>
        <v>60669.503983000002</v>
      </c>
      <c r="E44" s="50" t="s">
        <v>11</v>
      </c>
      <c r="F44" s="50" t="s">
        <v>370</v>
      </c>
      <c r="G44" s="52">
        <f ca="1">IFERROR(__xludf.DUMMYFUNCTION("GOOGLEFINANCE(B44)"),272.91)</f>
        <v>272.91000000000003</v>
      </c>
      <c r="H44" s="59">
        <v>294</v>
      </c>
      <c r="I44" s="546">
        <f ca="1">H44/G44-1</f>
        <v>7.7278223590194539E-2</v>
      </c>
      <c r="J44" s="26">
        <v>250</v>
      </c>
      <c r="K44" s="547">
        <f>H44/J44-1</f>
        <v>0.17599999999999993</v>
      </c>
      <c r="L44" s="11">
        <f ca="1">IFERROR(__xludf.DUMMYFUNCTION("GoogleFinance(B44,""changepct"")/100"),0)</f>
        <v>0</v>
      </c>
      <c r="M44" s="11">
        <f ca="1">G44/V45-1</f>
        <v>-7.3230566438431399E-4</v>
      </c>
      <c r="N44" s="11">
        <f ca="1">G44/X45-1</f>
        <v>3.1366917350062362E-2</v>
      </c>
      <c r="O44" s="11">
        <f ca="1">G44/Z45-1</f>
        <v>0.14880451254419946</v>
      </c>
      <c r="P44" s="11">
        <f ca="1">G44/AB45-1</f>
        <v>-7.1306435769635801E-3</v>
      </c>
      <c r="Q44" s="11">
        <f ca="1">G44/AD45-1</f>
        <v>-0.11467592292220841</v>
      </c>
      <c r="R44" s="2"/>
      <c r="S44" s="2"/>
      <c r="T44" s="2"/>
      <c r="U44" s="2" t="str">
        <f ca="1">IFERROR(__xludf.DUMMYFUNCTION("GoogleFinance(B44,""price"",today()-7)"),"Date")</f>
        <v>Date</v>
      </c>
      <c r="V44" s="30" t="str">
        <f ca="1">IFERROR(__xludf.DUMMYFUNCTION("""COMPUTED_VALUE"""),"Close")</f>
        <v>Close</v>
      </c>
      <c r="W44" s="2" t="str">
        <f ca="1">IFERROR(__xludf.DUMMYFUNCTION("GoogleFinance(B44,""price"",today()-31)"),"Date")</f>
        <v>Date</v>
      </c>
      <c r="X44" s="30" t="str">
        <f ca="1">IFERROR(__xludf.DUMMYFUNCTION("""COMPUTED_VALUE"""),"Close")</f>
        <v>Close</v>
      </c>
      <c r="Y44" s="2" t="str">
        <f ca="1">IFERROR(__xludf.DUMMYFUNCTION("GoogleFinance(B44,""price"",today()-91)"),"Date")</f>
        <v>Date</v>
      </c>
      <c r="Z44" s="30" t="str">
        <f ca="1">IFERROR(__xludf.DUMMYFUNCTION("""COMPUTED_VALUE"""),"Close")</f>
        <v>Close</v>
      </c>
      <c r="AA44" s="2" t="str">
        <f ca="1">IFERROR(__xludf.DUMMYFUNCTION("GoogleFinance(B44,""price"",today()-182)"),"Date")</f>
        <v>Date</v>
      </c>
      <c r="AB44" s="30" t="str">
        <f ca="1">IFERROR(__xludf.DUMMYFUNCTION("""COMPUTED_VALUE"""),"Close")</f>
        <v>Close</v>
      </c>
      <c r="AC44" s="2" t="str">
        <f ca="1">IFERROR(__xludf.DUMMYFUNCTION("GoogleFinance(B44,""price"",DATE(2022,12,30))"),"Date")</f>
        <v>Date</v>
      </c>
      <c r="AD44" s="30" t="str">
        <f ca="1">IFERROR(__xludf.DUMMYFUNCTION("""COMPUTED_VALUE"""),"Close")</f>
        <v>Close</v>
      </c>
      <c r="AE44" s="5"/>
      <c r="AF44" s="5"/>
      <c r="AG44" s="5"/>
      <c r="AH44" s="5"/>
      <c r="AK44" s="5"/>
      <c r="AQ44" s="5"/>
      <c r="AR44" s="5"/>
      <c r="AS44" s="5"/>
      <c r="AT44" s="5"/>
      <c r="AU44" s="5"/>
      <c r="AV44" s="5"/>
      <c r="AW44" s="5"/>
      <c r="AX44" s="5"/>
      <c r="AY44" s="5"/>
      <c r="AZ44" s="5"/>
    </row>
    <row r="45" spans="1:61" ht="13.2" hidden="1">
      <c r="A45" s="47"/>
      <c r="B45" s="1"/>
      <c r="C45" s="48"/>
      <c r="D45" s="49"/>
      <c r="E45" s="50"/>
      <c r="F45" s="50"/>
      <c r="G45" s="131"/>
      <c r="H45" s="59"/>
      <c r="I45" s="57"/>
      <c r="J45" s="50"/>
      <c r="K45" s="109"/>
      <c r="L45" s="9"/>
      <c r="M45" s="57"/>
      <c r="N45" s="57"/>
      <c r="O45" s="57"/>
      <c r="P45" s="57"/>
      <c r="Q45" s="57"/>
      <c r="R45" s="2"/>
      <c r="S45" s="2"/>
      <c r="T45" s="2"/>
      <c r="U45" s="2">
        <f ca="1">IFERROR(__xludf.DUMMYFUNCTION("""COMPUTED_VALUE"""),45460.6666666666)</f>
        <v>45460.666666666599</v>
      </c>
      <c r="V45" s="30">
        <f ca="1">IFERROR(__xludf.DUMMYFUNCTION("""COMPUTED_VALUE"""),273.11)</f>
        <v>273.11</v>
      </c>
      <c r="W45" s="2">
        <f ca="1">IFERROR(__xludf.DUMMYFUNCTION("""COMPUTED_VALUE"""),45436.6666666666)</f>
        <v>45436.666666666599</v>
      </c>
      <c r="X45" s="30">
        <f ca="1">IFERROR(__xludf.DUMMYFUNCTION("""COMPUTED_VALUE"""),264.61)</f>
        <v>264.61</v>
      </c>
      <c r="Y45" s="2">
        <f ca="1">IFERROR(__xludf.DUMMYFUNCTION("""COMPUTED_VALUE"""),45376.6666666666)</f>
        <v>45376.666666666599</v>
      </c>
      <c r="Z45" s="30">
        <f ca="1">IFERROR(__xludf.DUMMYFUNCTION("""COMPUTED_VALUE"""),237.56)</f>
        <v>237.56</v>
      </c>
      <c r="AA45" s="2">
        <f ca="1">IFERROR(__xludf.DUMMYFUNCTION("""COMPUTED_VALUE"""),45286.6666666666)</f>
        <v>45286.666666666599</v>
      </c>
      <c r="AB45" s="30">
        <f ca="1">IFERROR(__xludf.DUMMYFUNCTION("""COMPUTED_VALUE"""),274.87)</f>
        <v>274.87</v>
      </c>
      <c r="AC45" s="2">
        <f ca="1">IFERROR(__xludf.DUMMYFUNCTION("""COMPUTED_VALUE"""),44925.6666666666)</f>
        <v>44925.666666666599</v>
      </c>
      <c r="AD45" s="30">
        <f ca="1">IFERROR(__xludf.DUMMYFUNCTION("""COMPUTED_VALUE"""),308.26)</f>
        <v>308.26</v>
      </c>
      <c r="AE45" s="5"/>
      <c r="AF45" s="5"/>
      <c r="AG45" s="5" t="s">
        <v>76</v>
      </c>
      <c r="AH45" s="5">
        <v>4.65E-2</v>
      </c>
      <c r="AI45" s="32">
        <v>-1.0200000000000001E-2</v>
      </c>
      <c r="AK45" s="5"/>
      <c r="AQ45" s="5"/>
      <c r="AR45" s="5"/>
      <c r="AS45" s="5"/>
      <c r="AT45" s="5"/>
      <c r="AU45" s="5"/>
      <c r="AV45" s="5"/>
      <c r="AW45" s="5"/>
      <c r="AX45" s="5"/>
      <c r="AY45" s="5"/>
      <c r="AZ45" s="5"/>
    </row>
    <row r="46" spans="1:61" ht="13.2">
      <c r="A46" s="47">
        <f>1+A44</f>
        <v>4</v>
      </c>
      <c r="B46" s="1" t="s">
        <v>371</v>
      </c>
      <c r="C46" s="48" t="str">
        <f ca="1">IFERROR(__xludf.DUMMYFUNCTION("GoogleFinance(B46,""name"")"),"Eli Lilly And Co")</f>
        <v>Eli Lilly And Co</v>
      </c>
      <c r="D46" s="49">
        <f ca="1">IFERROR(__xludf.DUMMYFUNCTION("GoogleFinance(B46,""marketcap"")/1000000"),840044.329592)</f>
        <v>840044.32959199999</v>
      </c>
      <c r="E46" s="50" t="s">
        <v>15</v>
      </c>
      <c r="F46" s="50" t="s">
        <v>372</v>
      </c>
      <c r="G46" s="52">
        <f ca="1">IFERROR(__xludf.DUMMYFUNCTION("GOOGLEFINANCE(B46)"),883.88)</f>
        <v>883.88</v>
      </c>
      <c r="H46" s="59">
        <v>560</v>
      </c>
      <c r="I46" s="546">
        <f ca="1">H46/G46-1</f>
        <v>-0.36642983210390545</v>
      </c>
      <c r="J46" s="26">
        <v>430</v>
      </c>
      <c r="K46" s="547">
        <f>H46/J46-1</f>
        <v>0.30232558139534893</v>
      </c>
      <c r="L46" s="11">
        <f ca="1">IFERROR(__xludf.DUMMYFUNCTION("GoogleFinance(B46,""changepct"")/100"),-0.0009)</f>
        <v>-8.9999999999999998E-4</v>
      </c>
      <c r="M46" s="11">
        <f ca="1">G46/V47-1</f>
        <v>-1.2768217308278818E-3</v>
      </c>
      <c r="N46" s="11">
        <f ca="1">G46/X47-1</f>
        <v>9.468313042616705E-2</v>
      </c>
      <c r="O46" s="11">
        <f ca="1">G46/Z47-1</f>
        <v>0.14323408438316476</v>
      </c>
      <c r="P46" s="11">
        <f ca="1">G46/AB47-1</f>
        <v>0.54884609318870803</v>
      </c>
      <c r="Q46" s="11">
        <f ca="1">G46/AD47-1</f>
        <v>1.4160288650776298</v>
      </c>
      <c r="R46" s="2"/>
      <c r="S46" s="2"/>
      <c r="T46" s="2"/>
      <c r="U46" s="2" t="str">
        <f ca="1">IFERROR(__xludf.DUMMYFUNCTION("GoogleFinance(B46,""price"",today()-7)"),"Date")</f>
        <v>Date</v>
      </c>
      <c r="V46" s="30" t="str">
        <f ca="1">IFERROR(__xludf.DUMMYFUNCTION("""COMPUTED_VALUE"""),"Close")</f>
        <v>Close</v>
      </c>
      <c r="W46" s="2" t="str">
        <f ca="1">IFERROR(__xludf.DUMMYFUNCTION("GoogleFinance(B46,""price"",today()-31)"),"Date")</f>
        <v>Date</v>
      </c>
      <c r="X46" s="30" t="str">
        <f ca="1">IFERROR(__xludf.DUMMYFUNCTION("""COMPUTED_VALUE"""),"Close")</f>
        <v>Close</v>
      </c>
      <c r="Y46" s="2" t="str">
        <f ca="1">IFERROR(__xludf.DUMMYFUNCTION("GoogleFinance(B46,""price"",today()-91)"),"Date")</f>
        <v>Date</v>
      </c>
      <c r="Z46" s="30" t="str">
        <f ca="1">IFERROR(__xludf.DUMMYFUNCTION("""COMPUTED_VALUE"""),"Close")</f>
        <v>Close</v>
      </c>
      <c r="AA46" s="2" t="str">
        <f ca="1">IFERROR(__xludf.DUMMYFUNCTION("GoogleFinance(B46,""price"",today()-182)"),"Date")</f>
        <v>Date</v>
      </c>
      <c r="AB46" s="30" t="str">
        <f ca="1">IFERROR(__xludf.DUMMYFUNCTION("""COMPUTED_VALUE"""),"Close")</f>
        <v>Close</v>
      </c>
      <c r="AC46" s="2" t="str">
        <f ca="1">IFERROR(__xludf.DUMMYFUNCTION("GoogleFinance(B46,""price"",DATE(2022,12,30))"),"Date")</f>
        <v>Date</v>
      </c>
      <c r="AD46" s="30" t="str">
        <f ca="1">IFERROR(__xludf.DUMMYFUNCTION("""COMPUTED_VALUE"""),"Close")</f>
        <v>Close</v>
      </c>
      <c r="AE46" s="5"/>
      <c r="AF46" s="5"/>
      <c r="AG46" s="5"/>
      <c r="AH46" s="5"/>
      <c r="AK46" s="5"/>
      <c r="AQ46" s="5"/>
      <c r="AR46" s="5"/>
      <c r="AS46" s="5"/>
      <c r="AT46" s="5"/>
      <c r="AU46" s="5"/>
      <c r="AV46" s="5"/>
      <c r="AW46" s="5"/>
      <c r="AX46" s="5"/>
      <c r="AY46" s="5"/>
      <c r="AZ46" s="5"/>
    </row>
    <row r="47" spans="1:61" ht="13.2" hidden="1">
      <c r="A47" s="47"/>
      <c r="B47" s="1"/>
      <c r="C47" s="48"/>
      <c r="D47" s="49"/>
      <c r="E47" s="50"/>
      <c r="F47" s="50"/>
      <c r="G47" s="131"/>
      <c r="H47" s="59"/>
      <c r="I47" s="57"/>
      <c r="J47" s="50"/>
      <c r="K47" s="109"/>
      <c r="L47" s="9"/>
      <c r="M47" s="57"/>
      <c r="N47" s="57"/>
      <c r="O47" s="57"/>
      <c r="P47" s="57"/>
      <c r="Q47" s="57"/>
      <c r="R47" s="2"/>
      <c r="S47" s="2"/>
      <c r="T47" s="2"/>
      <c r="U47" s="2">
        <f ca="1">IFERROR(__xludf.DUMMYFUNCTION("""COMPUTED_VALUE"""),45460.6666666666)</f>
        <v>45460.666666666599</v>
      </c>
      <c r="V47" s="30">
        <f ca="1">IFERROR(__xludf.DUMMYFUNCTION("""COMPUTED_VALUE"""),885.01)</f>
        <v>885.01</v>
      </c>
      <c r="W47" s="2">
        <f ca="1">IFERROR(__xludf.DUMMYFUNCTION("""COMPUTED_VALUE"""),45436.6666666666)</f>
        <v>45436.666666666599</v>
      </c>
      <c r="X47" s="30">
        <f ca="1">IFERROR(__xludf.DUMMYFUNCTION("""COMPUTED_VALUE"""),807.43)</f>
        <v>807.43</v>
      </c>
      <c r="Y47" s="2">
        <f ca="1">IFERROR(__xludf.DUMMYFUNCTION("""COMPUTED_VALUE"""),45376.6666666666)</f>
        <v>45376.666666666599</v>
      </c>
      <c r="Z47" s="30">
        <f ca="1">IFERROR(__xludf.DUMMYFUNCTION("""COMPUTED_VALUE"""),773.14)</f>
        <v>773.14</v>
      </c>
      <c r="AA47" s="2">
        <f ca="1">IFERROR(__xludf.DUMMYFUNCTION("""COMPUTED_VALUE"""),45286.6666666666)</f>
        <v>45286.666666666599</v>
      </c>
      <c r="AB47" s="30">
        <f ca="1">IFERROR(__xludf.DUMMYFUNCTION("""COMPUTED_VALUE"""),570.67)</f>
        <v>570.66999999999996</v>
      </c>
      <c r="AC47" s="2">
        <f ca="1">IFERROR(__xludf.DUMMYFUNCTION("""COMPUTED_VALUE"""),44925.6666666666)</f>
        <v>44925.666666666599</v>
      </c>
      <c r="AD47" s="30">
        <f ca="1">IFERROR(__xludf.DUMMYFUNCTION("""COMPUTED_VALUE"""),365.84)</f>
        <v>365.84</v>
      </c>
      <c r="AE47" s="5"/>
      <c r="AF47" s="5"/>
      <c r="AG47" s="5" t="s">
        <v>76</v>
      </c>
      <c r="AH47" s="5">
        <v>4.65E-2</v>
      </c>
      <c r="AI47" s="32">
        <v>-1.0200000000000001E-2</v>
      </c>
      <c r="AK47" s="5"/>
      <c r="AQ47" s="5"/>
      <c r="AR47" s="5"/>
      <c r="AS47" s="5"/>
      <c r="AT47" s="5"/>
      <c r="AU47" s="5"/>
      <c r="AV47" s="5"/>
      <c r="AW47" s="5"/>
      <c r="AX47" s="5"/>
      <c r="AY47" s="5"/>
      <c r="AZ47" s="5"/>
    </row>
    <row r="48" spans="1:61" ht="13.2">
      <c r="A48" s="47">
        <f>1+A46</f>
        <v>5</v>
      </c>
      <c r="B48" s="1" t="s">
        <v>239</v>
      </c>
      <c r="C48" s="48" t="str">
        <f ca="1">IFERROR(__xludf.DUMMYFUNCTION("GoogleFinance(B48,""name"")"),"Madison Square Garden Sports Corp")</f>
        <v>Madison Square Garden Sports Corp</v>
      </c>
      <c r="D48" s="49">
        <f ca="1">IFERROR(__xludf.DUMMYFUNCTION("GoogleFinance(B48,""marketcap"")/1000000"),4513.806)</f>
        <v>4513.8059999999996</v>
      </c>
      <c r="E48" s="50" t="s">
        <v>12</v>
      </c>
      <c r="F48" s="50" t="s">
        <v>99</v>
      </c>
      <c r="G48" s="52">
        <f ca="1">IFERROR(__xludf.DUMMYFUNCTION("GOOGLEFINANCE(B48)"),188.5)</f>
        <v>188.5</v>
      </c>
      <c r="H48" s="59">
        <v>185</v>
      </c>
      <c r="I48" s="546">
        <f ca="1">H48/G48-1</f>
        <v>-1.8567639257294433E-2</v>
      </c>
      <c r="J48" s="26">
        <v>130</v>
      </c>
      <c r="K48" s="547">
        <f>H48/J48-1</f>
        <v>0.42307692307692313</v>
      </c>
      <c r="L48" s="11">
        <f ca="1">IFERROR(__xludf.DUMMYFUNCTION("GoogleFinance(B48,""changepct"")/100"),0)</f>
        <v>0</v>
      </c>
      <c r="M48" s="11">
        <f ca="1">G48/V49-1</f>
        <v>3.851027491598269E-2</v>
      </c>
      <c r="N48" s="11">
        <f ca="1">G48/X49-1</f>
        <v>2.2788931090613085E-2</v>
      </c>
      <c r="O48" s="11">
        <f ca="1">G48/Z49-1</f>
        <v>4.0344389866990404E-2</v>
      </c>
      <c r="P48" s="11">
        <f ca="1">G48/AB49-1</f>
        <v>4.2300248824993059E-2</v>
      </c>
      <c r="Q48" s="11">
        <f ca="1">G48/AD49-1</f>
        <v>2.8200512736595185E-2</v>
      </c>
      <c r="R48" s="2"/>
      <c r="S48" s="2"/>
      <c r="T48" s="2"/>
      <c r="U48" s="2" t="str">
        <f ca="1">IFERROR(__xludf.DUMMYFUNCTION("GoogleFinance(B48,""price"",today()-7)"),"Date")</f>
        <v>Date</v>
      </c>
      <c r="V48" s="30" t="str">
        <f ca="1">IFERROR(__xludf.DUMMYFUNCTION("""COMPUTED_VALUE"""),"Close")</f>
        <v>Close</v>
      </c>
      <c r="W48" s="2" t="str">
        <f ca="1">IFERROR(__xludf.DUMMYFUNCTION("GoogleFinance(B48,""price"",today()-31)"),"Date")</f>
        <v>Date</v>
      </c>
      <c r="X48" s="30" t="str">
        <f ca="1">IFERROR(__xludf.DUMMYFUNCTION("""COMPUTED_VALUE"""),"Close")</f>
        <v>Close</v>
      </c>
      <c r="Y48" s="2" t="str">
        <f ca="1">IFERROR(__xludf.DUMMYFUNCTION("GoogleFinance(B48,""price"",today()-91)"),"Date")</f>
        <v>Date</v>
      </c>
      <c r="Z48" s="30" t="str">
        <f ca="1">IFERROR(__xludf.DUMMYFUNCTION("""COMPUTED_VALUE"""),"Close")</f>
        <v>Close</v>
      </c>
      <c r="AA48" s="2" t="str">
        <f ca="1">IFERROR(__xludf.DUMMYFUNCTION("GoogleFinance(B48,""price"",today()-182)"),"Date")</f>
        <v>Date</v>
      </c>
      <c r="AB48" s="30" t="str">
        <f ca="1">IFERROR(__xludf.DUMMYFUNCTION("""COMPUTED_VALUE"""),"Close")</f>
        <v>Close</v>
      </c>
      <c r="AC48" s="2" t="str">
        <f ca="1">IFERROR(__xludf.DUMMYFUNCTION("GoogleFinance(B48,""price"",DATE(2022,12,30))"),"Date")</f>
        <v>Date</v>
      </c>
      <c r="AD48" s="30" t="str">
        <f ca="1">IFERROR(__xludf.DUMMYFUNCTION("""COMPUTED_VALUE"""),"Close")</f>
        <v>Close</v>
      </c>
      <c r="AE48" s="5"/>
      <c r="AF48" s="5"/>
      <c r="AG48" s="5"/>
      <c r="AH48" s="5"/>
      <c r="AK48" s="5"/>
      <c r="AQ48" s="5"/>
      <c r="AR48" s="5"/>
      <c r="AS48" s="5"/>
      <c r="AT48" s="5"/>
      <c r="AU48" s="5"/>
      <c r="AV48" s="5"/>
      <c r="AW48" s="5"/>
      <c r="AX48" s="5"/>
      <c r="AY48" s="5"/>
      <c r="AZ48" s="5"/>
    </row>
    <row r="49" spans="1:61" ht="13.2" hidden="1">
      <c r="A49" s="47"/>
      <c r="B49" s="1"/>
      <c r="C49" s="48"/>
      <c r="D49" s="49"/>
      <c r="E49" s="50"/>
      <c r="F49" s="50"/>
      <c r="G49" s="131"/>
      <c r="H49" s="59"/>
      <c r="I49" s="57"/>
      <c r="J49" s="50"/>
      <c r="K49" s="109"/>
      <c r="L49" s="9"/>
      <c r="M49" s="57"/>
      <c r="N49" s="57"/>
      <c r="O49" s="57"/>
      <c r="P49" s="57"/>
      <c r="Q49" s="57"/>
      <c r="R49" s="2"/>
      <c r="S49" s="2"/>
      <c r="T49" s="2"/>
      <c r="U49" s="2">
        <f ca="1">IFERROR(__xludf.DUMMYFUNCTION("""COMPUTED_VALUE"""),45460.6666666666)</f>
        <v>45460.666666666599</v>
      </c>
      <c r="V49" s="30">
        <f ca="1">IFERROR(__xludf.DUMMYFUNCTION("""COMPUTED_VALUE"""),181.51)</f>
        <v>181.51</v>
      </c>
      <c r="W49" s="2">
        <f ca="1">IFERROR(__xludf.DUMMYFUNCTION("""COMPUTED_VALUE"""),45436.6666666666)</f>
        <v>45436.666666666599</v>
      </c>
      <c r="X49" s="30">
        <f ca="1">IFERROR(__xludf.DUMMYFUNCTION("""COMPUTED_VALUE"""),184.3)</f>
        <v>184.3</v>
      </c>
      <c r="Y49" s="2">
        <f ca="1">IFERROR(__xludf.DUMMYFUNCTION("""COMPUTED_VALUE"""),45376.6666666666)</f>
        <v>45376.666666666599</v>
      </c>
      <c r="Z49" s="30">
        <f ca="1">IFERROR(__xludf.DUMMYFUNCTION("""COMPUTED_VALUE"""),181.19)</f>
        <v>181.19</v>
      </c>
      <c r="AA49" s="2">
        <f ca="1">IFERROR(__xludf.DUMMYFUNCTION("""COMPUTED_VALUE"""),45286.6666666666)</f>
        <v>45286.666666666599</v>
      </c>
      <c r="AB49" s="30">
        <f ca="1">IFERROR(__xludf.DUMMYFUNCTION("""COMPUTED_VALUE"""),180.85)</f>
        <v>180.85</v>
      </c>
      <c r="AC49" s="2">
        <f ca="1">IFERROR(__xludf.DUMMYFUNCTION("""COMPUTED_VALUE"""),44925.6666666666)</f>
        <v>44925.666666666599</v>
      </c>
      <c r="AD49" s="30">
        <f ca="1">IFERROR(__xludf.DUMMYFUNCTION("""COMPUTED_VALUE"""),183.33)</f>
        <v>183.33</v>
      </c>
      <c r="AE49" s="5"/>
      <c r="AF49" s="5"/>
      <c r="AG49" s="5" t="s">
        <v>76</v>
      </c>
      <c r="AH49" s="5">
        <v>4.65E-2</v>
      </c>
      <c r="AI49" s="32">
        <v>-1.0200000000000001E-2</v>
      </c>
      <c r="AK49" s="5"/>
      <c r="AQ49" s="5"/>
      <c r="AR49" s="5"/>
      <c r="AS49" s="5"/>
      <c r="AT49" s="5"/>
      <c r="AU49" s="5"/>
      <c r="AV49" s="5"/>
      <c r="AW49" s="5"/>
      <c r="AX49" s="5"/>
      <c r="AY49" s="5"/>
      <c r="AZ49" s="5"/>
    </row>
    <row r="50" spans="1:61" ht="13.2">
      <c r="A50" s="47">
        <f>1+A48</f>
        <v>6</v>
      </c>
      <c r="B50" s="1" t="s">
        <v>373</v>
      </c>
      <c r="C50" s="48" t="str">
        <f ca="1">IFERROR(__xludf.DUMMYFUNCTION("GoogleFinance(B50,""name"")"),"Lowe's Companies Inc")</f>
        <v>Lowe's Companies Inc</v>
      </c>
      <c r="D50" s="49">
        <f ca="1">IFERROR(__xludf.DUMMYFUNCTION("GoogleFinance(B50,""marketcap"")/1000000"),130258.603422)</f>
        <v>130258.603422</v>
      </c>
      <c r="E50" s="50" t="s">
        <v>374</v>
      </c>
      <c r="F50" s="50" t="s">
        <v>78</v>
      </c>
      <c r="G50" s="52">
        <f ca="1">IFERROR(__xludf.DUMMYFUNCTION("GOOGLEFINANCE(B50)"),228.59)</f>
        <v>228.59</v>
      </c>
      <c r="H50" s="59">
        <v>220</v>
      </c>
      <c r="I50" s="546">
        <f ca="1">H50/G50-1</f>
        <v>-3.7578196771512307E-2</v>
      </c>
      <c r="J50" s="26">
        <v>162</v>
      </c>
      <c r="K50" s="547">
        <f>H50/J50-1</f>
        <v>0.35802469135802473</v>
      </c>
      <c r="L50" s="11">
        <f ca="1">IFERROR(__xludf.DUMMYFUNCTION("GoogleFinance(B50,""changepct"")/100"),0)</f>
        <v>0</v>
      </c>
      <c r="M50" s="11">
        <f ca="1">G50/V51-1</f>
        <v>8.0257529655598514E-3</v>
      </c>
      <c r="N50" s="11">
        <f ca="1">G50/X51-1</f>
        <v>6.217183216393285E-2</v>
      </c>
      <c r="O50" s="11">
        <f ca="1">G50/Z51-1</f>
        <v>-0.1000393700787402</v>
      </c>
      <c r="P50" s="11">
        <f ca="1">G50/AB51-1</f>
        <v>2.5895341531280813E-2</v>
      </c>
      <c r="Q50" s="11">
        <f ca="1">G50/AD51-1</f>
        <v>0.14730977715318216</v>
      </c>
      <c r="R50" s="2"/>
      <c r="S50" s="2"/>
      <c r="T50" s="2"/>
      <c r="U50" s="2" t="str">
        <f ca="1">IFERROR(__xludf.DUMMYFUNCTION("GoogleFinance(B50,""price"",today()-7)"),"Date")</f>
        <v>Date</v>
      </c>
      <c r="V50" s="30" t="str">
        <f ca="1">IFERROR(__xludf.DUMMYFUNCTION("""COMPUTED_VALUE"""),"Close")</f>
        <v>Close</v>
      </c>
      <c r="W50" s="2" t="str">
        <f ca="1">IFERROR(__xludf.DUMMYFUNCTION("GoogleFinance(B50,""price"",today()-31)"),"Date")</f>
        <v>Date</v>
      </c>
      <c r="X50" s="30" t="str">
        <f ca="1">IFERROR(__xludf.DUMMYFUNCTION("""COMPUTED_VALUE"""),"Close")</f>
        <v>Close</v>
      </c>
      <c r="Y50" s="2" t="str">
        <f ca="1">IFERROR(__xludf.DUMMYFUNCTION("GoogleFinance(B50,""price"",today()-91)"),"Date")</f>
        <v>Date</v>
      </c>
      <c r="Z50" s="30" t="str">
        <f ca="1">IFERROR(__xludf.DUMMYFUNCTION("""COMPUTED_VALUE"""),"Close")</f>
        <v>Close</v>
      </c>
      <c r="AA50" s="2" t="str">
        <f ca="1">IFERROR(__xludf.DUMMYFUNCTION("GoogleFinance(B50,""price"",today()-182)"),"Date")</f>
        <v>Date</v>
      </c>
      <c r="AB50" s="30" t="str">
        <f ca="1">IFERROR(__xludf.DUMMYFUNCTION("""COMPUTED_VALUE"""),"Close")</f>
        <v>Close</v>
      </c>
      <c r="AC50" s="2" t="str">
        <f ca="1">IFERROR(__xludf.DUMMYFUNCTION("GoogleFinance(B50,""price"",DATE(2022,12,30))"),"Date")</f>
        <v>Date</v>
      </c>
      <c r="AD50" s="30" t="str">
        <f ca="1">IFERROR(__xludf.DUMMYFUNCTION("""COMPUTED_VALUE"""),"Close")</f>
        <v>Close</v>
      </c>
      <c r="AE50" s="5"/>
      <c r="AF50" s="5"/>
      <c r="AG50" s="5"/>
      <c r="AH50" s="5"/>
      <c r="AK50" s="5"/>
      <c r="AQ50" s="5"/>
      <c r="AR50" s="5"/>
      <c r="AS50" s="5"/>
      <c r="AT50" s="5"/>
      <c r="AU50" s="5"/>
      <c r="AV50" s="5"/>
      <c r="AW50" s="5"/>
      <c r="AX50" s="5"/>
      <c r="AY50" s="5"/>
      <c r="AZ50" s="5"/>
    </row>
    <row r="51" spans="1:61" ht="13.2">
      <c r="A51" s="47"/>
      <c r="B51" s="1"/>
      <c r="C51" s="48"/>
      <c r="D51" s="49"/>
      <c r="E51" s="50"/>
      <c r="F51" s="50"/>
      <c r="G51" s="131"/>
      <c r="H51" s="59"/>
      <c r="I51" s="57"/>
      <c r="J51" s="50"/>
      <c r="K51" s="109"/>
      <c r="L51" s="9"/>
      <c r="M51" s="57"/>
      <c r="N51" s="57"/>
      <c r="O51" s="57"/>
      <c r="P51" s="57"/>
      <c r="Q51" s="57"/>
      <c r="R51" s="2"/>
      <c r="S51" s="2"/>
      <c r="T51" s="2"/>
      <c r="U51" s="2">
        <f ca="1">IFERROR(__xludf.DUMMYFUNCTION("""COMPUTED_VALUE"""),45460.6666666666)</f>
        <v>45460.666666666599</v>
      </c>
      <c r="V51" s="30">
        <f ca="1">IFERROR(__xludf.DUMMYFUNCTION("""COMPUTED_VALUE"""),226.77)</f>
        <v>226.77</v>
      </c>
      <c r="W51" s="2">
        <f ca="1">IFERROR(__xludf.DUMMYFUNCTION("""COMPUTED_VALUE"""),45436.6666666666)</f>
        <v>45436.666666666599</v>
      </c>
      <c r="X51" s="30">
        <f ca="1">IFERROR(__xludf.DUMMYFUNCTION("""COMPUTED_VALUE"""),215.21)</f>
        <v>215.21</v>
      </c>
      <c r="Y51" s="2">
        <f ca="1">IFERROR(__xludf.DUMMYFUNCTION("""COMPUTED_VALUE"""),45376.6666666666)</f>
        <v>45376.666666666599</v>
      </c>
      <c r="Z51" s="30">
        <f ca="1">IFERROR(__xludf.DUMMYFUNCTION("""COMPUTED_VALUE"""),254)</f>
        <v>254</v>
      </c>
      <c r="AA51" s="2">
        <f ca="1">IFERROR(__xludf.DUMMYFUNCTION("""COMPUTED_VALUE"""),45286.6666666666)</f>
        <v>45286.666666666599</v>
      </c>
      <c r="AB51" s="30">
        <f ca="1">IFERROR(__xludf.DUMMYFUNCTION("""COMPUTED_VALUE"""),222.82)</f>
        <v>222.82</v>
      </c>
      <c r="AC51" s="2">
        <f ca="1">IFERROR(__xludf.DUMMYFUNCTION("""COMPUTED_VALUE"""),44925.6666666666)</f>
        <v>44925.666666666599</v>
      </c>
      <c r="AD51" s="30">
        <f ca="1">IFERROR(__xludf.DUMMYFUNCTION("""COMPUTED_VALUE"""),199.24)</f>
        <v>199.24</v>
      </c>
      <c r="AE51" s="5"/>
      <c r="AF51" s="5"/>
      <c r="AG51" s="5" t="s">
        <v>76</v>
      </c>
      <c r="AH51" s="5">
        <v>4.65E-2</v>
      </c>
      <c r="AI51" s="32">
        <v>-1.0200000000000001E-2</v>
      </c>
      <c r="AK51" s="5"/>
      <c r="AQ51" s="5"/>
      <c r="AR51" s="5"/>
      <c r="AS51" s="5"/>
      <c r="AT51" s="5"/>
      <c r="AU51" s="5"/>
      <c r="AV51" s="5"/>
      <c r="AW51" s="5"/>
      <c r="AX51" s="5"/>
      <c r="AY51" s="5"/>
      <c r="AZ51" s="5"/>
    </row>
    <row r="52" spans="1:61" ht="15.75" customHeight="1">
      <c r="A52" s="30"/>
      <c r="B52" s="30"/>
      <c r="C52" s="350"/>
      <c r="D52" s="30"/>
      <c r="E52" s="30"/>
      <c r="F52" s="30"/>
      <c r="G52" s="31"/>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row>
    <row r="53" spans="1:61" ht="15.75" customHeight="1">
      <c r="A53" s="30"/>
      <c r="B53" s="30"/>
      <c r="C53" s="350"/>
      <c r="D53" s="30"/>
      <c r="E53" s="30"/>
      <c r="F53" s="30"/>
      <c r="G53" s="31"/>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row>
    <row r="54" spans="1:61" ht="15.75" customHeight="1">
      <c r="A54" s="30"/>
      <c r="B54" s="30"/>
      <c r="C54" s="350"/>
      <c r="D54" s="30"/>
      <c r="E54" s="30"/>
      <c r="F54" s="30"/>
      <c r="G54" s="31"/>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row>
    <row r="55" spans="1:61" ht="15.75" customHeight="1">
      <c r="A55" s="30"/>
      <c r="B55" s="30"/>
      <c r="C55" s="350"/>
      <c r="D55" s="30"/>
      <c r="E55" s="30"/>
      <c r="F55" s="30"/>
      <c r="G55" s="31"/>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row>
    <row r="56" spans="1:61" ht="15.75" customHeight="1">
      <c r="A56" s="30"/>
      <c r="B56" s="30"/>
      <c r="C56" s="350"/>
      <c r="D56" s="30"/>
      <c r="E56" s="30"/>
      <c r="F56" s="30"/>
      <c r="G56" s="31"/>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row>
    <row r="57" spans="1:61" ht="15.75" customHeight="1">
      <c r="A57" s="30"/>
      <c r="B57" s="30"/>
      <c r="C57" s="350"/>
      <c r="D57" s="30"/>
      <c r="E57" s="30"/>
      <c r="F57" s="30"/>
      <c r="G57" s="31"/>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ht="15.75" customHeight="1">
      <c r="A58" s="30"/>
      <c r="B58" s="30"/>
      <c r="C58" s="350"/>
      <c r="D58" s="30"/>
      <c r="E58" s="30"/>
      <c r="F58" s="30"/>
      <c r="G58" s="31"/>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ht="15.75" customHeight="1">
      <c r="A59" s="30"/>
      <c r="B59" s="30"/>
      <c r="C59" s="350"/>
      <c r="D59" s="30"/>
      <c r="E59" s="30"/>
      <c r="F59" s="30"/>
      <c r="G59" s="31"/>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61" ht="15.75" customHeight="1">
      <c r="A60" s="30"/>
      <c r="B60" s="30"/>
      <c r="C60" s="350"/>
      <c r="D60" s="30"/>
      <c r="E60" s="30"/>
      <c r="F60" s="30"/>
      <c r="G60" s="31"/>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row>
    <row r="61" spans="1:61" ht="15.75" customHeight="1">
      <c r="A61" s="30"/>
      <c r="B61" s="30"/>
      <c r="C61" s="350"/>
      <c r="D61" s="30"/>
      <c r="E61" s="30"/>
      <c r="F61" s="30"/>
      <c r="G61" s="31"/>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row>
    <row r="62" spans="1:61" ht="15.75" customHeight="1">
      <c r="A62" s="30"/>
      <c r="B62" s="30"/>
      <c r="C62" s="350"/>
      <c r="D62" s="30"/>
      <c r="E62" s="30"/>
      <c r="F62" s="30"/>
      <c r="G62" s="31"/>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row>
    <row r="63" spans="1:61" ht="15.75" customHeight="1">
      <c r="A63" s="30"/>
      <c r="B63" s="30"/>
      <c r="C63" s="350"/>
      <c r="D63" s="30"/>
      <c r="E63" s="30"/>
      <c r="F63" s="30"/>
      <c r="G63" s="31"/>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row>
    <row r="64" spans="1:61" ht="15.75" customHeight="1">
      <c r="A64" s="30"/>
      <c r="B64" s="30"/>
      <c r="C64" s="350"/>
      <c r="D64" s="30"/>
      <c r="E64" s="30"/>
      <c r="F64" s="30"/>
      <c r="G64" s="31"/>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row>
    <row r="65" spans="1:61" ht="15.75" customHeight="1">
      <c r="A65" s="30"/>
      <c r="B65" s="30"/>
      <c r="C65" s="350"/>
      <c r="D65" s="30"/>
      <c r="E65" s="30"/>
      <c r="F65" s="30"/>
      <c r="G65" s="31"/>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row>
    <row r="66" spans="1:61" ht="15.75" customHeight="1">
      <c r="A66" s="30"/>
      <c r="B66" s="30"/>
      <c r="C66" s="350"/>
      <c r="D66" s="30"/>
      <c r="E66" s="30"/>
      <c r="F66" s="30"/>
      <c r="G66" s="31"/>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row>
    <row r="67" spans="1:61" ht="15.75" customHeight="1">
      <c r="A67" s="30"/>
      <c r="B67" s="30"/>
      <c r="C67" s="350"/>
      <c r="D67" s="30"/>
      <c r="E67" s="30"/>
      <c r="F67" s="30"/>
      <c r="G67" s="31"/>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row>
    <row r="68" spans="1:61" ht="15.75" customHeight="1">
      <c r="A68" s="30"/>
      <c r="B68" s="30"/>
      <c r="C68" s="350"/>
      <c r="D68" s="30"/>
      <c r="E68" s="30"/>
      <c r="F68" s="30"/>
      <c r="G68" s="31"/>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row>
    <row r="69" spans="1:61" ht="15.75" customHeight="1">
      <c r="A69" s="30"/>
      <c r="B69" s="30"/>
      <c r="C69" s="350"/>
      <c r="D69" s="30"/>
      <c r="E69" s="30"/>
      <c r="F69" s="30"/>
      <c r="G69" s="31"/>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row>
    <row r="70" spans="1:61" ht="15.75" customHeight="1">
      <c r="A70" s="30"/>
      <c r="B70" s="30"/>
      <c r="C70" s="350"/>
      <c r="D70" s="30"/>
      <c r="E70" s="30"/>
      <c r="F70" s="30"/>
      <c r="G70" s="31"/>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row>
    <row r="71" spans="1:61" ht="15.75" customHeight="1">
      <c r="A71" s="30"/>
      <c r="B71" s="30"/>
      <c r="C71" s="350"/>
      <c r="D71" s="30"/>
      <c r="E71" s="30"/>
      <c r="F71" s="30"/>
      <c r="G71" s="31"/>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row>
    <row r="72" spans="1:61" ht="15.75" customHeight="1">
      <c r="A72" s="30"/>
      <c r="B72" s="30"/>
      <c r="C72" s="350"/>
      <c r="D72" s="30"/>
      <c r="E72" s="30"/>
      <c r="F72" s="30"/>
      <c r="G72" s="31"/>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row>
    <row r="73" spans="1:61" ht="15.75" customHeight="1">
      <c r="A73" s="30"/>
      <c r="B73" s="30"/>
      <c r="C73" s="350"/>
      <c r="D73" s="30"/>
      <c r="E73" s="30"/>
      <c r="F73" s="30"/>
      <c r="G73" s="31"/>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row>
    <row r="74" spans="1:61" ht="15.75" customHeight="1">
      <c r="A74" s="30"/>
      <c r="B74" s="30"/>
      <c r="C74" s="350"/>
      <c r="D74" s="30"/>
      <c r="E74" s="30"/>
      <c r="F74" s="30"/>
      <c r="G74" s="31"/>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row>
    <row r="75" spans="1:61" ht="15.75" customHeight="1">
      <c r="A75" s="30"/>
      <c r="B75" s="30"/>
      <c r="C75" s="350"/>
      <c r="D75" s="30"/>
      <c r="E75" s="30"/>
      <c r="F75" s="30"/>
      <c r="G75" s="31"/>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row>
    <row r="76" spans="1:61" ht="15.75" customHeight="1">
      <c r="A76" s="30"/>
      <c r="B76" s="30"/>
      <c r="C76" s="350"/>
      <c r="D76" s="30"/>
      <c r="E76" s="30"/>
      <c r="F76" s="30"/>
      <c r="G76" s="31"/>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row>
    <row r="77" spans="1:61" ht="15.75" customHeight="1">
      <c r="A77" s="30"/>
      <c r="B77" s="30"/>
      <c r="C77" s="350"/>
      <c r="D77" s="30"/>
      <c r="E77" s="30"/>
      <c r="F77" s="30"/>
      <c r="G77" s="31"/>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row>
    <row r="78" spans="1:61" ht="15.75" customHeight="1">
      <c r="A78" s="30"/>
      <c r="B78" s="30"/>
      <c r="C78" s="350"/>
      <c r="D78" s="30"/>
      <c r="E78" s="30"/>
      <c r="F78" s="30"/>
      <c r="G78" s="31"/>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row>
    <row r="79" spans="1:61" ht="15.75" customHeight="1">
      <c r="A79" s="30"/>
      <c r="B79" s="30"/>
      <c r="C79" s="350"/>
      <c r="D79" s="30"/>
      <c r="E79" s="30"/>
      <c r="F79" s="30"/>
      <c r="G79" s="31"/>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row>
    <row r="80" spans="1:61" ht="15.75" customHeight="1">
      <c r="A80" s="30"/>
      <c r="B80" s="30"/>
      <c r="C80" s="350"/>
      <c r="D80" s="30"/>
      <c r="E80" s="30"/>
      <c r="F80" s="30"/>
      <c r="G80" s="31"/>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row>
    <row r="81" spans="1:61" ht="15.75" customHeight="1">
      <c r="A81" s="30"/>
      <c r="B81" s="30"/>
      <c r="C81" s="350"/>
      <c r="D81" s="30"/>
      <c r="E81" s="30"/>
      <c r="F81" s="30"/>
      <c r="G81" s="31"/>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row>
    <row r="82" spans="1:61" ht="15.75" customHeight="1">
      <c r="A82" s="30"/>
      <c r="B82" s="30"/>
      <c r="C82" s="350"/>
      <c r="D82" s="30"/>
      <c r="E82" s="30"/>
      <c r="F82" s="30"/>
      <c r="G82" s="31"/>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row>
    <row r="83" spans="1:61" ht="15.75" customHeight="1">
      <c r="A83" s="30"/>
      <c r="B83" s="30"/>
      <c r="C83" s="350"/>
      <c r="D83" s="30"/>
      <c r="E83" s="30"/>
      <c r="F83" s="30"/>
      <c r="G83" s="31"/>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row>
    <row r="84" spans="1:61" ht="15.75" customHeight="1">
      <c r="A84" s="30"/>
      <c r="B84" s="30"/>
      <c r="C84" s="350"/>
      <c r="D84" s="30"/>
      <c r="E84" s="30"/>
      <c r="F84" s="30"/>
      <c r="G84" s="31"/>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row>
    <row r="85" spans="1:61" ht="15.75" customHeight="1">
      <c r="A85" s="30"/>
      <c r="B85" s="30"/>
      <c r="C85" s="350"/>
      <c r="D85" s="30"/>
      <c r="E85" s="30"/>
      <c r="F85" s="30"/>
      <c r="G85" s="31"/>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row>
    <row r="86" spans="1:61" ht="15.75" customHeight="1">
      <c r="A86" s="30"/>
      <c r="B86" s="30"/>
      <c r="C86" s="350"/>
      <c r="D86" s="30"/>
      <c r="E86" s="30"/>
      <c r="F86" s="30"/>
      <c r="G86" s="31"/>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row>
    <row r="87" spans="1:61" ht="15.75" customHeight="1">
      <c r="A87" s="30"/>
      <c r="B87" s="30"/>
      <c r="C87" s="350"/>
      <c r="D87" s="30"/>
      <c r="E87" s="30"/>
      <c r="F87" s="30"/>
      <c r="G87" s="31"/>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61" ht="15.75" customHeight="1">
      <c r="A88" s="30"/>
      <c r="B88" s="30"/>
      <c r="C88" s="350"/>
      <c r="D88" s="30"/>
      <c r="E88" s="30"/>
      <c r="F88" s="30"/>
      <c r="G88" s="31"/>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row>
    <row r="89" spans="1:61" ht="15.75" customHeight="1">
      <c r="A89" s="30"/>
      <c r="B89" s="30"/>
      <c r="C89" s="350"/>
      <c r="D89" s="30"/>
      <c r="E89" s="30"/>
      <c r="F89" s="30"/>
      <c r="G89" s="31"/>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row>
    <row r="90" spans="1:61" ht="15.75" customHeight="1">
      <c r="A90" s="30"/>
      <c r="B90" s="30"/>
      <c r="C90" s="350"/>
      <c r="D90" s="30"/>
      <c r="E90" s="30"/>
      <c r="F90" s="30"/>
      <c r="G90" s="31"/>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row>
    <row r="91" spans="1:61" ht="15.75" customHeight="1">
      <c r="A91" s="30"/>
      <c r="B91" s="30"/>
      <c r="C91" s="350"/>
      <c r="D91" s="30"/>
      <c r="E91" s="30"/>
      <c r="F91" s="30"/>
      <c r="G91" s="31"/>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row>
    <row r="92" spans="1:61" ht="15.75" customHeight="1">
      <c r="A92" s="30"/>
      <c r="B92" s="30"/>
      <c r="C92" s="350"/>
      <c r="D92" s="30"/>
      <c r="E92" s="30"/>
      <c r="F92" s="30"/>
      <c r="G92" s="31"/>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row>
    <row r="93" spans="1:61" ht="15.75" customHeight="1">
      <c r="A93" s="30"/>
      <c r="B93" s="30"/>
      <c r="C93" s="350"/>
      <c r="D93" s="30"/>
      <c r="E93" s="30"/>
      <c r="F93" s="30"/>
      <c r="G93" s="31"/>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row>
    <row r="94" spans="1:61" ht="15.75" customHeight="1">
      <c r="A94" s="30"/>
      <c r="B94" s="30"/>
      <c r="C94" s="350"/>
      <c r="D94" s="30"/>
      <c r="E94" s="30"/>
      <c r="F94" s="30"/>
      <c r="G94" s="31"/>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row>
    <row r="95" spans="1:61" ht="15.75" customHeight="1">
      <c r="A95" s="30"/>
      <c r="B95" s="30"/>
      <c r="C95" s="350"/>
      <c r="D95" s="30"/>
      <c r="E95" s="30"/>
      <c r="F95" s="30"/>
      <c r="G95" s="31"/>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row>
    <row r="96" spans="1:61" ht="15.75" customHeight="1">
      <c r="A96" s="30"/>
      <c r="B96" s="30"/>
      <c r="C96" s="350"/>
      <c r="D96" s="30"/>
      <c r="E96" s="30"/>
      <c r="F96" s="30"/>
      <c r="G96" s="31"/>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row>
    <row r="97" spans="1:61" ht="15.75" customHeight="1">
      <c r="A97" s="30"/>
      <c r="B97" s="30"/>
      <c r="C97" s="350"/>
      <c r="D97" s="30"/>
      <c r="E97" s="30"/>
      <c r="F97" s="30"/>
      <c r="G97" s="31"/>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row>
    <row r="98" spans="1:61" ht="15.75" customHeight="1">
      <c r="A98" s="30"/>
      <c r="B98" s="30"/>
      <c r="C98" s="350"/>
      <c r="D98" s="30"/>
      <c r="E98" s="30"/>
      <c r="F98" s="30"/>
      <c r="G98" s="31"/>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row>
    <row r="99" spans="1:61" ht="15.75" customHeight="1">
      <c r="A99" s="30"/>
      <c r="B99" s="30"/>
      <c r="C99" s="350"/>
      <c r="D99" s="30"/>
      <c r="E99" s="30"/>
      <c r="F99" s="30"/>
      <c r="G99" s="31"/>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row>
    <row r="100" spans="1:61" ht="15.75" customHeight="1">
      <c r="A100" s="30"/>
      <c r="B100" s="30"/>
      <c r="C100" s="350"/>
      <c r="D100" s="30"/>
      <c r="E100" s="30"/>
      <c r="F100" s="30"/>
      <c r="G100" s="31"/>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row>
    <row r="101" spans="1:61" ht="15.75" customHeight="1">
      <c r="A101" s="30"/>
      <c r="B101" s="30"/>
      <c r="C101" s="350"/>
      <c r="D101" s="30"/>
      <c r="E101" s="30"/>
      <c r="F101" s="30"/>
      <c r="G101" s="31"/>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row>
    <row r="102" spans="1:61" ht="15.75" customHeight="1">
      <c r="A102" s="30"/>
      <c r="B102" s="30"/>
      <c r="C102" s="350"/>
      <c r="D102" s="30"/>
      <c r="E102" s="30"/>
      <c r="F102" s="30"/>
      <c r="G102" s="31"/>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row>
    <row r="103" spans="1:61" ht="15.75" customHeight="1">
      <c r="A103" s="30"/>
      <c r="B103" s="30"/>
      <c r="C103" s="350"/>
      <c r="D103" s="30"/>
      <c r="E103" s="30"/>
      <c r="F103" s="30"/>
      <c r="G103" s="31"/>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row>
    <row r="104" spans="1:61" ht="15.75" customHeight="1">
      <c r="A104" s="30"/>
      <c r="B104" s="30"/>
      <c r="C104" s="350"/>
      <c r="D104" s="30"/>
      <c r="E104" s="30"/>
      <c r="F104" s="30"/>
      <c r="G104" s="31"/>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row>
    <row r="105" spans="1:61" ht="15.75" customHeight="1">
      <c r="A105" s="30"/>
      <c r="B105" s="30"/>
      <c r="C105" s="350"/>
      <c r="D105" s="30"/>
      <c r="E105" s="30"/>
      <c r="F105" s="30"/>
      <c r="G105" s="31"/>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row>
    <row r="106" spans="1:61" ht="15.75" customHeight="1">
      <c r="A106" s="30"/>
      <c r="B106" s="30"/>
      <c r="C106" s="350"/>
      <c r="D106" s="30"/>
      <c r="E106" s="30"/>
      <c r="F106" s="30"/>
      <c r="G106" s="31"/>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row>
    <row r="107" spans="1:61" ht="15.75" customHeight="1">
      <c r="A107" s="30"/>
      <c r="B107" s="30"/>
      <c r="C107" s="350"/>
      <c r="D107" s="30"/>
      <c r="E107" s="30"/>
      <c r="F107" s="30"/>
      <c r="G107" s="31"/>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row>
    <row r="108" spans="1:61" ht="15.75" customHeight="1">
      <c r="A108" s="30"/>
      <c r="B108" s="30"/>
      <c r="C108" s="350"/>
      <c r="D108" s="30"/>
      <c r="E108" s="30"/>
      <c r="F108" s="30"/>
      <c r="G108" s="31"/>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row>
    <row r="109" spans="1:61" ht="15.75" customHeight="1">
      <c r="A109" s="30"/>
      <c r="B109" s="30"/>
      <c r="C109" s="350"/>
      <c r="D109" s="30"/>
      <c r="E109" s="30"/>
      <c r="F109" s="30"/>
      <c r="G109" s="31"/>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row>
    <row r="110" spans="1:61" ht="15.75" customHeight="1">
      <c r="A110" s="30"/>
      <c r="B110" s="30"/>
      <c r="C110" s="350"/>
      <c r="D110" s="30"/>
      <c r="E110" s="30"/>
      <c r="F110" s="30"/>
      <c r="G110" s="31"/>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row>
    <row r="111" spans="1:61" ht="15.75" customHeight="1">
      <c r="A111" s="30"/>
      <c r="B111" s="30"/>
      <c r="C111" s="350"/>
      <c r="D111" s="30"/>
      <c r="E111" s="30"/>
      <c r="F111" s="30"/>
      <c r="G111" s="31"/>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row>
    <row r="112" spans="1:61" ht="15.75" customHeight="1">
      <c r="A112" s="30"/>
      <c r="B112" s="30"/>
      <c r="C112" s="350"/>
      <c r="D112" s="30"/>
      <c r="E112" s="30"/>
      <c r="F112" s="30"/>
      <c r="G112" s="31"/>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row>
    <row r="113" spans="1:61" ht="15.75" customHeight="1">
      <c r="A113" s="30"/>
      <c r="B113" s="30"/>
      <c r="C113" s="350"/>
      <c r="D113" s="30"/>
      <c r="E113" s="30"/>
      <c r="F113" s="30"/>
      <c r="G113" s="31"/>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row>
    <row r="114" spans="1:61" ht="15.75" customHeight="1">
      <c r="A114" s="30"/>
      <c r="B114" s="30"/>
      <c r="C114" s="350"/>
      <c r="D114" s="30"/>
      <c r="E114" s="30"/>
      <c r="F114" s="30"/>
      <c r="G114" s="31"/>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row>
    <row r="115" spans="1:61" ht="15.75" customHeight="1">
      <c r="A115" s="30"/>
      <c r="B115" s="30"/>
      <c r="C115" s="350"/>
      <c r="D115" s="30"/>
      <c r="E115" s="30"/>
      <c r="F115" s="30"/>
      <c r="G115" s="31"/>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row>
    <row r="116" spans="1:61" ht="15.75" customHeight="1">
      <c r="A116" s="30"/>
      <c r="B116" s="30"/>
      <c r="C116" s="350"/>
      <c r="D116" s="30"/>
      <c r="E116" s="30"/>
      <c r="F116" s="30"/>
      <c r="G116" s="31"/>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row>
    <row r="117" spans="1:61" ht="15.75" customHeight="1">
      <c r="A117" s="30"/>
      <c r="B117" s="30"/>
      <c r="C117" s="350"/>
      <c r="D117" s="30"/>
      <c r="E117" s="30"/>
      <c r="F117" s="30"/>
      <c r="G117" s="31"/>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row>
    <row r="118" spans="1:61" ht="15.75" customHeight="1">
      <c r="A118" s="30"/>
      <c r="B118" s="30"/>
      <c r="C118" s="350"/>
      <c r="D118" s="30"/>
      <c r="E118" s="30"/>
      <c r="F118" s="30"/>
      <c r="G118" s="31"/>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row>
    <row r="119" spans="1:61" ht="15.75" customHeight="1">
      <c r="A119" s="30"/>
      <c r="B119" s="30"/>
      <c r="C119" s="350"/>
      <c r="D119" s="30"/>
      <c r="E119" s="30"/>
      <c r="F119" s="30"/>
      <c r="G119" s="31"/>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row>
    <row r="120" spans="1:61" ht="15.75" customHeight="1">
      <c r="A120" s="30"/>
      <c r="B120" s="30"/>
      <c r="C120" s="350"/>
      <c r="D120" s="30"/>
      <c r="E120" s="30"/>
      <c r="F120" s="30"/>
      <c r="G120" s="31"/>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row>
    <row r="121" spans="1:61" ht="15.75" customHeight="1">
      <c r="A121" s="30"/>
      <c r="B121" s="30"/>
      <c r="C121" s="350"/>
      <c r="D121" s="30"/>
      <c r="E121" s="30"/>
      <c r="F121" s="30"/>
      <c r="G121" s="31"/>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row>
    <row r="122" spans="1:61" ht="15.75" customHeight="1">
      <c r="A122" s="30"/>
      <c r="B122" s="30"/>
      <c r="C122" s="350"/>
      <c r="D122" s="30"/>
      <c r="E122" s="30"/>
      <c r="F122" s="30"/>
      <c r="G122" s="31"/>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row>
    <row r="123" spans="1:61" ht="15.75" customHeight="1">
      <c r="A123" s="30"/>
      <c r="B123" s="30"/>
      <c r="C123" s="350"/>
      <c r="D123" s="30"/>
      <c r="E123" s="30"/>
      <c r="F123" s="30"/>
      <c r="G123" s="31"/>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row>
    <row r="124" spans="1:61" ht="15.75" customHeight="1">
      <c r="A124" s="30"/>
      <c r="B124" s="30"/>
      <c r="C124" s="350"/>
      <c r="D124" s="30"/>
      <c r="E124" s="30"/>
      <c r="F124" s="30"/>
      <c r="G124" s="31"/>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row>
    <row r="125" spans="1:61" ht="15.75" customHeight="1">
      <c r="A125" s="30"/>
      <c r="B125" s="30"/>
      <c r="C125" s="350"/>
      <c r="D125" s="30"/>
      <c r="E125" s="30"/>
      <c r="F125" s="30"/>
      <c r="G125" s="31"/>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row>
    <row r="126" spans="1:61" ht="15.75" customHeight="1">
      <c r="A126" s="30"/>
      <c r="B126" s="30"/>
      <c r="C126" s="350"/>
      <c r="D126" s="30"/>
      <c r="E126" s="30"/>
      <c r="F126" s="30"/>
      <c r="G126" s="31"/>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row>
    <row r="127" spans="1:61" ht="15.75" customHeight="1">
      <c r="A127" s="30"/>
      <c r="B127" s="30"/>
      <c r="C127" s="350"/>
      <c r="D127" s="30"/>
      <c r="E127" s="30"/>
      <c r="F127" s="30"/>
      <c r="G127" s="31"/>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row>
    <row r="128" spans="1:61" ht="15.75" customHeight="1">
      <c r="A128" s="30"/>
      <c r="B128" s="30"/>
      <c r="C128" s="350"/>
      <c r="D128" s="30"/>
      <c r="E128" s="30"/>
      <c r="F128" s="30"/>
      <c r="G128" s="31"/>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row>
    <row r="129" spans="1:61" ht="15.75" customHeight="1">
      <c r="A129" s="30"/>
      <c r="B129" s="30"/>
      <c r="C129" s="350"/>
      <c r="D129" s="30"/>
      <c r="E129" s="30"/>
      <c r="F129" s="30"/>
      <c r="G129" s="31"/>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row>
    <row r="130" spans="1:61" ht="15.75" customHeight="1">
      <c r="A130" s="30"/>
      <c r="B130" s="30"/>
      <c r="C130" s="350"/>
      <c r="D130" s="30"/>
      <c r="E130" s="30"/>
      <c r="F130" s="30"/>
      <c r="G130" s="31"/>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row>
    <row r="131" spans="1:61" ht="15.75" customHeight="1">
      <c r="A131" s="30"/>
      <c r="B131" s="30"/>
      <c r="C131" s="350"/>
      <c r="D131" s="30"/>
      <c r="E131" s="30"/>
      <c r="F131" s="30"/>
      <c r="G131" s="31"/>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row>
    <row r="132" spans="1:61" ht="15.75" customHeight="1">
      <c r="A132" s="30"/>
      <c r="B132" s="30"/>
      <c r="C132" s="350"/>
      <c r="D132" s="30"/>
      <c r="E132" s="30"/>
      <c r="F132" s="30"/>
      <c r="G132" s="31"/>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row>
    <row r="133" spans="1:61" ht="15.75" customHeight="1">
      <c r="A133" s="30"/>
      <c r="B133" s="30"/>
      <c r="C133" s="350"/>
      <c r="D133" s="30"/>
      <c r="E133" s="30"/>
      <c r="F133" s="30"/>
      <c r="G133" s="31"/>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row>
    <row r="134" spans="1:61" ht="15.75" customHeight="1">
      <c r="A134" s="30"/>
      <c r="B134" s="30"/>
      <c r="C134" s="350"/>
      <c r="D134" s="30"/>
      <c r="E134" s="30"/>
      <c r="F134" s="30"/>
      <c r="G134" s="31"/>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row>
    <row r="135" spans="1:61" ht="15.75" customHeight="1">
      <c r="A135" s="30"/>
      <c r="B135" s="30"/>
      <c r="C135" s="350"/>
      <c r="D135" s="30"/>
      <c r="E135" s="30"/>
      <c r="F135" s="30"/>
      <c r="G135" s="31"/>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row>
    <row r="136" spans="1:61" ht="15.75" customHeight="1">
      <c r="A136" s="30"/>
      <c r="B136" s="30"/>
      <c r="C136" s="350"/>
      <c r="D136" s="30"/>
      <c r="E136" s="30"/>
      <c r="F136" s="30"/>
      <c r="G136" s="31"/>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row>
    <row r="137" spans="1:61" ht="15.75" customHeight="1">
      <c r="A137" s="30"/>
      <c r="B137" s="30"/>
      <c r="C137" s="350"/>
      <c r="D137" s="30"/>
      <c r="E137" s="30"/>
      <c r="F137" s="30"/>
      <c r="G137" s="31"/>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row>
    <row r="138" spans="1:61" ht="15.75" customHeight="1">
      <c r="A138" s="30"/>
      <c r="B138" s="30"/>
      <c r="C138" s="350"/>
      <c r="D138" s="30"/>
      <c r="E138" s="30"/>
      <c r="F138" s="30"/>
      <c r="G138" s="31"/>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row>
    <row r="139" spans="1:61" ht="15.75" customHeight="1">
      <c r="A139" s="30"/>
      <c r="B139" s="30"/>
      <c r="C139" s="350"/>
      <c r="D139" s="30"/>
      <c r="E139" s="30"/>
      <c r="F139" s="30"/>
      <c r="G139" s="31"/>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row>
    <row r="140" spans="1:61" ht="15.75" customHeight="1">
      <c r="A140" s="30"/>
      <c r="B140" s="30"/>
      <c r="C140" s="350"/>
      <c r="D140" s="30"/>
      <c r="E140" s="30"/>
      <c r="F140" s="30"/>
      <c r="G140" s="31"/>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row>
    <row r="141" spans="1:61" ht="15.75" customHeight="1">
      <c r="C141" s="351"/>
    </row>
    <row r="142" spans="1:61" ht="15.75" customHeight="1">
      <c r="C142" s="351"/>
    </row>
    <row r="143" spans="1:61" ht="15.75" customHeight="1">
      <c r="C143" s="351"/>
    </row>
    <row r="144" spans="1:61" ht="15.75" customHeight="1">
      <c r="C144" s="351"/>
    </row>
    <row r="145" spans="3:3" ht="15.75" customHeight="1">
      <c r="C145" s="351"/>
    </row>
    <row r="146" spans="3:3" ht="15.75" customHeight="1">
      <c r="C146" s="351"/>
    </row>
    <row r="147" spans="3:3" ht="15.75" customHeight="1">
      <c r="C147" s="351"/>
    </row>
    <row r="148" spans="3:3" ht="15.75" customHeight="1">
      <c r="C148" s="351"/>
    </row>
    <row r="149" spans="3:3" ht="15.75" customHeight="1">
      <c r="C149" s="351"/>
    </row>
    <row r="150" spans="3:3" ht="15.75" customHeight="1">
      <c r="C150" s="351"/>
    </row>
    <row r="151" spans="3:3" ht="15.75" customHeight="1">
      <c r="C151" s="351"/>
    </row>
    <row r="152" spans="3:3" ht="15.75" customHeight="1">
      <c r="C152" s="351"/>
    </row>
    <row r="153" spans="3:3" ht="15.75" customHeight="1">
      <c r="C153" s="351"/>
    </row>
    <row r="154" spans="3:3" ht="15.75" customHeight="1">
      <c r="C154" s="351"/>
    </row>
    <row r="155" spans="3:3" ht="15.75" customHeight="1">
      <c r="C155" s="351"/>
    </row>
    <row r="156" spans="3:3" ht="15.75" customHeight="1">
      <c r="C156" s="351"/>
    </row>
    <row r="157" spans="3:3" ht="15.75" customHeight="1">
      <c r="C157" s="351"/>
    </row>
    <row r="158" spans="3:3" ht="15.75" customHeight="1">
      <c r="C158" s="351"/>
    </row>
    <row r="159" spans="3:3" ht="15.75" customHeight="1">
      <c r="C159" s="351"/>
    </row>
    <row r="160" spans="3:3" ht="15.75" customHeight="1">
      <c r="C160" s="351"/>
    </row>
    <row r="161" spans="3:3" ht="15.75" customHeight="1">
      <c r="C161" s="351"/>
    </row>
    <row r="162" spans="3:3" ht="15.75" customHeight="1">
      <c r="C162" s="351"/>
    </row>
    <row r="163" spans="3:3" ht="15.75" customHeight="1">
      <c r="C163" s="351"/>
    </row>
    <row r="164" spans="3:3" ht="15.75" customHeight="1">
      <c r="C164" s="351"/>
    </row>
    <row r="165" spans="3:3" ht="15.75" customHeight="1">
      <c r="C165" s="351"/>
    </row>
    <row r="166" spans="3:3" ht="15.75" customHeight="1">
      <c r="C166" s="351"/>
    </row>
    <row r="167" spans="3:3" ht="15.75" customHeight="1">
      <c r="C167" s="351"/>
    </row>
    <row r="168" spans="3:3" ht="15.75" customHeight="1">
      <c r="C168" s="351"/>
    </row>
    <row r="169" spans="3:3" ht="15.75" customHeight="1">
      <c r="C169" s="351"/>
    </row>
    <row r="170" spans="3:3" ht="15.75" customHeight="1">
      <c r="C170" s="351"/>
    </row>
    <row r="171" spans="3:3" ht="15.75" customHeight="1">
      <c r="C171" s="351"/>
    </row>
    <row r="172" spans="3:3" ht="15.75" customHeight="1">
      <c r="C172" s="351"/>
    </row>
    <row r="173" spans="3:3" ht="15.75" customHeight="1">
      <c r="C173" s="351"/>
    </row>
    <row r="174" spans="3:3" ht="15.75" customHeight="1">
      <c r="C174" s="351"/>
    </row>
    <row r="175" spans="3:3" ht="15.75" customHeight="1">
      <c r="C175" s="351"/>
    </row>
    <row r="176" spans="3:3" ht="15.75" customHeight="1">
      <c r="C176" s="351"/>
    </row>
    <row r="177" spans="3:3" ht="15.75" customHeight="1">
      <c r="C177" s="351"/>
    </row>
    <row r="178" spans="3:3" ht="15.75" customHeight="1">
      <c r="C178" s="351"/>
    </row>
    <row r="179" spans="3:3" ht="15.75" customHeight="1">
      <c r="C179" s="351"/>
    </row>
    <row r="180" spans="3:3" ht="15.75" customHeight="1">
      <c r="C180" s="351"/>
    </row>
    <row r="181" spans="3:3" ht="15.75" customHeight="1">
      <c r="C181" s="351"/>
    </row>
    <row r="182" spans="3:3" ht="15.75" customHeight="1">
      <c r="C182" s="351"/>
    </row>
    <row r="183" spans="3:3" ht="15.75" customHeight="1">
      <c r="C183" s="351"/>
    </row>
    <row r="184" spans="3:3" ht="15.75" customHeight="1">
      <c r="C184" s="351"/>
    </row>
    <row r="185" spans="3:3" ht="15.75" customHeight="1">
      <c r="C185" s="351"/>
    </row>
    <row r="186" spans="3:3" ht="15.75" customHeight="1">
      <c r="C186" s="351"/>
    </row>
    <row r="187" spans="3:3" ht="15.75" customHeight="1">
      <c r="C187" s="351"/>
    </row>
    <row r="188" spans="3:3" ht="15.75" customHeight="1">
      <c r="C188" s="351"/>
    </row>
    <row r="189" spans="3:3" ht="15.75" customHeight="1">
      <c r="C189" s="351"/>
    </row>
    <row r="190" spans="3:3" ht="15.75" customHeight="1">
      <c r="C190" s="351"/>
    </row>
    <row r="191" spans="3:3" ht="15.75" customHeight="1">
      <c r="C191" s="351"/>
    </row>
    <row r="192" spans="3:3" ht="15.75" customHeight="1">
      <c r="C192" s="351"/>
    </row>
    <row r="193" spans="3:3" ht="15.75" customHeight="1">
      <c r="C193" s="351"/>
    </row>
    <row r="194" spans="3:3" ht="15.75" customHeight="1">
      <c r="C194" s="351"/>
    </row>
    <row r="195" spans="3:3" ht="15.75" customHeight="1">
      <c r="C195" s="351"/>
    </row>
    <row r="196" spans="3:3" ht="15.75" customHeight="1">
      <c r="C196" s="351"/>
    </row>
    <row r="197" spans="3:3" ht="15.75" customHeight="1">
      <c r="C197" s="351"/>
    </row>
    <row r="198" spans="3:3" ht="15.75" customHeight="1">
      <c r="C198" s="351"/>
    </row>
    <row r="199" spans="3:3" ht="15.75" customHeight="1">
      <c r="C199" s="351"/>
    </row>
    <row r="200" spans="3:3" ht="15.75" customHeight="1">
      <c r="C200" s="351"/>
    </row>
    <row r="201" spans="3:3" ht="15.75" customHeight="1">
      <c r="C201" s="351"/>
    </row>
    <row r="202" spans="3:3" ht="15.75" customHeight="1">
      <c r="C202" s="351"/>
    </row>
    <row r="203" spans="3:3" ht="15.75" customHeight="1">
      <c r="C203" s="351"/>
    </row>
    <row r="204" spans="3:3" ht="15.75" customHeight="1">
      <c r="C204" s="351"/>
    </row>
    <row r="205" spans="3:3" ht="15.75" customHeight="1">
      <c r="C205" s="351"/>
    </row>
    <row r="206" spans="3:3" ht="15.75" customHeight="1">
      <c r="C206" s="351"/>
    </row>
    <row r="207" spans="3:3" ht="15.75" customHeight="1">
      <c r="C207" s="351"/>
    </row>
    <row r="208" spans="3:3" ht="15.75" customHeight="1">
      <c r="C208" s="351"/>
    </row>
    <row r="209" spans="3:3" ht="15.75" customHeight="1">
      <c r="C209" s="351"/>
    </row>
    <row r="210" spans="3:3" ht="15.75" customHeight="1">
      <c r="C210" s="351"/>
    </row>
    <row r="211" spans="3:3" ht="15.75" customHeight="1">
      <c r="C211" s="351"/>
    </row>
    <row r="212" spans="3:3" ht="15.75" customHeight="1">
      <c r="C212" s="351"/>
    </row>
    <row r="213" spans="3:3" ht="15.75" customHeight="1">
      <c r="C213" s="351"/>
    </row>
    <row r="214" spans="3:3" ht="15.75" customHeight="1">
      <c r="C214" s="351"/>
    </row>
    <row r="215" spans="3:3" ht="15.75" customHeight="1">
      <c r="C215" s="351"/>
    </row>
    <row r="216" spans="3:3" ht="15.75" customHeight="1">
      <c r="C216" s="351"/>
    </row>
    <row r="217" spans="3:3" ht="15.75" customHeight="1">
      <c r="C217" s="351"/>
    </row>
    <row r="218" spans="3:3" ht="15.75" customHeight="1">
      <c r="C218" s="351"/>
    </row>
    <row r="219" spans="3:3" ht="15.75" customHeight="1">
      <c r="C219" s="351"/>
    </row>
    <row r="220" spans="3:3" ht="15.75" customHeight="1">
      <c r="C220" s="351"/>
    </row>
    <row r="221" spans="3:3" ht="15.75" customHeight="1">
      <c r="C221" s="351"/>
    </row>
    <row r="222" spans="3:3" ht="15.75" customHeight="1">
      <c r="C222" s="351"/>
    </row>
    <row r="223" spans="3:3" ht="15.75" customHeight="1">
      <c r="C223" s="351"/>
    </row>
    <row r="224" spans="3:3" ht="15.75" customHeight="1">
      <c r="C224" s="351"/>
    </row>
    <row r="225" spans="3:3" ht="15.75" customHeight="1">
      <c r="C225" s="351"/>
    </row>
    <row r="226" spans="3:3" ht="15.75" customHeight="1">
      <c r="C226" s="351"/>
    </row>
    <row r="227" spans="3:3" ht="15.75" customHeight="1">
      <c r="C227" s="351"/>
    </row>
    <row r="228" spans="3:3" ht="15.75" customHeight="1">
      <c r="C228" s="351"/>
    </row>
    <row r="229" spans="3:3" ht="15.75" customHeight="1">
      <c r="C229" s="351"/>
    </row>
    <row r="230" spans="3:3" ht="15.75" customHeight="1">
      <c r="C230" s="351"/>
    </row>
    <row r="231" spans="3:3" ht="15.75" customHeight="1">
      <c r="C231" s="351"/>
    </row>
    <row r="232" spans="3:3" ht="15.75" customHeight="1">
      <c r="C232" s="351"/>
    </row>
    <row r="233" spans="3:3" ht="15.75" customHeight="1">
      <c r="C233" s="351"/>
    </row>
    <row r="234" spans="3:3" ht="15.75" customHeight="1">
      <c r="C234" s="351"/>
    </row>
    <row r="235" spans="3:3" ht="15.75" customHeight="1">
      <c r="C235" s="351"/>
    </row>
    <row r="236" spans="3:3" ht="15.75" customHeight="1">
      <c r="C236" s="351"/>
    </row>
    <row r="237" spans="3:3" ht="15.75" customHeight="1">
      <c r="C237" s="351"/>
    </row>
    <row r="238" spans="3:3" ht="15.75" customHeight="1">
      <c r="C238" s="351"/>
    </row>
    <row r="239" spans="3:3" ht="15.75" customHeight="1">
      <c r="C239" s="351"/>
    </row>
    <row r="240" spans="3:3" ht="15.75" customHeight="1">
      <c r="C240" s="351"/>
    </row>
    <row r="241" spans="3:3" ht="15.75" customHeight="1">
      <c r="C241" s="351"/>
    </row>
    <row r="242" spans="3:3" ht="15.75" customHeight="1">
      <c r="C242" s="351"/>
    </row>
    <row r="243" spans="3:3" ht="15.75" customHeight="1">
      <c r="C243" s="351"/>
    </row>
    <row r="244" spans="3:3" ht="15.75" customHeight="1">
      <c r="C244" s="351"/>
    </row>
    <row r="245" spans="3:3" ht="15.75" customHeight="1">
      <c r="C245" s="351"/>
    </row>
    <row r="246" spans="3:3" ht="15.75" customHeight="1">
      <c r="C246" s="351"/>
    </row>
    <row r="247" spans="3:3" ht="15.75" customHeight="1">
      <c r="C247" s="351"/>
    </row>
    <row r="248" spans="3:3" ht="15.75" customHeight="1">
      <c r="C248" s="351"/>
    </row>
    <row r="249" spans="3:3" ht="15.75" customHeight="1">
      <c r="C249" s="351"/>
    </row>
    <row r="250" spans="3:3" ht="15.75" customHeight="1">
      <c r="C250" s="351"/>
    </row>
    <row r="251" spans="3:3" ht="15.75" customHeight="1">
      <c r="C251" s="351"/>
    </row>
    <row r="252" spans="3:3" ht="15.75" customHeight="1">
      <c r="C252" s="351"/>
    </row>
    <row r="253" spans="3:3" ht="15.75" customHeight="1">
      <c r="C253" s="351"/>
    </row>
    <row r="254" spans="3:3" ht="15.75" customHeight="1">
      <c r="C254" s="351"/>
    </row>
    <row r="255" spans="3:3" ht="15.75" customHeight="1">
      <c r="C255" s="351"/>
    </row>
    <row r="256" spans="3:3" ht="15.75" customHeight="1">
      <c r="C256" s="351"/>
    </row>
    <row r="257" spans="3:3" ht="15.75" customHeight="1">
      <c r="C257" s="351"/>
    </row>
    <row r="258" spans="3:3" ht="15.75" customHeight="1">
      <c r="C258" s="351"/>
    </row>
    <row r="259" spans="3:3" ht="15.75" customHeight="1">
      <c r="C259" s="351"/>
    </row>
    <row r="260" spans="3:3" ht="15.75" customHeight="1">
      <c r="C260" s="351"/>
    </row>
    <row r="261" spans="3:3" ht="15.75" customHeight="1">
      <c r="C261" s="351"/>
    </row>
    <row r="262" spans="3:3" ht="15.75" customHeight="1">
      <c r="C262" s="351"/>
    </row>
    <row r="263" spans="3:3" ht="15.75" customHeight="1">
      <c r="C263" s="351"/>
    </row>
    <row r="264" spans="3:3" ht="15.75" customHeight="1">
      <c r="C264" s="351"/>
    </row>
    <row r="265" spans="3:3" ht="15.75" customHeight="1">
      <c r="C265" s="351"/>
    </row>
    <row r="266" spans="3:3" ht="15.75" customHeight="1">
      <c r="C266" s="351"/>
    </row>
    <row r="267" spans="3:3" ht="15.75" customHeight="1">
      <c r="C267" s="351"/>
    </row>
    <row r="268" spans="3:3" ht="15.75" customHeight="1">
      <c r="C268" s="351"/>
    </row>
    <row r="269" spans="3:3" ht="15.75" customHeight="1">
      <c r="C269" s="351"/>
    </row>
    <row r="270" spans="3:3" ht="15.75" customHeight="1">
      <c r="C270" s="351"/>
    </row>
    <row r="271" spans="3:3" ht="15.75" customHeight="1">
      <c r="C271" s="351"/>
    </row>
    <row r="272" spans="3:3" ht="15.75" customHeight="1">
      <c r="C272" s="351"/>
    </row>
    <row r="273" spans="3:3" ht="15.75" customHeight="1">
      <c r="C273" s="351"/>
    </row>
    <row r="274" spans="3:3" ht="15.75" customHeight="1">
      <c r="C274" s="351"/>
    </row>
    <row r="275" spans="3:3" ht="15.75" customHeight="1">
      <c r="C275" s="351"/>
    </row>
    <row r="276" spans="3:3" ht="15.75" customHeight="1">
      <c r="C276" s="351"/>
    </row>
    <row r="277" spans="3:3" ht="15.75" customHeight="1">
      <c r="C277" s="351"/>
    </row>
    <row r="278" spans="3:3" ht="15.75" customHeight="1">
      <c r="C278" s="351"/>
    </row>
    <row r="279" spans="3:3" ht="15.75" customHeight="1">
      <c r="C279" s="351"/>
    </row>
    <row r="280" spans="3:3" ht="15.75" customHeight="1">
      <c r="C280" s="351"/>
    </row>
    <row r="281" spans="3:3" ht="15.75" customHeight="1">
      <c r="C281" s="351"/>
    </row>
    <row r="282" spans="3:3" ht="15.75" customHeight="1">
      <c r="C282" s="351"/>
    </row>
    <row r="283" spans="3:3" ht="15.75" customHeight="1">
      <c r="C283" s="351"/>
    </row>
    <row r="284" spans="3:3" ht="15.75" customHeight="1">
      <c r="C284" s="351"/>
    </row>
    <row r="285" spans="3:3" ht="15.75" customHeight="1">
      <c r="C285" s="351"/>
    </row>
    <row r="286" spans="3:3" ht="15.75" customHeight="1">
      <c r="C286" s="351"/>
    </row>
    <row r="287" spans="3:3" ht="15.75" customHeight="1">
      <c r="C287" s="351"/>
    </row>
    <row r="288" spans="3:3" ht="15.75" customHeight="1">
      <c r="C288" s="351"/>
    </row>
    <row r="289" spans="3:3" ht="15.75" customHeight="1">
      <c r="C289" s="351"/>
    </row>
    <row r="290" spans="3:3" ht="15.75" customHeight="1">
      <c r="C290" s="351"/>
    </row>
    <row r="291" spans="3:3" ht="15.75" customHeight="1">
      <c r="C291" s="351"/>
    </row>
    <row r="292" spans="3:3" ht="15.75" customHeight="1">
      <c r="C292" s="351"/>
    </row>
    <row r="293" spans="3:3" ht="15.75" customHeight="1">
      <c r="C293" s="351"/>
    </row>
    <row r="294" spans="3:3" ht="15.75" customHeight="1">
      <c r="C294" s="351"/>
    </row>
    <row r="295" spans="3:3" ht="15.75" customHeight="1">
      <c r="C295" s="351"/>
    </row>
    <row r="296" spans="3:3" ht="15.75" customHeight="1">
      <c r="C296" s="351"/>
    </row>
    <row r="297" spans="3:3" ht="15.75" customHeight="1">
      <c r="C297" s="351"/>
    </row>
    <row r="298" spans="3:3" ht="15.75" customHeight="1">
      <c r="C298" s="351"/>
    </row>
    <row r="299" spans="3:3" ht="15.75" customHeight="1">
      <c r="C299" s="351"/>
    </row>
    <row r="300" spans="3:3" ht="15.75" customHeight="1">
      <c r="C300" s="351"/>
    </row>
    <row r="301" spans="3:3" ht="15.75" customHeight="1">
      <c r="C301" s="351"/>
    </row>
    <row r="302" spans="3:3" ht="15.75" customHeight="1">
      <c r="C302" s="351"/>
    </row>
    <row r="303" spans="3:3" ht="15.75" customHeight="1">
      <c r="C303" s="351"/>
    </row>
    <row r="304" spans="3:3" ht="15.75" customHeight="1">
      <c r="C304" s="351"/>
    </row>
    <row r="305" spans="3:3" ht="15.75" customHeight="1">
      <c r="C305" s="351"/>
    </row>
    <row r="306" spans="3:3" ht="15.75" customHeight="1">
      <c r="C306" s="351"/>
    </row>
    <row r="307" spans="3:3" ht="15.75" customHeight="1">
      <c r="C307" s="351"/>
    </row>
    <row r="308" spans="3:3" ht="15.75" customHeight="1">
      <c r="C308" s="351"/>
    </row>
    <row r="309" spans="3:3" ht="15.75" customHeight="1">
      <c r="C309" s="351"/>
    </row>
    <row r="310" spans="3:3" ht="15.75" customHeight="1">
      <c r="C310" s="351"/>
    </row>
    <row r="311" spans="3:3" ht="15.75" customHeight="1">
      <c r="C311" s="351"/>
    </row>
    <row r="312" spans="3:3" ht="15.75" customHeight="1">
      <c r="C312" s="351"/>
    </row>
    <row r="313" spans="3:3" ht="15.75" customHeight="1">
      <c r="C313" s="351"/>
    </row>
    <row r="314" spans="3:3" ht="15.75" customHeight="1">
      <c r="C314" s="351"/>
    </row>
    <row r="315" spans="3:3" ht="15.75" customHeight="1">
      <c r="C315" s="351"/>
    </row>
    <row r="316" spans="3:3" ht="15.75" customHeight="1">
      <c r="C316" s="351"/>
    </row>
    <row r="317" spans="3:3" ht="15.75" customHeight="1">
      <c r="C317" s="351"/>
    </row>
    <row r="318" spans="3:3" ht="15.75" customHeight="1">
      <c r="C318" s="351"/>
    </row>
    <row r="319" spans="3:3" ht="15.75" customHeight="1">
      <c r="C319" s="351"/>
    </row>
    <row r="320" spans="3:3" ht="15.75" customHeight="1">
      <c r="C320" s="351"/>
    </row>
    <row r="321" spans="3:3" ht="15.75" customHeight="1">
      <c r="C321" s="351"/>
    </row>
    <row r="322" spans="3:3" ht="15.75" customHeight="1">
      <c r="C322" s="351"/>
    </row>
    <row r="323" spans="3:3" ht="15.75" customHeight="1">
      <c r="C323" s="351"/>
    </row>
    <row r="324" spans="3:3" ht="15.75" customHeight="1">
      <c r="C324" s="351"/>
    </row>
    <row r="325" spans="3:3" ht="15.75" customHeight="1">
      <c r="C325" s="351"/>
    </row>
    <row r="326" spans="3:3" ht="15.75" customHeight="1">
      <c r="C326" s="351"/>
    </row>
    <row r="327" spans="3:3" ht="15.75" customHeight="1">
      <c r="C327" s="351"/>
    </row>
    <row r="328" spans="3:3" ht="15.75" customHeight="1">
      <c r="C328" s="351"/>
    </row>
    <row r="329" spans="3:3" ht="15.75" customHeight="1">
      <c r="C329" s="351"/>
    </row>
    <row r="330" spans="3:3" ht="15.75" customHeight="1">
      <c r="C330" s="351"/>
    </row>
    <row r="331" spans="3:3" ht="15.75" customHeight="1">
      <c r="C331" s="351"/>
    </row>
    <row r="332" spans="3:3" ht="15.75" customHeight="1">
      <c r="C332" s="351"/>
    </row>
    <row r="333" spans="3:3" ht="15.75" customHeight="1">
      <c r="C333" s="351"/>
    </row>
    <row r="334" spans="3:3" ht="15.75" customHeight="1">
      <c r="C334" s="351"/>
    </row>
    <row r="335" spans="3:3" ht="15.75" customHeight="1">
      <c r="C335" s="351"/>
    </row>
    <row r="336" spans="3:3" ht="15.75" customHeight="1">
      <c r="C336" s="351"/>
    </row>
    <row r="337" spans="3:3" ht="15.75" customHeight="1">
      <c r="C337" s="351"/>
    </row>
    <row r="338" spans="3:3" ht="15.75" customHeight="1">
      <c r="C338" s="351"/>
    </row>
    <row r="339" spans="3:3" ht="15.75" customHeight="1">
      <c r="C339" s="351"/>
    </row>
    <row r="340" spans="3:3" ht="15.75" customHeight="1">
      <c r="C340" s="351"/>
    </row>
    <row r="341" spans="3:3" ht="15.75" customHeight="1">
      <c r="C341" s="351"/>
    </row>
    <row r="342" spans="3:3" ht="15.75" customHeight="1">
      <c r="C342" s="351"/>
    </row>
    <row r="343" spans="3:3" ht="15.75" customHeight="1">
      <c r="C343" s="351"/>
    </row>
    <row r="344" spans="3:3" ht="15.75" customHeight="1">
      <c r="C344" s="351"/>
    </row>
    <row r="345" spans="3:3" ht="15.75" customHeight="1">
      <c r="C345" s="351"/>
    </row>
    <row r="346" spans="3:3" ht="15.75" customHeight="1">
      <c r="C346" s="351"/>
    </row>
    <row r="347" spans="3:3" ht="15.75" customHeight="1">
      <c r="C347" s="351"/>
    </row>
    <row r="348" spans="3:3" ht="15.75" customHeight="1">
      <c r="C348" s="351"/>
    </row>
    <row r="349" spans="3:3" ht="15.75" customHeight="1">
      <c r="C349" s="351"/>
    </row>
    <row r="350" spans="3:3" ht="15.75" customHeight="1">
      <c r="C350" s="351"/>
    </row>
    <row r="351" spans="3:3" ht="15.75" customHeight="1">
      <c r="C351" s="351"/>
    </row>
    <row r="352" spans="3:3" ht="15.75" customHeight="1">
      <c r="C352" s="351"/>
    </row>
    <row r="353" spans="3:3" ht="15.75" customHeight="1">
      <c r="C353" s="351"/>
    </row>
    <row r="354" spans="3:3" ht="15.75" customHeight="1">
      <c r="C354" s="351"/>
    </row>
    <row r="355" spans="3:3" ht="15.75" customHeight="1">
      <c r="C355" s="351"/>
    </row>
    <row r="356" spans="3:3" ht="15.75" customHeight="1">
      <c r="C356" s="351"/>
    </row>
    <row r="357" spans="3:3" ht="15.75" customHeight="1">
      <c r="C357" s="351"/>
    </row>
    <row r="358" spans="3:3" ht="15.75" customHeight="1">
      <c r="C358" s="351"/>
    </row>
    <row r="359" spans="3:3" ht="15.75" customHeight="1">
      <c r="C359" s="351"/>
    </row>
    <row r="360" spans="3:3" ht="15.75" customHeight="1">
      <c r="C360" s="351"/>
    </row>
    <row r="361" spans="3:3" ht="15.75" customHeight="1">
      <c r="C361" s="351"/>
    </row>
    <row r="362" spans="3:3" ht="15.75" customHeight="1">
      <c r="C362" s="351"/>
    </row>
    <row r="363" spans="3:3" ht="15.75" customHeight="1">
      <c r="C363" s="351"/>
    </row>
    <row r="364" spans="3:3" ht="15.75" customHeight="1">
      <c r="C364" s="351"/>
    </row>
    <row r="365" spans="3:3" ht="15.75" customHeight="1">
      <c r="C365" s="351"/>
    </row>
    <row r="366" spans="3:3" ht="15.75" customHeight="1">
      <c r="C366" s="351"/>
    </row>
    <row r="367" spans="3:3" ht="15.75" customHeight="1">
      <c r="C367" s="351"/>
    </row>
    <row r="368" spans="3:3" ht="15.75" customHeight="1">
      <c r="C368" s="351"/>
    </row>
    <row r="369" spans="3:3" ht="15.75" customHeight="1">
      <c r="C369" s="351"/>
    </row>
    <row r="370" spans="3:3" ht="15.75" customHeight="1">
      <c r="C370" s="351"/>
    </row>
    <row r="371" spans="3:3" ht="15.75" customHeight="1">
      <c r="C371" s="351"/>
    </row>
    <row r="372" spans="3:3" ht="15.75" customHeight="1">
      <c r="C372" s="351"/>
    </row>
    <row r="373" spans="3:3" ht="15.75" customHeight="1">
      <c r="C373" s="351"/>
    </row>
    <row r="374" spans="3:3" ht="15.75" customHeight="1">
      <c r="C374" s="351"/>
    </row>
    <row r="375" spans="3:3" ht="15.75" customHeight="1">
      <c r="C375" s="351"/>
    </row>
    <row r="376" spans="3:3" ht="15.75" customHeight="1">
      <c r="C376" s="351"/>
    </row>
    <row r="377" spans="3:3" ht="15.75" customHeight="1">
      <c r="C377" s="351"/>
    </row>
    <row r="378" spans="3:3" ht="15.75" customHeight="1">
      <c r="C378" s="351"/>
    </row>
    <row r="379" spans="3:3" ht="15.75" customHeight="1">
      <c r="C379" s="351"/>
    </row>
    <row r="380" spans="3:3" ht="15.75" customHeight="1">
      <c r="C380" s="351"/>
    </row>
    <row r="381" spans="3:3" ht="15.75" customHeight="1">
      <c r="C381" s="351"/>
    </row>
    <row r="382" spans="3:3" ht="15.75" customHeight="1">
      <c r="C382" s="351"/>
    </row>
    <row r="383" spans="3:3" ht="15.75" customHeight="1">
      <c r="C383" s="351"/>
    </row>
    <row r="384" spans="3:3" ht="15.75" customHeight="1">
      <c r="C384" s="351"/>
    </row>
    <row r="385" spans="3:3" ht="15.75" customHeight="1">
      <c r="C385" s="351"/>
    </row>
    <row r="386" spans="3:3" ht="15.75" customHeight="1">
      <c r="C386" s="351"/>
    </row>
    <row r="387" spans="3:3" ht="15.75" customHeight="1">
      <c r="C387" s="351"/>
    </row>
    <row r="388" spans="3:3" ht="15.75" customHeight="1">
      <c r="C388" s="351"/>
    </row>
    <row r="389" spans="3:3" ht="15.75" customHeight="1">
      <c r="C389" s="351"/>
    </row>
    <row r="390" spans="3:3" ht="15.75" customHeight="1">
      <c r="C390" s="351"/>
    </row>
    <row r="391" spans="3:3" ht="15.75" customHeight="1">
      <c r="C391" s="351"/>
    </row>
    <row r="392" spans="3:3" ht="15.75" customHeight="1">
      <c r="C392" s="351"/>
    </row>
    <row r="393" spans="3:3" ht="15.75" customHeight="1">
      <c r="C393" s="351"/>
    </row>
    <row r="394" spans="3:3" ht="15.75" customHeight="1">
      <c r="C394" s="351"/>
    </row>
    <row r="395" spans="3:3" ht="15.75" customHeight="1">
      <c r="C395" s="351"/>
    </row>
    <row r="396" spans="3:3" ht="15.75" customHeight="1">
      <c r="C396" s="351"/>
    </row>
    <row r="397" spans="3:3" ht="15.75" customHeight="1">
      <c r="C397" s="351"/>
    </row>
    <row r="398" spans="3:3" ht="15.75" customHeight="1">
      <c r="C398" s="351"/>
    </row>
    <row r="399" spans="3:3" ht="15.75" customHeight="1">
      <c r="C399" s="351"/>
    </row>
    <row r="400" spans="3:3" ht="15.75" customHeight="1">
      <c r="C400" s="351"/>
    </row>
    <row r="401" spans="3:3" ht="15.75" customHeight="1">
      <c r="C401" s="351"/>
    </row>
    <row r="402" spans="3:3" ht="15.75" customHeight="1">
      <c r="C402" s="351"/>
    </row>
    <row r="403" spans="3:3" ht="15.75" customHeight="1">
      <c r="C403" s="351"/>
    </row>
    <row r="404" spans="3:3" ht="15.75" customHeight="1">
      <c r="C404" s="351"/>
    </row>
    <row r="405" spans="3:3" ht="15.75" customHeight="1">
      <c r="C405" s="351"/>
    </row>
    <row r="406" spans="3:3" ht="15.75" customHeight="1">
      <c r="C406" s="351"/>
    </row>
    <row r="407" spans="3:3" ht="15.75" customHeight="1">
      <c r="C407" s="351"/>
    </row>
    <row r="408" spans="3:3" ht="15.75" customHeight="1">
      <c r="C408" s="351"/>
    </row>
    <row r="409" spans="3:3" ht="15.75" customHeight="1">
      <c r="C409" s="351"/>
    </row>
    <row r="410" spans="3:3" ht="15.75" customHeight="1">
      <c r="C410" s="351"/>
    </row>
    <row r="411" spans="3:3" ht="15.75" customHeight="1">
      <c r="C411" s="351"/>
    </row>
    <row r="412" spans="3:3" ht="15.75" customHeight="1">
      <c r="C412" s="351"/>
    </row>
    <row r="413" spans="3:3" ht="15.75" customHeight="1">
      <c r="C413" s="351"/>
    </row>
    <row r="414" spans="3:3" ht="15.75" customHeight="1">
      <c r="C414" s="351"/>
    </row>
    <row r="415" spans="3:3" ht="15.75" customHeight="1">
      <c r="C415" s="351"/>
    </row>
    <row r="416" spans="3:3" ht="15.75" customHeight="1">
      <c r="C416" s="351"/>
    </row>
    <row r="417" spans="3:3" ht="15.75" customHeight="1">
      <c r="C417" s="351"/>
    </row>
    <row r="418" spans="3:3" ht="15.75" customHeight="1">
      <c r="C418" s="351"/>
    </row>
    <row r="419" spans="3:3" ht="15.75" customHeight="1">
      <c r="C419" s="351"/>
    </row>
    <row r="420" spans="3:3" ht="15.75" customHeight="1">
      <c r="C420" s="351"/>
    </row>
    <row r="421" spans="3:3" ht="15.75" customHeight="1">
      <c r="C421" s="351"/>
    </row>
    <row r="422" spans="3:3" ht="15.75" customHeight="1">
      <c r="C422" s="351"/>
    </row>
    <row r="423" spans="3:3" ht="15.75" customHeight="1">
      <c r="C423" s="351"/>
    </row>
    <row r="424" spans="3:3" ht="15.75" customHeight="1">
      <c r="C424" s="351"/>
    </row>
    <row r="425" spans="3:3" ht="15.75" customHeight="1">
      <c r="C425" s="351"/>
    </row>
    <row r="426" spans="3:3" ht="15.75" customHeight="1">
      <c r="C426" s="351"/>
    </row>
    <row r="427" spans="3:3" ht="15.75" customHeight="1">
      <c r="C427" s="351"/>
    </row>
    <row r="428" spans="3:3" ht="15.75" customHeight="1">
      <c r="C428" s="351"/>
    </row>
    <row r="429" spans="3:3" ht="15.75" customHeight="1">
      <c r="C429" s="351"/>
    </row>
    <row r="430" spans="3:3" ht="15.75" customHeight="1">
      <c r="C430" s="351"/>
    </row>
    <row r="431" spans="3:3" ht="15.75" customHeight="1">
      <c r="C431" s="351"/>
    </row>
    <row r="432" spans="3:3" ht="15.75" customHeight="1">
      <c r="C432" s="351"/>
    </row>
    <row r="433" spans="3:3" ht="15.75" customHeight="1">
      <c r="C433" s="351"/>
    </row>
    <row r="434" spans="3:3" ht="15.75" customHeight="1">
      <c r="C434" s="351"/>
    </row>
    <row r="435" spans="3:3" ht="15.75" customHeight="1">
      <c r="C435" s="351"/>
    </row>
    <row r="436" spans="3:3" ht="15.75" customHeight="1">
      <c r="C436" s="351"/>
    </row>
    <row r="437" spans="3:3" ht="15.75" customHeight="1">
      <c r="C437" s="351"/>
    </row>
    <row r="438" spans="3:3" ht="15.75" customHeight="1">
      <c r="C438" s="351"/>
    </row>
    <row r="439" spans="3:3" ht="15.75" customHeight="1">
      <c r="C439" s="351"/>
    </row>
    <row r="440" spans="3:3" ht="15.75" customHeight="1">
      <c r="C440" s="351"/>
    </row>
    <row r="441" spans="3:3" ht="15.75" customHeight="1">
      <c r="C441" s="351"/>
    </row>
    <row r="442" spans="3:3" ht="15.75" customHeight="1">
      <c r="C442" s="351"/>
    </row>
    <row r="443" spans="3:3" ht="15.75" customHeight="1">
      <c r="C443" s="351"/>
    </row>
    <row r="444" spans="3:3" ht="15.75" customHeight="1">
      <c r="C444" s="351"/>
    </row>
    <row r="445" spans="3:3" ht="15.75" customHeight="1">
      <c r="C445" s="351"/>
    </row>
    <row r="446" spans="3:3" ht="15.75" customHeight="1">
      <c r="C446" s="351"/>
    </row>
    <row r="447" spans="3:3" ht="15.75" customHeight="1">
      <c r="C447" s="351"/>
    </row>
    <row r="448" spans="3:3" ht="15.75" customHeight="1">
      <c r="C448" s="351"/>
    </row>
    <row r="449" spans="3:3" ht="15.75" customHeight="1">
      <c r="C449" s="351"/>
    </row>
    <row r="450" spans="3:3" ht="15.75" customHeight="1">
      <c r="C450" s="351"/>
    </row>
    <row r="451" spans="3:3" ht="15.75" customHeight="1">
      <c r="C451" s="351"/>
    </row>
    <row r="452" spans="3:3" ht="15.75" customHeight="1">
      <c r="C452" s="351"/>
    </row>
    <row r="453" spans="3:3" ht="15.75" customHeight="1">
      <c r="C453" s="351"/>
    </row>
    <row r="454" spans="3:3" ht="15.75" customHeight="1">
      <c r="C454" s="351"/>
    </row>
    <row r="455" spans="3:3" ht="15.75" customHeight="1">
      <c r="C455" s="351"/>
    </row>
    <row r="456" spans="3:3" ht="15.75" customHeight="1">
      <c r="C456" s="351"/>
    </row>
    <row r="457" spans="3:3" ht="15.75" customHeight="1">
      <c r="C457" s="351"/>
    </row>
    <row r="458" spans="3:3" ht="15.75" customHeight="1">
      <c r="C458" s="351"/>
    </row>
    <row r="459" spans="3:3" ht="15.75" customHeight="1">
      <c r="C459" s="351"/>
    </row>
    <row r="460" spans="3:3" ht="15.75" customHeight="1">
      <c r="C460" s="351"/>
    </row>
    <row r="461" spans="3:3" ht="15.75" customHeight="1">
      <c r="C461" s="351"/>
    </row>
    <row r="462" spans="3:3" ht="15.75" customHeight="1">
      <c r="C462" s="351"/>
    </row>
    <row r="463" spans="3:3" ht="15.75" customHeight="1">
      <c r="C463" s="351"/>
    </row>
    <row r="464" spans="3:3" ht="15.75" customHeight="1">
      <c r="C464" s="351"/>
    </row>
    <row r="465" spans="3:3" ht="15.75" customHeight="1">
      <c r="C465" s="351"/>
    </row>
    <row r="466" spans="3:3" ht="15.75" customHeight="1">
      <c r="C466" s="351"/>
    </row>
    <row r="467" spans="3:3" ht="15.75" customHeight="1">
      <c r="C467" s="351"/>
    </row>
    <row r="468" spans="3:3" ht="15.75" customHeight="1">
      <c r="C468" s="351"/>
    </row>
    <row r="469" spans="3:3" ht="15.75" customHeight="1">
      <c r="C469" s="351"/>
    </row>
    <row r="470" spans="3:3" ht="15.75" customHeight="1">
      <c r="C470" s="351"/>
    </row>
    <row r="471" spans="3:3" ht="15.75" customHeight="1">
      <c r="C471" s="351"/>
    </row>
    <row r="472" spans="3:3" ht="15.75" customHeight="1">
      <c r="C472" s="351"/>
    </row>
    <row r="473" spans="3:3" ht="15.75" customHeight="1">
      <c r="C473" s="351"/>
    </row>
    <row r="474" spans="3:3" ht="15.75" customHeight="1">
      <c r="C474" s="351"/>
    </row>
    <row r="475" spans="3:3" ht="15.75" customHeight="1">
      <c r="C475" s="351"/>
    </row>
    <row r="476" spans="3:3" ht="15.75" customHeight="1">
      <c r="C476" s="351"/>
    </row>
    <row r="477" spans="3:3" ht="15.75" customHeight="1">
      <c r="C477" s="351"/>
    </row>
    <row r="478" spans="3:3" ht="15.75" customHeight="1">
      <c r="C478" s="351"/>
    </row>
    <row r="479" spans="3:3" ht="15.75" customHeight="1">
      <c r="C479" s="351"/>
    </row>
    <row r="480" spans="3:3" ht="15.75" customHeight="1">
      <c r="C480" s="351"/>
    </row>
    <row r="481" spans="3:3" ht="15.75" customHeight="1">
      <c r="C481" s="351"/>
    </row>
    <row r="482" spans="3:3" ht="15.75" customHeight="1">
      <c r="C482" s="351"/>
    </row>
    <row r="483" spans="3:3" ht="15.75" customHeight="1">
      <c r="C483" s="351"/>
    </row>
    <row r="484" spans="3:3" ht="15.75" customHeight="1">
      <c r="C484" s="351"/>
    </row>
    <row r="485" spans="3:3" ht="15.75" customHeight="1">
      <c r="C485" s="351"/>
    </row>
    <row r="486" spans="3:3" ht="15.75" customHeight="1">
      <c r="C486" s="351"/>
    </row>
    <row r="487" spans="3:3" ht="15.75" customHeight="1">
      <c r="C487" s="351"/>
    </row>
    <row r="488" spans="3:3" ht="15.75" customHeight="1">
      <c r="C488" s="351"/>
    </row>
    <row r="489" spans="3:3" ht="15.75" customHeight="1">
      <c r="C489" s="351"/>
    </row>
    <row r="490" spans="3:3" ht="15.75" customHeight="1">
      <c r="C490" s="351"/>
    </row>
    <row r="491" spans="3:3" ht="15.75" customHeight="1">
      <c r="C491" s="351"/>
    </row>
    <row r="492" spans="3:3" ht="15.75" customHeight="1">
      <c r="C492" s="351"/>
    </row>
    <row r="493" spans="3:3" ht="15.75" customHeight="1">
      <c r="C493" s="351"/>
    </row>
    <row r="494" spans="3:3" ht="15.75" customHeight="1">
      <c r="C494" s="351"/>
    </row>
    <row r="495" spans="3:3" ht="15.75" customHeight="1">
      <c r="C495" s="351"/>
    </row>
    <row r="496" spans="3:3" ht="15.75" customHeight="1">
      <c r="C496" s="351"/>
    </row>
    <row r="497" spans="3:3" ht="15.75" customHeight="1">
      <c r="C497" s="351"/>
    </row>
    <row r="498" spans="3:3" ht="15.75" customHeight="1">
      <c r="C498" s="351"/>
    </row>
    <row r="499" spans="3:3" ht="15.75" customHeight="1">
      <c r="C499" s="351"/>
    </row>
    <row r="500" spans="3:3" ht="15.75" customHeight="1">
      <c r="C500" s="351"/>
    </row>
    <row r="501" spans="3:3" ht="15.75" customHeight="1">
      <c r="C501" s="351"/>
    </row>
    <row r="502" spans="3:3" ht="15.75" customHeight="1">
      <c r="C502" s="351"/>
    </row>
    <row r="503" spans="3:3" ht="15.75" customHeight="1">
      <c r="C503" s="351"/>
    </row>
    <row r="504" spans="3:3" ht="15.75" customHeight="1">
      <c r="C504" s="351"/>
    </row>
    <row r="505" spans="3:3" ht="15.75" customHeight="1">
      <c r="C505" s="351"/>
    </row>
    <row r="506" spans="3:3" ht="15.75" customHeight="1">
      <c r="C506" s="351"/>
    </row>
    <row r="507" spans="3:3" ht="15.75" customHeight="1">
      <c r="C507" s="351"/>
    </row>
    <row r="508" spans="3:3" ht="15.75" customHeight="1">
      <c r="C508" s="351"/>
    </row>
    <row r="509" spans="3:3" ht="15.75" customHeight="1">
      <c r="C509" s="351"/>
    </row>
    <row r="510" spans="3:3" ht="15.75" customHeight="1">
      <c r="C510" s="351"/>
    </row>
    <row r="511" spans="3:3" ht="15.75" customHeight="1">
      <c r="C511" s="351"/>
    </row>
    <row r="512" spans="3:3" ht="15.75" customHeight="1">
      <c r="C512" s="351"/>
    </row>
    <row r="513" spans="3:3" ht="15.75" customHeight="1">
      <c r="C513" s="351"/>
    </row>
    <row r="514" spans="3:3" ht="15.75" customHeight="1">
      <c r="C514" s="351"/>
    </row>
    <row r="515" spans="3:3" ht="15.75" customHeight="1">
      <c r="C515" s="351"/>
    </row>
    <row r="516" spans="3:3" ht="15.75" customHeight="1">
      <c r="C516" s="351"/>
    </row>
    <row r="517" spans="3:3" ht="15.75" customHeight="1">
      <c r="C517" s="351"/>
    </row>
    <row r="518" spans="3:3" ht="15.75" customHeight="1">
      <c r="C518" s="351"/>
    </row>
    <row r="519" spans="3:3" ht="15.75" customHeight="1">
      <c r="C519" s="351"/>
    </row>
    <row r="520" spans="3:3" ht="15.75" customHeight="1">
      <c r="C520" s="351"/>
    </row>
    <row r="521" spans="3:3" ht="15.75" customHeight="1">
      <c r="C521" s="351"/>
    </row>
    <row r="522" spans="3:3" ht="15.75" customHeight="1">
      <c r="C522" s="351"/>
    </row>
    <row r="523" spans="3:3" ht="15.75" customHeight="1">
      <c r="C523" s="351"/>
    </row>
    <row r="524" spans="3:3" ht="15.75" customHeight="1">
      <c r="C524" s="351"/>
    </row>
    <row r="525" spans="3:3" ht="15.75" customHeight="1">
      <c r="C525" s="351"/>
    </row>
    <row r="526" spans="3:3" ht="15.75" customHeight="1">
      <c r="C526" s="351"/>
    </row>
    <row r="527" spans="3:3" ht="15.75" customHeight="1">
      <c r="C527" s="351"/>
    </row>
    <row r="528" spans="3:3" ht="15.75" customHeight="1">
      <c r="C528" s="351"/>
    </row>
    <row r="529" spans="3:3" ht="15.75" customHeight="1">
      <c r="C529" s="351"/>
    </row>
    <row r="530" spans="3:3" ht="15.75" customHeight="1">
      <c r="C530" s="351"/>
    </row>
    <row r="531" spans="3:3" ht="15.75" customHeight="1">
      <c r="C531" s="351"/>
    </row>
    <row r="532" spans="3:3" ht="15.75" customHeight="1">
      <c r="C532" s="351"/>
    </row>
    <row r="533" spans="3:3" ht="15.75" customHeight="1">
      <c r="C533" s="351"/>
    </row>
    <row r="534" spans="3:3" ht="15.75" customHeight="1">
      <c r="C534" s="351"/>
    </row>
    <row r="535" spans="3:3" ht="15.75" customHeight="1">
      <c r="C535" s="351"/>
    </row>
    <row r="536" spans="3:3" ht="15.75" customHeight="1">
      <c r="C536" s="351"/>
    </row>
    <row r="537" spans="3:3" ht="15.75" customHeight="1">
      <c r="C537" s="351"/>
    </row>
    <row r="538" spans="3:3" ht="15.75" customHeight="1">
      <c r="C538" s="351"/>
    </row>
    <row r="539" spans="3:3" ht="15.75" customHeight="1">
      <c r="C539" s="351"/>
    </row>
    <row r="540" spans="3:3" ht="15.75" customHeight="1">
      <c r="C540" s="351"/>
    </row>
    <row r="541" spans="3:3" ht="15.75" customHeight="1">
      <c r="C541" s="351"/>
    </row>
    <row r="542" spans="3:3" ht="15.75" customHeight="1">
      <c r="C542" s="351"/>
    </row>
    <row r="543" spans="3:3" ht="15.75" customHeight="1">
      <c r="C543" s="351"/>
    </row>
    <row r="544" spans="3:3" ht="15.75" customHeight="1">
      <c r="C544" s="351"/>
    </row>
    <row r="545" spans="3:3" ht="15.75" customHeight="1">
      <c r="C545" s="351"/>
    </row>
    <row r="546" spans="3:3" ht="15.75" customHeight="1">
      <c r="C546" s="351"/>
    </row>
    <row r="547" spans="3:3" ht="15.75" customHeight="1">
      <c r="C547" s="351"/>
    </row>
    <row r="548" spans="3:3" ht="15.75" customHeight="1">
      <c r="C548" s="351"/>
    </row>
    <row r="549" spans="3:3" ht="15.75" customHeight="1">
      <c r="C549" s="351"/>
    </row>
    <row r="550" spans="3:3" ht="15.75" customHeight="1">
      <c r="C550" s="351"/>
    </row>
    <row r="551" spans="3:3" ht="15.75" customHeight="1">
      <c r="C551" s="351"/>
    </row>
    <row r="552" spans="3:3" ht="15.75" customHeight="1">
      <c r="C552" s="351"/>
    </row>
    <row r="553" spans="3:3" ht="15.75" customHeight="1">
      <c r="C553" s="351"/>
    </row>
    <row r="554" spans="3:3" ht="15.75" customHeight="1">
      <c r="C554" s="351"/>
    </row>
    <row r="555" spans="3:3" ht="15.75" customHeight="1">
      <c r="C555" s="351"/>
    </row>
    <row r="556" spans="3:3" ht="15.75" customHeight="1">
      <c r="C556" s="351"/>
    </row>
    <row r="557" spans="3:3" ht="15.75" customHeight="1">
      <c r="C557" s="351"/>
    </row>
    <row r="558" spans="3:3" ht="15.75" customHeight="1">
      <c r="C558" s="351"/>
    </row>
    <row r="559" spans="3:3" ht="15.75" customHeight="1">
      <c r="C559" s="351"/>
    </row>
    <row r="560" spans="3:3" ht="15.75" customHeight="1">
      <c r="C560" s="351"/>
    </row>
    <row r="561" spans="3:3" ht="15.75" customHeight="1">
      <c r="C561" s="351"/>
    </row>
    <row r="562" spans="3:3" ht="15.75" customHeight="1">
      <c r="C562" s="351"/>
    </row>
    <row r="563" spans="3:3" ht="15.75" customHeight="1">
      <c r="C563" s="351"/>
    </row>
    <row r="564" spans="3:3" ht="15.75" customHeight="1">
      <c r="C564" s="351"/>
    </row>
    <row r="565" spans="3:3" ht="15.75" customHeight="1">
      <c r="C565" s="351"/>
    </row>
    <row r="566" spans="3:3" ht="15.75" customHeight="1">
      <c r="C566" s="351"/>
    </row>
    <row r="567" spans="3:3" ht="15.75" customHeight="1">
      <c r="C567" s="351"/>
    </row>
    <row r="568" spans="3:3" ht="15.75" customHeight="1">
      <c r="C568" s="351"/>
    </row>
    <row r="569" spans="3:3" ht="15.75" customHeight="1">
      <c r="C569" s="351"/>
    </row>
    <row r="570" spans="3:3" ht="15.75" customHeight="1">
      <c r="C570" s="351"/>
    </row>
    <row r="571" spans="3:3" ht="15.75" customHeight="1">
      <c r="C571" s="351"/>
    </row>
    <row r="572" spans="3:3" ht="15.75" customHeight="1">
      <c r="C572" s="351"/>
    </row>
    <row r="573" spans="3:3" ht="15.75" customHeight="1">
      <c r="C573" s="351"/>
    </row>
    <row r="574" spans="3:3" ht="15.75" customHeight="1">
      <c r="C574" s="351"/>
    </row>
    <row r="575" spans="3:3" ht="15.75" customHeight="1">
      <c r="C575" s="351"/>
    </row>
    <row r="576" spans="3:3" ht="15.75" customHeight="1">
      <c r="C576" s="351"/>
    </row>
    <row r="577" spans="3:3" ht="15.75" customHeight="1">
      <c r="C577" s="351"/>
    </row>
    <row r="578" spans="3:3" ht="15.75" customHeight="1">
      <c r="C578" s="351"/>
    </row>
    <row r="579" spans="3:3" ht="15.75" customHeight="1">
      <c r="C579" s="351"/>
    </row>
    <row r="580" spans="3:3" ht="15.75" customHeight="1">
      <c r="C580" s="351"/>
    </row>
    <row r="581" spans="3:3" ht="15.75" customHeight="1">
      <c r="C581" s="351"/>
    </row>
    <row r="582" spans="3:3" ht="15.75" customHeight="1">
      <c r="C582" s="351"/>
    </row>
    <row r="583" spans="3:3" ht="15.75" customHeight="1">
      <c r="C583" s="351"/>
    </row>
    <row r="584" spans="3:3" ht="15.75" customHeight="1">
      <c r="C584" s="351"/>
    </row>
    <row r="585" spans="3:3" ht="15.75" customHeight="1">
      <c r="C585" s="351"/>
    </row>
    <row r="586" spans="3:3" ht="15.75" customHeight="1">
      <c r="C586" s="351"/>
    </row>
    <row r="587" spans="3:3" ht="15.75" customHeight="1">
      <c r="C587" s="351"/>
    </row>
    <row r="588" spans="3:3" ht="15.75" customHeight="1">
      <c r="C588" s="351"/>
    </row>
    <row r="589" spans="3:3" ht="15.75" customHeight="1">
      <c r="C589" s="351"/>
    </row>
    <row r="590" spans="3:3" ht="15.75" customHeight="1">
      <c r="C590" s="351"/>
    </row>
    <row r="591" spans="3:3" ht="15.75" customHeight="1">
      <c r="C591" s="351"/>
    </row>
    <row r="592" spans="3:3" ht="15.75" customHeight="1">
      <c r="C592" s="351"/>
    </row>
    <row r="593" spans="3:3" ht="15.75" customHeight="1">
      <c r="C593" s="351"/>
    </row>
    <row r="594" spans="3:3" ht="15.75" customHeight="1">
      <c r="C594" s="351"/>
    </row>
    <row r="595" spans="3:3" ht="15.75" customHeight="1">
      <c r="C595" s="351"/>
    </row>
    <row r="596" spans="3:3" ht="15.75" customHeight="1">
      <c r="C596" s="351"/>
    </row>
    <row r="597" spans="3:3" ht="15.75" customHeight="1">
      <c r="C597" s="351"/>
    </row>
    <row r="598" spans="3:3" ht="15.75" customHeight="1">
      <c r="C598" s="351"/>
    </row>
    <row r="599" spans="3:3" ht="15.75" customHeight="1">
      <c r="C599" s="351"/>
    </row>
    <row r="600" spans="3:3" ht="15.75" customHeight="1">
      <c r="C600" s="351"/>
    </row>
    <row r="601" spans="3:3" ht="15.75" customHeight="1">
      <c r="C601" s="351"/>
    </row>
    <row r="602" spans="3:3" ht="15.75" customHeight="1">
      <c r="C602" s="351"/>
    </row>
    <row r="603" spans="3:3" ht="15.75" customHeight="1">
      <c r="C603" s="351"/>
    </row>
    <row r="604" spans="3:3" ht="15.75" customHeight="1">
      <c r="C604" s="351"/>
    </row>
    <row r="605" spans="3:3" ht="15.75" customHeight="1">
      <c r="C605" s="351"/>
    </row>
    <row r="606" spans="3:3" ht="15.75" customHeight="1">
      <c r="C606" s="351"/>
    </row>
    <row r="607" spans="3:3" ht="15.75" customHeight="1">
      <c r="C607" s="351"/>
    </row>
    <row r="608" spans="3:3" ht="15.75" customHeight="1">
      <c r="C608" s="351"/>
    </row>
    <row r="609" spans="3:3" ht="15.75" customHeight="1">
      <c r="C609" s="351"/>
    </row>
    <row r="610" spans="3:3" ht="15.75" customHeight="1">
      <c r="C610" s="351"/>
    </row>
    <row r="611" spans="3:3" ht="15.75" customHeight="1">
      <c r="C611" s="351"/>
    </row>
    <row r="612" spans="3:3" ht="15.75" customHeight="1">
      <c r="C612" s="351"/>
    </row>
    <row r="613" spans="3:3" ht="15.75" customHeight="1">
      <c r="C613" s="351"/>
    </row>
    <row r="614" spans="3:3" ht="15.75" customHeight="1">
      <c r="C614" s="351"/>
    </row>
    <row r="615" spans="3:3" ht="15.75" customHeight="1">
      <c r="C615" s="351"/>
    </row>
    <row r="616" spans="3:3" ht="15.75" customHeight="1">
      <c r="C616" s="351"/>
    </row>
    <row r="617" spans="3:3" ht="15.75" customHeight="1">
      <c r="C617" s="351"/>
    </row>
    <row r="618" spans="3:3" ht="15.75" customHeight="1">
      <c r="C618" s="351"/>
    </row>
    <row r="619" spans="3:3" ht="15.75" customHeight="1">
      <c r="C619" s="351"/>
    </row>
    <row r="620" spans="3:3" ht="15.75" customHeight="1">
      <c r="C620" s="351"/>
    </row>
    <row r="621" spans="3:3" ht="15.75" customHeight="1">
      <c r="C621" s="351"/>
    </row>
    <row r="622" spans="3:3" ht="15.75" customHeight="1">
      <c r="C622" s="351"/>
    </row>
    <row r="623" spans="3:3" ht="15.75" customHeight="1">
      <c r="C623" s="351"/>
    </row>
    <row r="624" spans="3:3" ht="15.75" customHeight="1">
      <c r="C624" s="351"/>
    </row>
    <row r="625" spans="3:3" ht="15.75" customHeight="1">
      <c r="C625" s="351"/>
    </row>
    <row r="626" spans="3:3" ht="15.75" customHeight="1">
      <c r="C626" s="351"/>
    </row>
    <row r="627" spans="3:3" ht="15.75" customHeight="1">
      <c r="C627" s="351"/>
    </row>
    <row r="628" spans="3:3" ht="15.75" customHeight="1">
      <c r="C628" s="351"/>
    </row>
    <row r="629" spans="3:3" ht="15.75" customHeight="1">
      <c r="C629" s="351"/>
    </row>
    <row r="630" spans="3:3" ht="15.75" customHeight="1">
      <c r="C630" s="351"/>
    </row>
    <row r="631" spans="3:3" ht="15.75" customHeight="1">
      <c r="C631" s="351"/>
    </row>
    <row r="632" spans="3:3" ht="15.75" customHeight="1">
      <c r="C632" s="351"/>
    </row>
    <row r="633" spans="3:3" ht="15.75" customHeight="1">
      <c r="C633" s="351"/>
    </row>
    <row r="634" spans="3:3" ht="15.75" customHeight="1">
      <c r="C634" s="351"/>
    </row>
    <row r="635" spans="3:3" ht="15.75" customHeight="1">
      <c r="C635" s="351"/>
    </row>
    <row r="636" spans="3:3" ht="15.75" customHeight="1">
      <c r="C636" s="351"/>
    </row>
    <row r="637" spans="3:3" ht="15.75" customHeight="1">
      <c r="C637" s="351"/>
    </row>
    <row r="638" spans="3:3" ht="15.75" customHeight="1">
      <c r="C638" s="351"/>
    </row>
    <row r="639" spans="3:3" ht="15.75" customHeight="1">
      <c r="C639" s="351"/>
    </row>
    <row r="640" spans="3:3" ht="15.75" customHeight="1">
      <c r="C640" s="351"/>
    </row>
    <row r="641" spans="3:3" ht="15.75" customHeight="1">
      <c r="C641" s="351"/>
    </row>
    <row r="642" spans="3:3" ht="15.75" customHeight="1">
      <c r="C642" s="351"/>
    </row>
    <row r="643" spans="3:3" ht="15.75" customHeight="1">
      <c r="C643" s="351"/>
    </row>
    <row r="644" spans="3:3" ht="15.75" customHeight="1">
      <c r="C644" s="351"/>
    </row>
    <row r="645" spans="3:3" ht="15.75" customHeight="1">
      <c r="C645" s="351"/>
    </row>
    <row r="646" spans="3:3" ht="15.75" customHeight="1">
      <c r="C646" s="351"/>
    </row>
    <row r="647" spans="3:3" ht="15.75" customHeight="1">
      <c r="C647" s="351"/>
    </row>
    <row r="648" spans="3:3" ht="15.75" customHeight="1">
      <c r="C648" s="351"/>
    </row>
    <row r="649" spans="3:3" ht="15.75" customHeight="1">
      <c r="C649" s="351"/>
    </row>
    <row r="650" spans="3:3" ht="15.75" customHeight="1">
      <c r="C650" s="351"/>
    </row>
    <row r="651" spans="3:3" ht="15.75" customHeight="1">
      <c r="C651" s="351"/>
    </row>
    <row r="652" spans="3:3" ht="15.75" customHeight="1">
      <c r="C652" s="351"/>
    </row>
    <row r="653" spans="3:3" ht="15.75" customHeight="1">
      <c r="C653" s="351"/>
    </row>
    <row r="654" spans="3:3" ht="15.75" customHeight="1">
      <c r="C654" s="351"/>
    </row>
    <row r="655" spans="3:3" ht="15.75" customHeight="1">
      <c r="C655" s="351"/>
    </row>
    <row r="656" spans="3:3" ht="15.75" customHeight="1">
      <c r="C656" s="351"/>
    </row>
    <row r="657" spans="3:3" ht="15.75" customHeight="1">
      <c r="C657" s="351"/>
    </row>
    <row r="658" spans="3:3" ht="15.75" customHeight="1">
      <c r="C658" s="351"/>
    </row>
    <row r="659" spans="3:3" ht="15.75" customHeight="1">
      <c r="C659" s="351"/>
    </row>
    <row r="660" spans="3:3" ht="15.75" customHeight="1">
      <c r="C660" s="351"/>
    </row>
    <row r="661" spans="3:3" ht="15.75" customHeight="1">
      <c r="C661" s="351"/>
    </row>
    <row r="662" spans="3:3" ht="15.75" customHeight="1">
      <c r="C662" s="351"/>
    </row>
    <row r="663" spans="3:3" ht="15.75" customHeight="1">
      <c r="C663" s="351"/>
    </row>
    <row r="664" spans="3:3" ht="15.75" customHeight="1">
      <c r="C664" s="351"/>
    </row>
    <row r="665" spans="3:3" ht="15.75" customHeight="1">
      <c r="C665" s="351"/>
    </row>
    <row r="666" spans="3:3" ht="15.75" customHeight="1">
      <c r="C666" s="351"/>
    </row>
    <row r="667" spans="3:3" ht="15.75" customHeight="1">
      <c r="C667" s="351"/>
    </row>
    <row r="668" spans="3:3" ht="15.75" customHeight="1">
      <c r="C668" s="351"/>
    </row>
    <row r="669" spans="3:3" ht="15.75" customHeight="1">
      <c r="C669" s="351"/>
    </row>
    <row r="670" spans="3:3" ht="15.75" customHeight="1">
      <c r="C670" s="351"/>
    </row>
    <row r="671" spans="3:3" ht="15.75" customHeight="1">
      <c r="C671" s="351"/>
    </row>
    <row r="672" spans="3:3" ht="15.75" customHeight="1">
      <c r="C672" s="351"/>
    </row>
    <row r="673" spans="3:3" ht="15.75" customHeight="1">
      <c r="C673" s="351"/>
    </row>
    <row r="674" spans="3:3" ht="15.75" customHeight="1">
      <c r="C674" s="351"/>
    </row>
    <row r="675" spans="3:3" ht="15.75" customHeight="1">
      <c r="C675" s="351"/>
    </row>
    <row r="676" spans="3:3" ht="15.75" customHeight="1">
      <c r="C676" s="351"/>
    </row>
    <row r="677" spans="3:3" ht="15.75" customHeight="1">
      <c r="C677" s="351"/>
    </row>
    <row r="678" spans="3:3" ht="15.75" customHeight="1">
      <c r="C678" s="351"/>
    </row>
    <row r="679" spans="3:3" ht="15.75" customHeight="1">
      <c r="C679" s="351"/>
    </row>
    <row r="680" spans="3:3" ht="15.75" customHeight="1">
      <c r="C680" s="351"/>
    </row>
    <row r="681" spans="3:3" ht="15.75" customHeight="1">
      <c r="C681" s="351"/>
    </row>
    <row r="682" spans="3:3" ht="15.75" customHeight="1">
      <c r="C682" s="351"/>
    </row>
    <row r="683" spans="3:3" ht="15.75" customHeight="1">
      <c r="C683" s="351"/>
    </row>
    <row r="684" spans="3:3" ht="15.75" customHeight="1">
      <c r="C684" s="351"/>
    </row>
    <row r="685" spans="3:3" ht="15.75" customHeight="1">
      <c r="C685" s="351"/>
    </row>
    <row r="686" spans="3:3" ht="15.75" customHeight="1">
      <c r="C686" s="351"/>
    </row>
    <row r="687" spans="3:3" ht="15.75" customHeight="1">
      <c r="C687" s="351"/>
    </row>
    <row r="688" spans="3:3" ht="15.75" customHeight="1">
      <c r="C688" s="351"/>
    </row>
    <row r="689" spans="3:3" ht="15.75" customHeight="1">
      <c r="C689" s="351"/>
    </row>
    <row r="690" spans="3:3" ht="15.75" customHeight="1">
      <c r="C690" s="351"/>
    </row>
    <row r="691" spans="3:3" ht="15.75" customHeight="1">
      <c r="C691" s="351"/>
    </row>
    <row r="692" spans="3:3" ht="15.75" customHeight="1">
      <c r="C692" s="351"/>
    </row>
    <row r="693" spans="3:3" ht="15.75" customHeight="1">
      <c r="C693" s="351"/>
    </row>
    <row r="694" spans="3:3" ht="15.75" customHeight="1">
      <c r="C694" s="351"/>
    </row>
    <row r="695" spans="3:3" ht="15.75" customHeight="1">
      <c r="C695" s="351"/>
    </row>
    <row r="696" spans="3:3" ht="15.75" customHeight="1">
      <c r="C696" s="351"/>
    </row>
    <row r="697" spans="3:3" ht="15.75" customHeight="1">
      <c r="C697" s="351"/>
    </row>
    <row r="698" spans="3:3" ht="15.75" customHeight="1">
      <c r="C698" s="351"/>
    </row>
    <row r="699" spans="3:3" ht="15.75" customHeight="1">
      <c r="C699" s="351"/>
    </row>
    <row r="700" spans="3:3" ht="15.75" customHeight="1">
      <c r="C700" s="351"/>
    </row>
    <row r="701" spans="3:3" ht="15.75" customHeight="1">
      <c r="C701" s="351"/>
    </row>
    <row r="702" spans="3:3" ht="15.75" customHeight="1">
      <c r="C702" s="351"/>
    </row>
    <row r="703" spans="3:3" ht="15.75" customHeight="1">
      <c r="C703" s="351"/>
    </row>
    <row r="704" spans="3:3" ht="15.75" customHeight="1">
      <c r="C704" s="351"/>
    </row>
    <row r="705" spans="3:3" ht="15.75" customHeight="1">
      <c r="C705" s="351"/>
    </row>
    <row r="706" spans="3:3" ht="15.75" customHeight="1">
      <c r="C706" s="351"/>
    </row>
    <row r="707" spans="3:3" ht="15.75" customHeight="1">
      <c r="C707" s="351"/>
    </row>
    <row r="708" spans="3:3" ht="15.75" customHeight="1">
      <c r="C708" s="351"/>
    </row>
    <row r="709" spans="3:3" ht="15.75" customHeight="1">
      <c r="C709" s="351"/>
    </row>
    <row r="710" spans="3:3" ht="15.75" customHeight="1">
      <c r="C710" s="351"/>
    </row>
    <row r="711" spans="3:3" ht="15.75" customHeight="1">
      <c r="C711" s="351"/>
    </row>
    <row r="712" spans="3:3" ht="15.75" customHeight="1">
      <c r="C712" s="351"/>
    </row>
    <row r="713" spans="3:3" ht="15.75" customHeight="1">
      <c r="C713" s="351"/>
    </row>
    <row r="714" spans="3:3" ht="15.75" customHeight="1">
      <c r="C714" s="351"/>
    </row>
    <row r="715" spans="3:3" ht="15.75" customHeight="1">
      <c r="C715" s="351"/>
    </row>
    <row r="716" spans="3:3" ht="15.75" customHeight="1">
      <c r="C716" s="351"/>
    </row>
    <row r="717" spans="3:3" ht="15.75" customHeight="1">
      <c r="C717" s="351"/>
    </row>
    <row r="718" spans="3:3" ht="15.75" customHeight="1">
      <c r="C718" s="351"/>
    </row>
    <row r="719" spans="3:3" ht="15.75" customHeight="1">
      <c r="C719" s="351"/>
    </row>
    <row r="720" spans="3:3" ht="15.75" customHeight="1">
      <c r="C720" s="351"/>
    </row>
    <row r="721" spans="3:3" ht="15.75" customHeight="1">
      <c r="C721" s="351"/>
    </row>
    <row r="722" spans="3:3" ht="15.75" customHeight="1">
      <c r="C722" s="351"/>
    </row>
    <row r="723" spans="3:3" ht="15.75" customHeight="1">
      <c r="C723" s="351"/>
    </row>
    <row r="724" spans="3:3" ht="15.75" customHeight="1">
      <c r="C724" s="351"/>
    </row>
    <row r="725" spans="3:3" ht="15.75" customHeight="1">
      <c r="C725" s="351"/>
    </row>
    <row r="726" spans="3:3" ht="15.75" customHeight="1">
      <c r="C726" s="351"/>
    </row>
    <row r="727" spans="3:3" ht="15.75" customHeight="1">
      <c r="C727" s="351"/>
    </row>
    <row r="728" spans="3:3" ht="15.75" customHeight="1">
      <c r="C728" s="351"/>
    </row>
    <row r="729" spans="3:3" ht="15.75" customHeight="1">
      <c r="C729" s="351"/>
    </row>
    <row r="730" spans="3:3" ht="15.75" customHeight="1">
      <c r="C730" s="351"/>
    </row>
    <row r="731" spans="3:3" ht="15.75" customHeight="1">
      <c r="C731" s="351"/>
    </row>
    <row r="732" spans="3:3" ht="15.75" customHeight="1">
      <c r="C732" s="351"/>
    </row>
    <row r="733" spans="3:3" ht="15.75" customHeight="1">
      <c r="C733" s="351"/>
    </row>
    <row r="734" spans="3:3" ht="15.75" customHeight="1">
      <c r="C734" s="351"/>
    </row>
    <row r="735" spans="3:3" ht="15.75" customHeight="1">
      <c r="C735" s="351"/>
    </row>
    <row r="736" spans="3:3" ht="15.75" customHeight="1">
      <c r="C736" s="351"/>
    </row>
    <row r="737" spans="3:3" ht="15.75" customHeight="1">
      <c r="C737" s="351"/>
    </row>
    <row r="738" spans="3:3" ht="15.75" customHeight="1">
      <c r="C738" s="351"/>
    </row>
    <row r="739" spans="3:3" ht="15.75" customHeight="1">
      <c r="C739" s="351"/>
    </row>
    <row r="740" spans="3:3" ht="15.75" customHeight="1">
      <c r="C740" s="351"/>
    </row>
    <row r="741" spans="3:3" ht="15.75" customHeight="1">
      <c r="C741" s="351"/>
    </row>
    <row r="742" spans="3:3" ht="15.75" customHeight="1">
      <c r="C742" s="351"/>
    </row>
    <row r="743" spans="3:3" ht="15.75" customHeight="1">
      <c r="C743" s="351"/>
    </row>
    <row r="744" spans="3:3" ht="15.75" customHeight="1">
      <c r="C744" s="351"/>
    </row>
    <row r="745" spans="3:3" ht="15.75" customHeight="1">
      <c r="C745" s="351"/>
    </row>
    <row r="746" spans="3:3" ht="15.75" customHeight="1">
      <c r="C746" s="351"/>
    </row>
    <row r="747" spans="3:3" ht="15.75" customHeight="1">
      <c r="C747" s="351"/>
    </row>
    <row r="748" spans="3:3" ht="15.75" customHeight="1">
      <c r="C748" s="351"/>
    </row>
    <row r="749" spans="3:3" ht="15.75" customHeight="1">
      <c r="C749" s="351"/>
    </row>
    <row r="750" spans="3:3" ht="15.75" customHeight="1">
      <c r="C750" s="351"/>
    </row>
    <row r="751" spans="3:3" ht="15.75" customHeight="1">
      <c r="C751" s="351"/>
    </row>
    <row r="752" spans="3:3" ht="15.75" customHeight="1">
      <c r="C752" s="351"/>
    </row>
    <row r="753" spans="3:3" ht="15.75" customHeight="1">
      <c r="C753" s="351"/>
    </row>
    <row r="754" spans="3:3" ht="15.75" customHeight="1">
      <c r="C754" s="351"/>
    </row>
    <row r="755" spans="3:3" ht="15.75" customHeight="1">
      <c r="C755" s="351"/>
    </row>
    <row r="756" spans="3:3" ht="15.75" customHeight="1">
      <c r="C756" s="351"/>
    </row>
    <row r="757" spans="3:3" ht="15.75" customHeight="1">
      <c r="C757" s="351"/>
    </row>
    <row r="758" spans="3:3" ht="15.75" customHeight="1">
      <c r="C758" s="351"/>
    </row>
    <row r="759" spans="3:3" ht="15.75" customHeight="1">
      <c r="C759" s="351"/>
    </row>
    <row r="760" spans="3:3" ht="15.75" customHeight="1">
      <c r="C760" s="351"/>
    </row>
    <row r="761" spans="3:3" ht="15.75" customHeight="1">
      <c r="C761" s="351"/>
    </row>
    <row r="762" spans="3:3" ht="15.75" customHeight="1">
      <c r="C762" s="351"/>
    </row>
    <row r="763" spans="3:3" ht="15.75" customHeight="1">
      <c r="C763" s="351"/>
    </row>
    <row r="764" spans="3:3" ht="15.75" customHeight="1">
      <c r="C764" s="351"/>
    </row>
    <row r="765" spans="3:3" ht="15.75" customHeight="1">
      <c r="C765" s="351"/>
    </row>
    <row r="766" spans="3:3" ht="15.75" customHeight="1">
      <c r="C766" s="351"/>
    </row>
    <row r="767" spans="3:3" ht="15.75" customHeight="1">
      <c r="C767" s="351"/>
    </row>
    <row r="768" spans="3:3" ht="15.75" customHeight="1">
      <c r="C768" s="351"/>
    </row>
    <row r="769" spans="3:3" ht="15.75" customHeight="1">
      <c r="C769" s="351"/>
    </row>
    <row r="770" spans="3:3" ht="15.75" customHeight="1">
      <c r="C770" s="351"/>
    </row>
    <row r="771" spans="3:3" ht="15.75" customHeight="1">
      <c r="C771" s="351"/>
    </row>
    <row r="772" spans="3:3" ht="15.75" customHeight="1">
      <c r="C772" s="351"/>
    </row>
    <row r="773" spans="3:3" ht="15.75" customHeight="1">
      <c r="C773" s="351"/>
    </row>
    <row r="774" spans="3:3" ht="15.75" customHeight="1">
      <c r="C774" s="351"/>
    </row>
    <row r="775" spans="3:3" ht="15.75" customHeight="1">
      <c r="C775" s="351"/>
    </row>
    <row r="776" spans="3:3" ht="15.75" customHeight="1">
      <c r="C776" s="351"/>
    </row>
    <row r="777" spans="3:3" ht="15.75" customHeight="1">
      <c r="C777" s="351"/>
    </row>
    <row r="778" spans="3:3" ht="15.75" customHeight="1">
      <c r="C778" s="351"/>
    </row>
    <row r="779" spans="3:3" ht="15.75" customHeight="1">
      <c r="C779" s="351"/>
    </row>
    <row r="780" spans="3:3" ht="15.75" customHeight="1">
      <c r="C780" s="351"/>
    </row>
    <row r="781" spans="3:3" ht="15.75" customHeight="1">
      <c r="C781" s="351"/>
    </row>
    <row r="782" spans="3:3" ht="15.75" customHeight="1">
      <c r="C782" s="351"/>
    </row>
    <row r="783" spans="3:3" ht="15.75" customHeight="1">
      <c r="C783" s="351"/>
    </row>
    <row r="784" spans="3:3" ht="15.75" customHeight="1">
      <c r="C784" s="351"/>
    </row>
    <row r="785" spans="3:3" ht="15.75" customHeight="1">
      <c r="C785" s="351"/>
    </row>
    <row r="786" spans="3:3" ht="15.75" customHeight="1">
      <c r="C786" s="351"/>
    </row>
    <row r="787" spans="3:3" ht="15.75" customHeight="1">
      <c r="C787" s="351"/>
    </row>
    <row r="788" spans="3:3" ht="15.75" customHeight="1">
      <c r="C788" s="351"/>
    </row>
    <row r="789" spans="3:3" ht="15.75" customHeight="1">
      <c r="C789" s="351"/>
    </row>
    <row r="790" spans="3:3" ht="15.75" customHeight="1">
      <c r="C790" s="351"/>
    </row>
    <row r="791" spans="3:3" ht="15.75" customHeight="1">
      <c r="C791" s="351"/>
    </row>
    <row r="792" spans="3:3" ht="15.75" customHeight="1">
      <c r="C792" s="351"/>
    </row>
    <row r="793" spans="3:3" ht="15.75" customHeight="1">
      <c r="C793" s="351"/>
    </row>
    <row r="794" spans="3:3" ht="15.75" customHeight="1">
      <c r="C794" s="351"/>
    </row>
    <row r="795" spans="3:3" ht="15.75" customHeight="1">
      <c r="C795" s="351"/>
    </row>
    <row r="796" spans="3:3" ht="15.75" customHeight="1">
      <c r="C796" s="351"/>
    </row>
    <row r="797" spans="3:3" ht="15.75" customHeight="1">
      <c r="C797" s="351"/>
    </row>
    <row r="798" spans="3:3" ht="15.75" customHeight="1">
      <c r="C798" s="351"/>
    </row>
    <row r="799" spans="3:3" ht="15.75" customHeight="1">
      <c r="C799" s="351"/>
    </row>
    <row r="800" spans="3:3" ht="15.75" customHeight="1">
      <c r="C800" s="351"/>
    </row>
    <row r="801" spans="3:3" ht="15.75" customHeight="1">
      <c r="C801" s="351"/>
    </row>
    <row r="802" spans="3:3" ht="15.75" customHeight="1">
      <c r="C802" s="351"/>
    </row>
    <row r="803" spans="3:3" ht="15.75" customHeight="1">
      <c r="C803" s="351"/>
    </row>
    <row r="804" spans="3:3" ht="15.75" customHeight="1">
      <c r="C804" s="351"/>
    </row>
    <row r="805" spans="3:3" ht="15.75" customHeight="1">
      <c r="C805" s="351"/>
    </row>
    <row r="806" spans="3:3" ht="15.75" customHeight="1">
      <c r="C806" s="351"/>
    </row>
    <row r="807" spans="3:3" ht="15.75" customHeight="1">
      <c r="C807" s="351"/>
    </row>
    <row r="808" spans="3:3" ht="15.75" customHeight="1">
      <c r="C808" s="351"/>
    </row>
    <row r="809" spans="3:3" ht="15.75" customHeight="1">
      <c r="C809" s="351"/>
    </row>
    <row r="810" spans="3:3" ht="15.75" customHeight="1">
      <c r="C810" s="351"/>
    </row>
    <row r="811" spans="3:3" ht="15.75" customHeight="1">
      <c r="C811" s="351"/>
    </row>
    <row r="812" spans="3:3" ht="15.75" customHeight="1">
      <c r="C812" s="351"/>
    </row>
    <row r="813" spans="3:3" ht="15.75" customHeight="1">
      <c r="C813" s="351"/>
    </row>
    <row r="814" spans="3:3" ht="15.75" customHeight="1">
      <c r="C814" s="351"/>
    </row>
    <row r="815" spans="3:3" ht="15.75" customHeight="1">
      <c r="C815" s="351"/>
    </row>
    <row r="816" spans="3:3" ht="15.75" customHeight="1">
      <c r="C816" s="351"/>
    </row>
    <row r="817" spans="3:3" ht="15.75" customHeight="1">
      <c r="C817" s="351"/>
    </row>
    <row r="818" spans="3:3" ht="15.75" customHeight="1">
      <c r="C818" s="351"/>
    </row>
    <row r="819" spans="3:3" ht="15.75" customHeight="1">
      <c r="C819" s="351"/>
    </row>
    <row r="820" spans="3:3" ht="15.75" customHeight="1">
      <c r="C820" s="351"/>
    </row>
    <row r="821" spans="3:3" ht="15.75" customHeight="1">
      <c r="C821" s="351"/>
    </row>
    <row r="822" spans="3:3" ht="15.75" customHeight="1">
      <c r="C822" s="351"/>
    </row>
    <row r="823" spans="3:3" ht="15.75" customHeight="1">
      <c r="C823" s="351"/>
    </row>
    <row r="824" spans="3:3" ht="15.75" customHeight="1">
      <c r="C824" s="351"/>
    </row>
    <row r="825" spans="3:3" ht="15.75" customHeight="1">
      <c r="C825" s="351"/>
    </row>
    <row r="826" spans="3:3" ht="15.75" customHeight="1">
      <c r="C826" s="351"/>
    </row>
    <row r="827" spans="3:3" ht="15.75" customHeight="1">
      <c r="C827" s="351"/>
    </row>
    <row r="828" spans="3:3" ht="15.75" customHeight="1">
      <c r="C828" s="351"/>
    </row>
    <row r="829" spans="3:3" ht="15.75" customHeight="1">
      <c r="C829" s="351"/>
    </row>
    <row r="830" spans="3:3" ht="15.75" customHeight="1">
      <c r="C830" s="351"/>
    </row>
    <row r="831" spans="3:3" ht="15.75" customHeight="1">
      <c r="C831" s="351"/>
    </row>
    <row r="832" spans="3:3" ht="15.75" customHeight="1">
      <c r="C832" s="351"/>
    </row>
    <row r="833" spans="3:3" ht="15.75" customHeight="1">
      <c r="C833" s="351"/>
    </row>
    <row r="834" spans="3:3" ht="15.75" customHeight="1">
      <c r="C834" s="351"/>
    </row>
    <row r="835" spans="3:3" ht="15.75" customHeight="1">
      <c r="C835" s="351"/>
    </row>
    <row r="836" spans="3:3" ht="15.75" customHeight="1">
      <c r="C836" s="351"/>
    </row>
    <row r="837" spans="3:3" ht="15.75" customHeight="1">
      <c r="C837" s="351"/>
    </row>
    <row r="838" spans="3:3" ht="15.75" customHeight="1">
      <c r="C838" s="351"/>
    </row>
    <row r="839" spans="3:3" ht="15.75" customHeight="1">
      <c r="C839" s="351"/>
    </row>
    <row r="840" spans="3:3" ht="15.75" customHeight="1">
      <c r="C840" s="351"/>
    </row>
    <row r="841" spans="3:3" ht="15.75" customHeight="1">
      <c r="C841" s="351"/>
    </row>
    <row r="842" spans="3:3" ht="15.75" customHeight="1">
      <c r="C842" s="351"/>
    </row>
    <row r="843" spans="3:3" ht="15.75" customHeight="1">
      <c r="C843" s="351"/>
    </row>
    <row r="844" spans="3:3" ht="15.75" customHeight="1">
      <c r="C844" s="351"/>
    </row>
    <row r="845" spans="3:3" ht="15.75" customHeight="1">
      <c r="C845" s="351"/>
    </row>
    <row r="846" spans="3:3" ht="15.75" customHeight="1">
      <c r="C846" s="351"/>
    </row>
    <row r="847" spans="3:3" ht="15.75" customHeight="1">
      <c r="C847" s="351"/>
    </row>
    <row r="848" spans="3:3" ht="15.75" customHeight="1">
      <c r="C848" s="351"/>
    </row>
    <row r="849" spans="3:3" ht="15.75" customHeight="1">
      <c r="C849" s="351"/>
    </row>
    <row r="850" spans="3:3" ht="15.75" customHeight="1">
      <c r="C850" s="351"/>
    </row>
    <row r="851" spans="3:3" ht="15.75" customHeight="1">
      <c r="C851" s="351"/>
    </row>
    <row r="852" spans="3:3" ht="15.75" customHeight="1">
      <c r="C852" s="351"/>
    </row>
    <row r="853" spans="3:3" ht="15.75" customHeight="1">
      <c r="C853" s="351"/>
    </row>
    <row r="854" spans="3:3" ht="15.75" customHeight="1">
      <c r="C854" s="351"/>
    </row>
    <row r="855" spans="3:3" ht="15.75" customHeight="1">
      <c r="C855" s="351"/>
    </row>
    <row r="856" spans="3:3" ht="15.75" customHeight="1">
      <c r="C856" s="351"/>
    </row>
    <row r="857" spans="3:3" ht="15.75" customHeight="1">
      <c r="C857" s="351"/>
    </row>
    <row r="858" spans="3:3" ht="15.75" customHeight="1">
      <c r="C858" s="351"/>
    </row>
    <row r="859" spans="3:3" ht="15.75" customHeight="1">
      <c r="C859" s="351"/>
    </row>
    <row r="860" spans="3:3" ht="15.75" customHeight="1">
      <c r="C860" s="351"/>
    </row>
    <row r="861" spans="3:3" ht="15.75" customHeight="1">
      <c r="C861" s="351"/>
    </row>
    <row r="862" spans="3:3" ht="15.75" customHeight="1">
      <c r="C862" s="351"/>
    </row>
    <row r="863" spans="3:3" ht="15.75" customHeight="1">
      <c r="C863" s="351"/>
    </row>
    <row r="864" spans="3:3" ht="15.75" customHeight="1">
      <c r="C864" s="351"/>
    </row>
    <row r="865" spans="3:3" ht="15.75" customHeight="1">
      <c r="C865" s="351"/>
    </row>
    <row r="866" spans="3:3" ht="15.75" customHeight="1">
      <c r="C866" s="351"/>
    </row>
    <row r="867" spans="3:3" ht="15.75" customHeight="1">
      <c r="C867" s="351"/>
    </row>
    <row r="868" spans="3:3" ht="15.75" customHeight="1">
      <c r="C868" s="351"/>
    </row>
    <row r="869" spans="3:3" ht="15.75" customHeight="1">
      <c r="C869" s="351"/>
    </row>
    <row r="870" spans="3:3" ht="15.75" customHeight="1">
      <c r="C870" s="351"/>
    </row>
  </sheetData>
  <mergeCells count="3">
    <mergeCell ref="C1:F1"/>
    <mergeCell ref="G1:K1"/>
    <mergeCell ref="L1:Q1"/>
  </mergeCells>
  <conditionalFormatting sqref="I4:I10 I12 I14 I16 I18 I20 I22 I25 I27 I29 I31 I33 I35 I39:I51">
    <cfRule type="colorScale" priority="5">
      <colorScale>
        <cfvo type="min"/>
        <cfvo type="percentile" val="50"/>
        <cfvo type="max"/>
        <color rgb="FF57BB8A"/>
        <color rgb="FFFFFFFF"/>
        <color rgb="FFE67C73"/>
      </colorScale>
    </cfRule>
  </conditionalFormatting>
  <conditionalFormatting sqref="K4:K10 K12 K14 K16 K18 K20 K22 K25 K27 K29 K31 K33 K35 K39:K51">
    <cfRule type="colorScale" priority="6">
      <colorScale>
        <cfvo type="min"/>
        <cfvo type="max"/>
        <color rgb="FF57BB8A"/>
        <color rgb="FFFFFFFF"/>
      </colorScale>
    </cfRule>
  </conditionalFormatting>
  <conditionalFormatting sqref="L4:Q10 L12:Q12 L14:Q14 L16:Q16 L18:Q18 L20:Q20 L22:Q22 L25:Q25 L27:Q27 L29:Q29 L31:Q31 L33:Q33 L35:Q35 L39:Q51">
    <cfRule type="cellIs" dxfId="9" priority="3" operator="greaterThan">
      <formula>0</formula>
    </cfRule>
    <cfRule type="cellIs" dxfId="8" priority="4" operator="lessThanOrEqual">
      <formula>0</formula>
    </cfRule>
  </conditionalFormatting>
  <conditionalFormatting sqref="L4:Q10 L12:Q12 L14:Q14 L16:Q16 L18:Q18 L20:Q20 L22:Q22 L25:Q25 L27:Q27 L29:Q29 L31:Q31 L33:Q33 L35:Q35 L40:Q40 L42:Q42 L44:Q44 L46:Q46 L48:Q48 L50:Q50">
    <cfRule type="cellIs" dxfId="7" priority="1" operator="greaterThan">
      <formula>0</formula>
    </cfRule>
    <cfRule type="cellIs" dxfId="6"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Discrecional</vt:lpstr>
      <vt:lpstr>Ideas de Trading</vt:lpstr>
      <vt:lpstr>Matriz táctica</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2024-06-24T13:12:26Z</dcterms:modified>
</cp:coreProperties>
</file>