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uillermo\Mi unidad\Guille\Alpha Seneca\2- Informes y planillas\Planillas\"/>
    </mc:Choice>
  </mc:AlternateContent>
  <xr:revisionPtr revIDLastSave="0" documentId="13_ncr:1_{F496605C-7F60-48FF-9DD4-D83DA17F04DC}" xr6:coauthVersionLast="47" xr6:coauthVersionMax="47" xr10:uidLastSave="{00000000-0000-0000-0000-000000000000}"/>
  <bookViews>
    <workbookView xWindow="-23148" yWindow="-108" windowWidth="23256" windowHeight="12456" xr2:uid="{00000000-000D-0000-FFFF-FFFF00000000}"/>
  </bookViews>
  <sheets>
    <sheet name="Portafolio Discrecional" sheetId="3" r:id="rId1"/>
    <sheet name="Ideas de Trading" sheetId="4" r:id="rId2"/>
    <sheet name="Watchlist" sheetId="5" r:id="rId3"/>
    <sheet name="Matriz táctica" sheetId="6" r:id="rId4"/>
  </sheets>
  <calcPr calcId="191029"/>
  <extLst>
    <ext uri="GoogleSheetsCustomDataVersion2">
      <go:sheetsCustomData xmlns:go="http://customooxmlschemas.google.com/" r:id="rId10" roundtripDataChecksum="P71P86a7AInP7rZDOYsdahKFYEzaYRHswoMKCNrj3gQ="/>
    </ext>
  </extLst>
</workbook>
</file>

<file path=xl/calcChain.xml><?xml version="1.0" encoding="utf-8"?>
<calcChain xmlns="http://schemas.openxmlformats.org/spreadsheetml/2006/main">
  <c r="J33" i="6" l="1"/>
  <c r="H33" i="6"/>
  <c r="C33" i="6"/>
  <c r="H32" i="6"/>
  <c r="C32" i="6"/>
  <c r="H31" i="6"/>
  <c r="C31" i="6"/>
  <c r="H30" i="6"/>
  <c r="C30" i="6"/>
  <c r="H29" i="6"/>
  <c r="C29" i="6"/>
  <c r="H28" i="6"/>
  <c r="C28" i="6"/>
  <c r="H27" i="6"/>
  <c r="C27" i="6"/>
  <c r="H26" i="6"/>
  <c r="C26" i="6"/>
  <c r="H25" i="6"/>
  <c r="C25" i="6"/>
  <c r="H24" i="6"/>
  <c r="C24" i="6"/>
  <c r="H23" i="6"/>
  <c r="C23" i="6"/>
  <c r="H22" i="6"/>
  <c r="C22" i="6"/>
  <c r="H21" i="6"/>
  <c r="C21" i="6"/>
  <c r="H20" i="6"/>
  <c r="C20" i="6"/>
  <c r="H19" i="6"/>
  <c r="C19" i="6"/>
  <c r="H18" i="6"/>
  <c r="C18" i="6"/>
  <c r="H17" i="6"/>
  <c r="C17" i="6"/>
  <c r="H16" i="6"/>
  <c r="C16" i="6"/>
  <c r="H15" i="6"/>
  <c r="C15" i="6"/>
  <c r="AD10" i="6"/>
  <c r="AC10" i="6"/>
  <c r="AD9" i="6"/>
  <c r="AC9" i="6"/>
  <c r="AA9" i="6"/>
  <c r="Y9" i="6"/>
  <c r="W9" i="6"/>
  <c r="U9" i="6"/>
  <c r="L9" i="6"/>
  <c r="H9" i="6"/>
  <c r="P9" i="6" s="1"/>
  <c r="C9" i="6"/>
  <c r="AD8" i="6"/>
  <c r="AC8" i="6"/>
  <c r="A8" i="6"/>
  <c r="AD7" i="6"/>
  <c r="AC7" i="6"/>
  <c r="AA7" i="6"/>
  <c r="Y7" i="6"/>
  <c r="W7" i="6"/>
  <c r="U7" i="6"/>
  <c r="L7" i="6"/>
  <c r="H7" i="6"/>
  <c r="C7" i="6"/>
  <c r="A7" i="6"/>
  <c r="A9" i="6" s="1"/>
  <c r="AD6" i="6"/>
  <c r="AC6" i="6"/>
  <c r="AD5" i="6"/>
  <c r="AC5" i="6"/>
  <c r="AA5" i="6"/>
  <c r="Y5" i="6"/>
  <c r="W5" i="6"/>
  <c r="U5" i="6"/>
  <c r="L5" i="6"/>
  <c r="H5" i="6"/>
  <c r="M5" i="6" s="1"/>
  <c r="C5" i="6"/>
  <c r="A5" i="6"/>
  <c r="AD4" i="6"/>
  <c r="AC4" i="6"/>
  <c r="A4" i="6"/>
  <c r="A6" i="6" s="1"/>
  <c r="A10" i="6" s="1"/>
  <c r="AD3" i="6"/>
  <c r="AC3" i="6"/>
  <c r="AA3" i="6"/>
  <c r="Y3" i="6"/>
  <c r="W3" i="6"/>
  <c r="U3" i="6"/>
  <c r="L3" i="6"/>
  <c r="H3" i="6"/>
  <c r="J3" i="6" s="1"/>
  <c r="C3" i="6"/>
  <c r="AD39" i="5"/>
  <c r="AC39" i="5"/>
  <c r="AD38" i="5"/>
  <c r="AC38" i="5"/>
  <c r="AA38" i="5"/>
  <c r="Y38" i="5"/>
  <c r="W38" i="5"/>
  <c r="U38" i="5"/>
  <c r="L38" i="5"/>
  <c r="K38" i="5"/>
  <c r="G38" i="5"/>
  <c r="M38" i="5" s="1"/>
  <c r="D38" i="5"/>
  <c r="C38" i="5"/>
  <c r="A38" i="5"/>
  <c r="AD37" i="5"/>
  <c r="AC37" i="5"/>
  <c r="AD36" i="5"/>
  <c r="AC36" i="5"/>
  <c r="AA36" i="5"/>
  <c r="Y36" i="5"/>
  <c r="W36" i="5"/>
  <c r="U36" i="5"/>
  <c r="L36" i="5"/>
  <c r="K36" i="5"/>
  <c r="G36" i="5"/>
  <c r="I36" i="5" s="1"/>
  <c r="D36" i="5"/>
  <c r="C36" i="5"/>
  <c r="AD35" i="5"/>
  <c r="AC35" i="5"/>
  <c r="AD34" i="5"/>
  <c r="AC34" i="5"/>
  <c r="AA34" i="5"/>
  <c r="Y34" i="5"/>
  <c r="W34" i="5"/>
  <c r="U34" i="5"/>
  <c r="L34" i="5"/>
  <c r="K34" i="5"/>
  <c r="G34" i="5"/>
  <c r="D34" i="5"/>
  <c r="C34" i="5"/>
  <c r="A34" i="5"/>
  <c r="A36" i="5" s="1"/>
  <c r="AD33" i="5"/>
  <c r="AC33" i="5"/>
  <c r="A33" i="5"/>
  <c r="AD32" i="5"/>
  <c r="AC32" i="5"/>
  <c r="AA32" i="5"/>
  <c r="Y32" i="5"/>
  <c r="W32" i="5"/>
  <c r="U32" i="5"/>
  <c r="L32" i="5"/>
  <c r="K32" i="5"/>
  <c r="G32" i="5"/>
  <c r="N32" i="5" s="1"/>
  <c r="D32" i="5"/>
  <c r="C32" i="5"/>
  <c r="A32" i="5"/>
  <c r="AD31" i="5"/>
  <c r="AC31" i="5"/>
  <c r="A31" i="5"/>
  <c r="AD30" i="5"/>
  <c r="AC30" i="5"/>
  <c r="AA30" i="5"/>
  <c r="Y30" i="5"/>
  <c r="W30" i="5"/>
  <c r="U30" i="5"/>
  <c r="L30" i="5"/>
  <c r="K30" i="5"/>
  <c r="G30" i="5"/>
  <c r="I30" i="5" s="1"/>
  <c r="D30" i="5"/>
  <c r="C30" i="5"/>
  <c r="AD26" i="5"/>
  <c r="AC26" i="5"/>
  <c r="A26" i="5"/>
  <c r="AD25" i="5"/>
  <c r="AC25" i="5"/>
  <c r="AA25" i="5"/>
  <c r="Y25" i="5"/>
  <c r="W25" i="5"/>
  <c r="U25" i="5"/>
  <c r="L25" i="5"/>
  <c r="G25" i="5"/>
  <c r="D25" i="5"/>
  <c r="C25" i="5"/>
  <c r="AD24" i="5"/>
  <c r="AC24" i="5"/>
  <c r="AD23" i="5"/>
  <c r="AC23" i="5"/>
  <c r="AA23" i="5"/>
  <c r="Y23" i="5"/>
  <c r="W23" i="5"/>
  <c r="U23" i="5"/>
  <c r="L23" i="5"/>
  <c r="G23" i="5"/>
  <c r="I23" i="5" s="1"/>
  <c r="D23" i="5"/>
  <c r="C23" i="5"/>
  <c r="AD22" i="5"/>
  <c r="AC22" i="5"/>
  <c r="AD21" i="5"/>
  <c r="AC21" i="5"/>
  <c r="AA21" i="5"/>
  <c r="Y21" i="5"/>
  <c r="W21" i="5"/>
  <c r="U21" i="5"/>
  <c r="L21" i="5"/>
  <c r="G21" i="5"/>
  <c r="M21" i="5" s="1"/>
  <c r="D21" i="5"/>
  <c r="C21" i="5"/>
  <c r="A21" i="5"/>
  <c r="A23" i="5" s="1"/>
  <c r="A25" i="5" s="1"/>
  <c r="AD20" i="5"/>
  <c r="AC20" i="5"/>
  <c r="AD19" i="5"/>
  <c r="AC19" i="5"/>
  <c r="AA19" i="5"/>
  <c r="Y19" i="5"/>
  <c r="W19" i="5"/>
  <c r="U19" i="5"/>
  <c r="L19" i="5"/>
  <c r="G19" i="5"/>
  <c r="I19" i="5" s="1"/>
  <c r="D19" i="5"/>
  <c r="C19" i="5"/>
  <c r="A19" i="5"/>
  <c r="AD18" i="5"/>
  <c r="AC18" i="5"/>
  <c r="A18" i="5"/>
  <c r="A20" i="5" s="1"/>
  <c r="A22" i="5" s="1"/>
  <c r="A24" i="5" s="1"/>
  <c r="AD17" i="5"/>
  <c r="AC17" i="5"/>
  <c r="AA17" i="5"/>
  <c r="Y17" i="5"/>
  <c r="W17" i="5"/>
  <c r="U17" i="5"/>
  <c r="L17" i="5"/>
  <c r="G17" i="5"/>
  <c r="M17" i="5" s="1"/>
  <c r="D17" i="5"/>
  <c r="C17" i="5"/>
  <c r="AD15" i="5"/>
  <c r="AC15" i="5"/>
  <c r="AD14" i="5"/>
  <c r="AC14" i="5"/>
  <c r="AA14" i="5"/>
  <c r="Y14" i="5"/>
  <c r="W14" i="5"/>
  <c r="U14" i="5"/>
  <c r="L14" i="5"/>
  <c r="G14" i="5"/>
  <c r="N14" i="5" s="1"/>
  <c r="D14" i="5"/>
  <c r="C14" i="5"/>
  <c r="A14" i="5"/>
  <c r="AD13" i="5"/>
  <c r="AC13" i="5"/>
  <c r="AD12" i="5"/>
  <c r="AC12" i="5"/>
  <c r="AA12" i="5"/>
  <c r="Y12" i="5"/>
  <c r="W12" i="5"/>
  <c r="U12" i="5"/>
  <c r="L12" i="5"/>
  <c r="G12" i="5"/>
  <c r="K12" i="5" s="1"/>
  <c r="D12" i="5"/>
  <c r="C12" i="5"/>
  <c r="AD11" i="5"/>
  <c r="AC11" i="5"/>
  <c r="AD10" i="5"/>
  <c r="AC10" i="5"/>
  <c r="AA10" i="5"/>
  <c r="Y10" i="5"/>
  <c r="W10" i="5"/>
  <c r="U10" i="5"/>
  <c r="L10" i="5"/>
  <c r="G10" i="5"/>
  <c r="K10" i="5" s="1"/>
  <c r="D10" i="5"/>
  <c r="C10" i="5"/>
  <c r="AD9" i="5"/>
  <c r="AC9" i="5"/>
  <c r="AD8" i="5"/>
  <c r="AC8" i="5"/>
  <c r="AA8" i="5"/>
  <c r="Y8" i="5"/>
  <c r="W8" i="5"/>
  <c r="U8" i="5"/>
  <c r="L8" i="5"/>
  <c r="G8" i="5"/>
  <c r="D8" i="5"/>
  <c r="C8" i="5"/>
  <c r="AD7" i="5"/>
  <c r="AC7" i="5"/>
  <c r="AD6" i="5"/>
  <c r="AC6" i="5"/>
  <c r="AA6" i="5"/>
  <c r="Y6" i="5"/>
  <c r="W6" i="5"/>
  <c r="U6" i="5"/>
  <c r="L6" i="5"/>
  <c r="G6" i="5"/>
  <c r="M6" i="5" s="1"/>
  <c r="D6" i="5"/>
  <c r="C6" i="5"/>
  <c r="A6" i="5"/>
  <c r="A8" i="5" s="1"/>
  <c r="A10" i="5" s="1"/>
  <c r="A12" i="5" s="1"/>
  <c r="AD5" i="5"/>
  <c r="AC5" i="5"/>
  <c r="A5" i="5"/>
  <c r="A7" i="5" s="1"/>
  <c r="A9" i="5" s="1"/>
  <c r="A11" i="5" s="1"/>
  <c r="AD4" i="5"/>
  <c r="AC4" i="5"/>
  <c r="AA4" i="5"/>
  <c r="Y4" i="5"/>
  <c r="W4" i="5"/>
  <c r="U4" i="5"/>
  <c r="L4" i="5"/>
  <c r="G4" i="5"/>
  <c r="O4" i="5" s="1"/>
  <c r="D4" i="5"/>
  <c r="C4" i="5"/>
  <c r="P330" i="4"/>
  <c r="N330" i="4"/>
  <c r="O330" i="4" s="1"/>
  <c r="M330" i="4"/>
  <c r="J330" i="4"/>
  <c r="D330" i="4"/>
  <c r="C330" i="4"/>
  <c r="P329" i="4"/>
  <c r="M329" i="4"/>
  <c r="N329" i="4" s="1"/>
  <c r="O329" i="4" s="1"/>
  <c r="K329" i="4"/>
  <c r="J329" i="4"/>
  <c r="D329" i="4"/>
  <c r="C329" i="4"/>
  <c r="P328" i="4"/>
  <c r="J328" i="4"/>
  <c r="M328" i="4" s="1"/>
  <c r="D328" i="4"/>
  <c r="C328" i="4"/>
  <c r="P327" i="4"/>
  <c r="J327" i="4"/>
  <c r="M327" i="4" s="1"/>
  <c r="D327" i="4"/>
  <c r="C327" i="4"/>
  <c r="P326" i="4"/>
  <c r="M326" i="4"/>
  <c r="N326" i="4" s="1"/>
  <c r="O326" i="4" s="1"/>
  <c r="K326" i="4"/>
  <c r="J326" i="4"/>
  <c r="D326" i="4"/>
  <c r="C326" i="4"/>
  <c r="P325" i="4"/>
  <c r="M325" i="4"/>
  <c r="N325" i="4" s="1"/>
  <c r="O325" i="4" s="1"/>
  <c r="K325" i="4"/>
  <c r="D325" i="4"/>
  <c r="C325" i="4"/>
  <c r="P324" i="4"/>
  <c r="J324" i="4"/>
  <c r="D324" i="4"/>
  <c r="C324" i="4"/>
  <c r="P323" i="4"/>
  <c r="J323" i="4"/>
  <c r="M323" i="4" s="1"/>
  <c r="D323" i="4"/>
  <c r="C323" i="4"/>
  <c r="P322" i="4"/>
  <c r="M322" i="4"/>
  <c r="K322" i="4"/>
  <c r="N322" i="4" s="1"/>
  <c r="O322" i="4" s="1"/>
  <c r="J322" i="4"/>
  <c r="D322" i="4"/>
  <c r="C322" i="4"/>
  <c r="P321" i="4"/>
  <c r="M321" i="4"/>
  <c r="K321" i="4"/>
  <c r="N321" i="4" s="1"/>
  <c r="O321" i="4" s="1"/>
  <c r="D321" i="4"/>
  <c r="C321" i="4"/>
  <c r="P320" i="4"/>
  <c r="J320" i="4"/>
  <c r="M320" i="4" s="1"/>
  <c r="N320" i="4" s="1"/>
  <c r="O320" i="4" s="1"/>
  <c r="D320" i="4"/>
  <c r="C320" i="4"/>
  <c r="P319" i="4"/>
  <c r="M319" i="4"/>
  <c r="N319" i="4" s="1"/>
  <c r="O319" i="4" s="1"/>
  <c r="K319" i="4"/>
  <c r="J319" i="4"/>
  <c r="D319" i="4"/>
  <c r="C319" i="4"/>
  <c r="P318" i="4"/>
  <c r="J318" i="4"/>
  <c r="M318" i="4" s="1"/>
  <c r="N318" i="4" s="1"/>
  <c r="O318" i="4" s="1"/>
  <c r="D318" i="4"/>
  <c r="C318" i="4"/>
  <c r="P317" i="4"/>
  <c r="M317" i="4"/>
  <c r="N317" i="4" s="1"/>
  <c r="O317" i="4" s="1"/>
  <c r="K317" i="4"/>
  <c r="D317" i="4"/>
  <c r="C317" i="4"/>
  <c r="P316" i="4"/>
  <c r="J316" i="4"/>
  <c r="M316" i="4" s="1"/>
  <c r="D316" i="4"/>
  <c r="C316" i="4"/>
  <c r="P315" i="4"/>
  <c r="J315" i="4"/>
  <c r="M315" i="4" s="1"/>
  <c r="N315" i="4" s="1"/>
  <c r="O315" i="4" s="1"/>
  <c r="D315" i="4"/>
  <c r="C315" i="4"/>
  <c r="P314" i="4"/>
  <c r="J314" i="4"/>
  <c r="M314" i="4" s="1"/>
  <c r="N314" i="4" s="1"/>
  <c r="O314" i="4" s="1"/>
  <c r="D314" i="4"/>
  <c r="C314" i="4"/>
  <c r="P313" i="4"/>
  <c r="M313" i="4"/>
  <c r="K313" i="4"/>
  <c r="N313" i="4" s="1"/>
  <c r="O313" i="4" s="1"/>
  <c r="D313" i="4"/>
  <c r="C313" i="4"/>
  <c r="P312" i="4"/>
  <c r="J312" i="4"/>
  <c r="M312" i="4" s="1"/>
  <c r="N312" i="4" s="1"/>
  <c r="O312" i="4" s="1"/>
  <c r="D312" i="4"/>
  <c r="C312" i="4"/>
  <c r="P311" i="4"/>
  <c r="M311" i="4"/>
  <c r="K311" i="4"/>
  <c r="N311" i="4" s="1"/>
  <c r="O311" i="4" s="1"/>
  <c r="D311" i="4"/>
  <c r="C311" i="4"/>
  <c r="P310" i="4"/>
  <c r="M310" i="4"/>
  <c r="K310" i="4"/>
  <c r="N310" i="4" s="1"/>
  <c r="O310" i="4" s="1"/>
  <c r="D310" i="4"/>
  <c r="C310" i="4"/>
  <c r="P309" i="4"/>
  <c r="J309" i="4"/>
  <c r="M309" i="4" s="1"/>
  <c r="N309" i="4" s="1"/>
  <c r="O309" i="4" s="1"/>
  <c r="D309" i="4"/>
  <c r="C309" i="4"/>
  <c r="P308" i="4"/>
  <c r="K308" i="4"/>
  <c r="H308" i="4"/>
  <c r="M308" i="4" s="1"/>
  <c r="N308" i="4" s="1"/>
  <c r="O308" i="4" s="1"/>
  <c r="D308" i="4"/>
  <c r="C308" i="4"/>
  <c r="P307" i="4"/>
  <c r="K307" i="4"/>
  <c r="H307" i="4"/>
  <c r="M307" i="4" s="1"/>
  <c r="N307" i="4" s="1"/>
  <c r="O307" i="4" s="1"/>
  <c r="D307" i="4"/>
  <c r="C307" i="4"/>
  <c r="P306" i="4"/>
  <c r="N306" i="4"/>
  <c r="O306" i="4" s="1"/>
  <c r="M306" i="4"/>
  <c r="J306" i="4"/>
  <c r="D306" i="4"/>
  <c r="C306" i="4"/>
  <c r="P305" i="4"/>
  <c r="J305" i="4"/>
  <c r="H305" i="4"/>
  <c r="D305" i="4"/>
  <c r="C305" i="4"/>
  <c r="P304" i="4"/>
  <c r="M304" i="4"/>
  <c r="N304" i="4" s="1"/>
  <c r="O304" i="4" s="1"/>
  <c r="J304" i="4"/>
  <c r="D304" i="4"/>
  <c r="C304" i="4"/>
  <c r="P303" i="4"/>
  <c r="N303" i="4"/>
  <c r="O303" i="4" s="1"/>
  <c r="M303" i="4"/>
  <c r="J303" i="4"/>
  <c r="D303" i="4"/>
  <c r="C303" i="4"/>
  <c r="P302" i="4"/>
  <c r="M302" i="4"/>
  <c r="N302" i="4" s="1"/>
  <c r="O302" i="4" s="1"/>
  <c r="J302" i="4"/>
  <c r="D302" i="4"/>
  <c r="C302" i="4"/>
  <c r="P301" i="4"/>
  <c r="M301" i="4"/>
  <c r="N301" i="4" s="1"/>
  <c r="O301" i="4" s="1"/>
  <c r="J301" i="4"/>
  <c r="D301" i="4"/>
  <c r="C301" i="4"/>
  <c r="P300" i="4"/>
  <c r="N300" i="4"/>
  <c r="O300" i="4" s="1"/>
  <c r="M300" i="4"/>
  <c r="K300" i="4"/>
  <c r="D300" i="4"/>
  <c r="C300" i="4"/>
  <c r="P299" i="4"/>
  <c r="K299" i="4"/>
  <c r="N299" i="4" s="1"/>
  <c r="O299" i="4" s="1"/>
  <c r="J299" i="4"/>
  <c r="D299" i="4"/>
  <c r="C299" i="4"/>
  <c r="P298" i="4"/>
  <c r="M298" i="4"/>
  <c r="N298" i="4" s="1"/>
  <c r="O298" i="4" s="1"/>
  <c r="J298" i="4"/>
  <c r="D298" i="4"/>
  <c r="C298" i="4"/>
  <c r="P297" i="4"/>
  <c r="N297" i="4"/>
  <c r="O297" i="4" s="1"/>
  <c r="M297" i="4"/>
  <c r="J297" i="4"/>
  <c r="D297" i="4"/>
  <c r="C297" i="4"/>
  <c r="P296" i="4"/>
  <c r="M296" i="4"/>
  <c r="N296" i="4" s="1"/>
  <c r="O296" i="4" s="1"/>
  <c r="J296" i="4"/>
  <c r="D296" i="4"/>
  <c r="C296" i="4"/>
  <c r="P295" i="4"/>
  <c r="M295" i="4"/>
  <c r="N295" i="4" s="1"/>
  <c r="O295" i="4" s="1"/>
  <c r="J295" i="4"/>
  <c r="D295" i="4"/>
  <c r="C295" i="4"/>
  <c r="P294" i="4"/>
  <c r="N294" i="4"/>
  <c r="O294" i="4" s="1"/>
  <c r="M294" i="4"/>
  <c r="K294" i="4"/>
  <c r="D294" i="4"/>
  <c r="C294" i="4"/>
  <c r="P293" i="4"/>
  <c r="M293" i="4"/>
  <c r="N293" i="4" s="1"/>
  <c r="O293" i="4" s="1"/>
  <c r="J293" i="4"/>
  <c r="D293" i="4"/>
  <c r="C293" i="4"/>
  <c r="P292" i="4"/>
  <c r="K292" i="4"/>
  <c r="N292" i="4" s="1"/>
  <c r="O292" i="4" s="1"/>
  <c r="J292" i="4"/>
  <c r="D292" i="4"/>
  <c r="C292" i="4"/>
  <c r="P291" i="4"/>
  <c r="N291" i="4"/>
  <c r="O291" i="4" s="1"/>
  <c r="K291" i="4"/>
  <c r="J291" i="4"/>
  <c r="D291" i="4"/>
  <c r="C291" i="4"/>
  <c r="P290" i="4"/>
  <c r="K290" i="4"/>
  <c r="N290" i="4" s="1"/>
  <c r="O290" i="4" s="1"/>
  <c r="J290" i="4"/>
  <c r="D290" i="4"/>
  <c r="C290" i="4"/>
  <c r="P289" i="4"/>
  <c r="K289" i="4"/>
  <c r="N289" i="4" s="1"/>
  <c r="O289" i="4" s="1"/>
  <c r="J289" i="4"/>
  <c r="D289" i="4"/>
  <c r="C289" i="4"/>
  <c r="P288" i="4"/>
  <c r="N288" i="4"/>
  <c r="O288" i="4" s="1"/>
  <c r="M288" i="4"/>
  <c r="J288" i="4"/>
  <c r="D288" i="4"/>
  <c r="C288" i="4"/>
  <c r="P287" i="4"/>
  <c r="K287" i="4"/>
  <c r="N287" i="4" s="1"/>
  <c r="O287" i="4" s="1"/>
  <c r="J287" i="4"/>
  <c r="D287" i="4"/>
  <c r="C287" i="4"/>
  <c r="P286" i="4"/>
  <c r="M286" i="4"/>
  <c r="N286" i="4" s="1"/>
  <c r="O286" i="4" s="1"/>
  <c r="K286" i="4"/>
  <c r="D286" i="4"/>
  <c r="C286" i="4"/>
  <c r="P285" i="4"/>
  <c r="N285" i="4"/>
  <c r="O285" i="4" s="1"/>
  <c r="M285" i="4"/>
  <c r="J285" i="4"/>
  <c r="D285" i="4"/>
  <c r="C285" i="4"/>
  <c r="P284" i="4"/>
  <c r="M284" i="4"/>
  <c r="N284" i="4" s="1"/>
  <c r="O284" i="4" s="1"/>
  <c r="J284" i="4"/>
  <c r="D284" i="4"/>
  <c r="C284" i="4"/>
  <c r="P283" i="4"/>
  <c r="O283" i="4"/>
  <c r="K283" i="4"/>
  <c r="N283" i="4" s="1"/>
  <c r="D283" i="4"/>
  <c r="C283" i="4"/>
  <c r="P282" i="4"/>
  <c r="O282" i="4"/>
  <c r="N282" i="4"/>
  <c r="K282" i="4"/>
  <c r="D282" i="4"/>
  <c r="C282" i="4"/>
  <c r="P281" i="4"/>
  <c r="O281" i="4"/>
  <c r="K281" i="4"/>
  <c r="N281" i="4" s="1"/>
  <c r="D281" i="4"/>
  <c r="C281" i="4"/>
  <c r="P280" i="4"/>
  <c r="O280" i="4"/>
  <c r="K280" i="4"/>
  <c r="N280" i="4" s="1"/>
  <c r="D280" i="4"/>
  <c r="C280" i="4"/>
  <c r="P279" i="4"/>
  <c r="O279" i="4"/>
  <c r="N279" i="4"/>
  <c r="M279" i="4"/>
  <c r="D279" i="4"/>
  <c r="C279" i="4"/>
  <c r="D278" i="4"/>
  <c r="C278" i="4"/>
  <c r="D277" i="4"/>
  <c r="C277" i="4"/>
  <c r="D276" i="4"/>
  <c r="C276" i="4"/>
  <c r="D275" i="4"/>
  <c r="C275" i="4"/>
  <c r="D274" i="4"/>
  <c r="C274" i="4"/>
  <c r="D273" i="4"/>
  <c r="C273" i="4"/>
  <c r="D272" i="4"/>
  <c r="C272" i="4"/>
  <c r="D271" i="4"/>
  <c r="C271" i="4"/>
  <c r="D270" i="4"/>
  <c r="C270" i="4"/>
  <c r="D269" i="4"/>
  <c r="C269" i="4"/>
  <c r="D268" i="4"/>
  <c r="C268" i="4"/>
  <c r="D267" i="4"/>
  <c r="C267" i="4"/>
  <c r="D266" i="4"/>
  <c r="C266" i="4"/>
  <c r="D265" i="4"/>
  <c r="C265" i="4"/>
  <c r="D264" i="4"/>
  <c r="C264" i="4"/>
  <c r="D263" i="4"/>
  <c r="C263" i="4"/>
  <c r="D262" i="4"/>
  <c r="C262" i="4"/>
  <c r="D261" i="4"/>
  <c r="C261" i="4"/>
  <c r="D260" i="4"/>
  <c r="C260" i="4"/>
  <c r="D259" i="4"/>
  <c r="C259" i="4"/>
  <c r="D258" i="4"/>
  <c r="C258" i="4"/>
  <c r="D257" i="4"/>
  <c r="C257" i="4"/>
  <c r="D256" i="4"/>
  <c r="C256" i="4"/>
  <c r="D255" i="4"/>
  <c r="C255" i="4"/>
  <c r="D254" i="4"/>
  <c r="C254" i="4"/>
  <c r="D253" i="4"/>
  <c r="C253" i="4"/>
  <c r="D252" i="4"/>
  <c r="C252" i="4"/>
  <c r="D251" i="4"/>
  <c r="C251" i="4"/>
  <c r="D250" i="4"/>
  <c r="C250" i="4"/>
  <c r="D249" i="4"/>
  <c r="C249" i="4"/>
  <c r="D248" i="4"/>
  <c r="C248" i="4"/>
  <c r="D247" i="4"/>
  <c r="C247" i="4"/>
  <c r="D246" i="4"/>
  <c r="C246" i="4"/>
  <c r="D245" i="4"/>
  <c r="C245" i="4"/>
  <c r="D244" i="4"/>
  <c r="C244" i="4"/>
  <c r="D243" i="4"/>
  <c r="C243" i="4"/>
  <c r="D242" i="4"/>
  <c r="C242" i="4"/>
  <c r="D241" i="4"/>
  <c r="C241" i="4"/>
  <c r="D239" i="4"/>
  <c r="C239" i="4"/>
  <c r="D238" i="4"/>
  <c r="C238" i="4"/>
  <c r="D237" i="4"/>
  <c r="C237" i="4"/>
  <c r="D236" i="4"/>
  <c r="C236" i="4"/>
  <c r="D235" i="4"/>
  <c r="C235" i="4"/>
  <c r="D234" i="4"/>
  <c r="C234" i="4"/>
  <c r="D232" i="4"/>
  <c r="C232" i="4"/>
  <c r="D231" i="4"/>
  <c r="C231" i="4"/>
  <c r="D229" i="4"/>
  <c r="C229" i="4"/>
  <c r="D228" i="4"/>
  <c r="C228" i="4"/>
  <c r="D227" i="4"/>
  <c r="C227" i="4"/>
  <c r="D226" i="4"/>
  <c r="C226" i="4"/>
  <c r="D225" i="4"/>
  <c r="C225" i="4"/>
  <c r="D224" i="4"/>
  <c r="C224" i="4"/>
  <c r="D223" i="4"/>
  <c r="C223" i="4"/>
  <c r="D222" i="4"/>
  <c r="C222" i="4"/>
  <c r="A222" i="4"/>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D221" i="4"/>
  <c r="C221" i="4"/>
  <c r="A221" i="4"/>
  <c r="D220" i="4"/>
  <c r="C220" i="4"/>
  <c r="A220" i="4"/>
  <c r="P211" i="4"/>
  <c r="J211" i="4"/>
  <c r="D211" i="4"/>
  <c r="C211" i="4"/>
  <c r="P210" i="4"/>
  <c r="J210" i="4"/>
  <c r="D210" i="4"/>
  <c r="C210" i="4"/>
  <c r="P209" i="4"/>
  <c r="M209" i="4"/>
  <c r="N209" i="4" s="1"/>
  <c r="O209" i="4" s="1"/>
  <c r="L209" i="4"/>
  <c r="Q209" i="4" s="1"/>
  <c r="R209" i="4" s="1"/>
  <c r="K209" i="4"/>
  <c r="D209" i="4"/>
  <c r="C209" i="4"/>
  <c r="Q208" i="4"/>
  <c r="R208" i="4" s="1"/>
  <c r="P208" i="4"/>
  <c r="J208" i="4"/>
  <c r="L208" i="4" s="1"/>
  <c r="K208" i="4" s="1"/>
  <c r="N208" i="4" s="1"/>
  <c r="O208" i="4" s="1"/>
  <c r="D208" i="4"/>
  <c r="C208" i="4"/>
  <c r="P207" i="4"/>
  <c r="J207" i="4"/>
  <c r="D207" i="4"/>
  <c r="C207" i="4"/>
  <c r="P206" i="4"/>
  <c r="J206" i="4"/>
  <c r="D206" i="4"/>
  <c r="C206" i="4"/>
  <c r="P205" i="4"/>
  <c r="J205" i="4"/>
  <c r="D205" i="4"/>
  <c r="C205" i="4"/>
  <c r="P204" i="4"/>
  <c r="J204" i="4"/>
  <c r="D204" i="4"/>
  <c r="C204" i="4"/>
  <c r="Q203" i="4"/>
  <c r="R203" i="4" s="1"/>
  <c r="P203" i="4"/>
  <c r="J203" i="4"/>
  <c r="K203" i="4" s="1"/>
  <c r="N203" i="4" s="1"/>
  <c r="O203" i="4" s="1"/>
  <c r="D203" i="4"/>
  <c r="C203" i="4"/>
  <c r="Q202" i="4"/>
  <c r="R202" i="4" s="1"/>
  <c r="P202" i="4"/>
  <c r="M202" i="4"/>
  <c r="J202" i="4"/>
  <c r="K202" i="4" s="1"/>
  <c r="L202" i="4" s="1"/>
  <c r="D202" i="4"/>
  <c r="C202" i="4"/>
  <c r="P201" i="4"/>
  <c r="N201" i="4"/>
  <c r="O201" i="4" s="1"/>
  <c r="M201" i="4"/>
  <c r="Q201" i="4" s="1"/>
  <c r="R201" i="4" s="1"/>
  <c r="J201" i="4"/>
  <c r="D201" i="4"/>
  <c r="C201" i="4"/>
  <c r="P200" i="4"/>
  <c r="N200" i="4"/>
  <c r="O200" i="4" s="1"/>
  <c r="M200" i="4"/>
  <c r="L200" i="4"/>
  <c r="K200" i="4"/>
  <c r="D200" i="4"/>
  <c r="C200" i="4"/>
  <c r="P199" i="4"/>
  <c r="J199" i="4"/>
  <c r="K199" i="4" s="1"/>
  <c r="D199" i="4"/>
  <c r="C199" i="4"/>
  <c r="P198" i="4"/>
  <c r="N198" i="4"/>
  <c r="O198" i="4" s="1"/>
  <c r="M198" i="4"/>
  <c r="L198" i="4"/>
  <c r="J198" i="4"/>
  <c r="D198" i="4"/>
  <c r="C198" i="4"/>
  <c r="P197" i="4"/>
  <c r="M197" i="4"/>
  <c r="L197" i="4"/>
  <c r="J197" i="4"/>
  <c r="D197" i="4"/>
  <c r="C197" i="4"/>
  <c r="P196" i="4"/>
  <c r="J196" i="4"/>
  <c r="M196" i="4" s="1"/>
  <c r="D196" i="4"/>
  <c r="C196" i="4"/>
  <c r="P195" i="4"/>
  <c r="L195" i="4"/>
  <c r="J195" i="4"/>
  <c r="M195" i="4" s="1"/>
  <c r="D195" i="4"/>
  <c r="C195" i="4"/>
  <c r="P194" i="4"/>
  <c r="M194" i="4"/>
  <c r="L194" i="4"/>
  <c r="J194" i="4"/>
  <c r="D194" i="4"/>
  <c r="C194" i="4"/>
  <c r="P193" i="4"/>
  <c r="K193" i="4"/>
  <c r="J193" i="4"/>
  <c r="D193" i="4"/>
  <c r="C193" i="4"/>
  <c r="P192" i="4"/>
  <c r="M192" i="4"/>
  <c r="K192" i="4"/>
  <c r="L192" i="4" s="1"/>
  <c r="Q192" i="4" s="1"/>
  <c r="R192" i="4" s="1"/>
  <c r="J192" i="4"/>
  <c r="D192" i="4"/>
  <c r="C192" i="4"/>
  <c r="Q191" i="4"/>
  <c r="R191" i="4" s="1"/>
  <c r="P191" i="4"/>
  <c r="J191" i="4"/>
  <c r="M191" i="4" s="1"/>
  <c r="N191" i="4" s="1"/>
  <c r="O191" i="4" s="1"/>
  <c r="D191" i="4"/>
  <c r="C191" i="4"/>
  <c r="P190" i="4"/>
  <c r="J190" i="4"/>
  <c r="D190" i="4"/>
  <c r="C190" i="4"/>
  <c r="P189" i="4"/>
  <c r="J189" i="4"/>
  <c r="D189" i="4"/>
  <c r="C189" i="4"/>
  <c r="P188" i="4"/>
  <c r="N188" i="4"/>
  <c r="O188" i="4" s="1"/>
  <c r="J188" i="4"/>
  <c r="M188" i="4" s="1"/>
  <c r="Q188" i="4" s="1"/>
  <c r="R188" i="4" s="1"/>
  <c r="D188" i="4"/>
  <c r="C188" i="4"/>
  <c r="P187" i="4"/>
  <c r="N187" i="4"/>
  <c r="O187" i="4" s="1"/>
  <c r="K187" i="4"/>
  <c r="L187" i="4" s="1"/>
  <c r="Q187" i="4" s="1"/>
  <c r="R187" i="4" s="1"/>
  <c r="J187" i="4"/>
  <c r="D187" i="4"/>
  <c r="C187" i="4"/>
  <c r="P186" i="4"/>
  <c r="N186" i="4"/>
  <c r="O186" i="4" s="1"/>
  <c r="M186" i="4"/>
  <c r="L186" i="4"/>
  <c r="K186" i="4"/>
  <c r="J186" i="4"/>
  <c r="D186" i="4"/>
  <c r="C186" i="4"/>
  <c r="P185" i="4"/>
  <c r="L185" i="4"/>
  <c r="J185" i="4"/>
  <c r="M185" i="4" s="1"/>
  <c r="D185" i="4"/>
  <c r="C185" i="4"/>
  <c r="P184" i="4"/>
  <c r="K184" i="4"/>
  <c r="L184" i="4" s="1"/>
  <c r="J184" i="4"/>
  <c r="M184" i="4" s="1"/>
  <c r="D184" i="4"/>
  <c r="C184" i="4"/>
  <c r="R183" i="4"/>
  <c r="Q183" i="4"/>
  <c r="P183" i="4"/>
  <c r="N183" i="4"/>
  <c r="O183" i="4" s="1"/>
  <c r="M183" i="4"/>
  <c r="L183" i="4"/>
  <c r="K183" i="4"/>
  <c r="D183" i="4"/>
  <c r="C183" i="4"/>
  <c r="P182" i="4"/>
  <c r="J182" i="4"/>
  <c r="M182" i="4" s="1"/>
  <c r="D182" i="4"/>
  <c r="C182" i="4"/>
  <c r="P181" i="4"/>
  <c r="N181" i="4"/>
  <c r="O181" i="4" s="1"/>
  <c r="J181" i="4"/>
  <c r="M181" i="4" s="1"/>
  <c r="Q181" i="4" s="1"/>
  <c r="R181" i="4" s="1"/>
  <c r="D181" i="4"/>
  <c r="C181" i="4"/>
  <c r="P180" i="4"/>
  <c r="M180" i="4"/>
  <c r="L180" i="4"/>
  <c r="J180" i="4"/>
  <c r="K180" i="4" s="1"/>
  <c r="D180" i="4"/>
  <c r="C180" i="4"/>
  <c r="P179" i="4"/>
  <c r="L179" i="4"/>
  <c r="J179" i="4"/>
  <c r="K179" i="4" s="1"/>
  <c r="D179" i="4"/>
  <c r="C179" i="4"/>
  <c r="P178" i="4"/>
  <c r="M178" i="4"/>
  <c r="N178" i="4" s="1"/>
  <c r="O178" i="4" s="1"/>
  <c r="J178" i="4"/>
  <c r="K178" i="4" s="1"/>
  <c r="L178" i="4" s="1"/>
  <c r="D178" i="4"/>
  <c r="C178" i="4"/>
  <c r="P177" i="4"/>
  <c r="K177" i="4"/>
  <c r="N177" i="4" s="1"/>
  <c r="O177" i="4" s="1"/>
  <c r="J177" i="4"/>
  <c r="D177" i="4"/>
  <c r="C177" i="4"/>
  <c r="Q176" i="4"/>
  <c r="R176" i="4" s="1"/>
  <c r="P176" i="4"/>
  <c r="M176" i="4"/>
  <c r="N176" i="4" s="1"/>
  <c r="O176" i="4" s="1"/>
  <c r="L176" i="4"/>
  <c r="K176" i="4"/>
  <c r="D176" i="4"/>
  <c r="C176" i="4"/>
  <c r="P175" i="4"/>
  <c r="M175" i="4"/>
  <c r="N175" i="4" s="1"/>
  <c r="O175" i="4" s="1"/>
  <c r="K175" i="4"/>
  <c r="L175" i="4" s="1"/>
  <c r="Q175" i="4" s="1"/>
  <c r="R175" i="4" s="1"/>
  <c r="D175" i="4"/>
  <c r="C175" i="4"/>
  <c r="Q174" i="4"/>
  <c r="R174" i="4" s="1"/>
  <c r="P174" i="4"/>
  <c r="O174" i="4"/>
  <c r="N174" i="4"/>
  <c r="M174" i="4"/>
  <c r="K174" i="4"/>
  <c r="L174" i="4" s="1"/>
  <c r="D174" i="4"/>
  <c r="C174" i="4"/>
  <c r="R173" i="4"/>
  <c r="Q173" i="4"/>
  <c r="P173" i="4"/>
  <c r="N173" i="4"/>
  <c r="O173" i="4" s="1"/>
  <c r="M173" i="4"/>
  <c r="J173" i="4"/>
  <c r="D173" i="4"/>
  <c r="C173" i="4"/>
  <c r="P172" i="4"/>
  <c r="K172" i="4"/>
  <c r="J172" i="4" s="1"/>
  <c r="M172" i="4" s="1"/>
  <c r="D172" i="4"/>
  <c r="C172" i="4"/>
  <c r="P171" i="4"/>
  <c r="K171" i="4"/>
  <c r="J171" i="4"/>
  <c r="D171" i="4"/>
  <c r="C171" i="4"/>
  <c r="P170" i="4"/>
  <c r="L170" i="4"/>
  <c r="J170" i="4"/>
  <c r="M170" i="4" s="1"/>
  <c r="D170" i="4"/>
  <c r="C170" i="4"/>
  <c r="P169" i="4"/>
  <c r="J169" i="4"/>
  <c r="M169" i="4" s="1"/>
  <c r="D169" i="4"/>
  <c r="C169" i="4"/>
  <c r="P168" i="4"/>
  <c r="M168" i="4"/>
  <c r="Q168" i="4" s="1"/>
  <c r="R168" i="4" s="1"/>
  <c r="J168" i="4"/>
  <c r="D168" i="4"/>
  <c r="C168" i="4"/>
  <c r="P167" i="4"/>
  <c r="J167" i="4"/>
  <c r="M167" i="4" s="1"/>
  <c r="N167" i="4" s="1"/>
  <c r="O167" i="4" s="1"/>
  <c r="D167" i="4"/>
  <c r="C167" i="4"/>
  <c r="R166" i="4"/>
  <c r="Q166" i="4"/>
  <c r="P166" i="4"/>
  <c r="J166" i="4"/>
  <c r="M166" i="4" s="1"/>
  <c r="N166" i="4" s="1"/>
  <c r="O166" i="4" s="1"/>
  <c r="D166" i="4"/>
  <c r="C166" i="4"/>
  <c r="P165" i="4"/>
  <c r="J165" i="4"/>
  <c r="M165" i="4" s="1"/>
  <c r="D165" i="4"/>
  <c r="C165" i="4"/>
  <c r="P164" i="4"/>
  <c r="M164" i="4"/>
  <c r="Q164" i="4" s="1"/>
  <c r="R164" i="4" s="1"/>
  <c r="J164" i="4"/>
  <c r="D164" i="4"/>
  <c r="C164" i="4"/>
  <c r="P163" i="4"/>
  <c r="J163" i="4"/>
  <c r="M163" i="4" s="1"/>
  <c r="D163" i="4"/>
  <c r="C163" i="4"/>
  <c r="P162" i="4"/>
  <c r="M162" i="4"/>
  <c r="Q162" i="4" s="1"/>
  <c r="R162" i="4" s="1"/>
  <c r="J162" i="4"/>
  <c r="D162" i="4"/>
  <c r="C162" i="4"/>
  <c r="P161" i="4"/>
  <c r="J161" i="4"/>
  <c r="M161" i="4" s="1"/>
  <c r="N161" i="4" s="1"/>
  <c r="O161" i="4" s="1"/>
  <c r="D161" i="4"/>
  <c r="C161" i="4"/>
  <c r="R160" i="4"/>
  <c r="Q160" i="4"/>
  <c r="P160" i="4"/>
  <c r="J160" i="4"/>
  <c r="M160" i="4" s="1"/>
  <c r="N160" i="4" s="1"/>
  <c r="O160" i="4" s="1"/>
  <c r="D160" i="4"/>
  <c r="C160" i="4"/>
  <c r="P159" i="4"/>
  <c r="J159" i="4"/>
  <c r="M159" i="4" s="1"/>
  <c r="D159" i="4"/>
  <c r="C159" i="4"/>
  <c r="P158" i="4"/>
  <c r="M158" i="4"/>
  <c r="Q158" i="4" s="1"/>
  <c r="R158" i="4" s="1"/>
  <c r="J158" i="4"/>
  <c r="D158" i="4"/>
  <c r="C158" i="4"/>
  <c r="P157" i="4"/>
  <c r="J157" i="4"/>
  <c r="M157" i="4" s="1"/>
  <c r="D157" i="4"/>
  <c r="C157" i="4"/>
  <c r="P156" i="4"/>
  <c r="L156" i="4"/>
  <c r="K156" i="4"/>
  <c r="J156" i="4" s="1"/>
  <c r="M156" i="4" s="1"/>
  <c r="I156" i="4"/>
  <c r="D156" i="4"/>
  <c r="C156" i="4"/>
  <c r="P155" i="4"/>
  <c r="I155" i="4"/>
  <c r="J155" i="4" s="1"/>
  <c r="M155" i="4" s="1"/>
  <c r="D155" i="4"/>
  <c r="C155" i="4"/>
  <c r="P154" i="4"/>
  <c r="N154" i="4"/>
  <c r="O154" i="4" s="1"/>
  <c r="M154" i="4"/>
  <c r="Q154" i="4" s="1"/>
  <c r="R154" i="4" s="1"/>
  <c r="J154" i="4"/>
  <c r="D154" i="4"/>
  <c r="C154" i="4"/>
  <c r="P153" i="4"/>
  <c r="J153" i="4"/>
  <c r="M153" i="4" s="1"/>
  <c r="N153" i="4" s="1"/>
  <c r="O153" i="4" s="1"/>
  <c r="D153" i="4"/>
  <c r="C153" i="4"/>
  <c r="Q152" i="4"/>
  <c r="R152" i="4" s="1"/>
  <c r="P152" i="4"/>
  <c r="J152" i="4"/>
  <c r="M152" i="4" s="1"/>
  <c r="N152" i="4" s="1"/>
  <c r="O152" i="4" s="1"/>
  <c r="D152" i="4"/>
  <c r="C152" i="4"/>
  <c r="P151" i="4"/>
  <c r="M151" i="4"/>
  <c r="Q151" i="4" s="1"/>
  <c r="R151" i="4" s="1"/>
  <c r="J151" i="4"/>
  <c r="D151" i="4"/>
  <c r="C151" i="4"/>
  <c r="P150" i="4"/>
  <c r="K150" i="4"/>
  <c r="J150" i="4"/>
  <c r="M150" i="4" s="1"/>
  <c r="D150" i="4"/>
  <c r="C150" i="4"/>
  <c r="P149" i="4"/>
  <c r="J149" i="4"/>
  <c r="M149" i="4" s="1"/>
  <c r="D149" i="4"/>
  <c r="C149" i="4"/>
  <c r="P148" i="4"/>
  <c r="N148" i="4"/>
  <c r="O148" i="4" s="1"/>
  <c r="L148" i="4"/>
  <c r="K148" i="4"/>
  <c r="J148" i="4"/>
  <c r="M148" i="4" s="1"/>
  <c r="Q148" i="4" s="1"/>
  <c r="R148" i="4" s="1"/>
  <c r="D148" i="4"/>
  <c r="C148" i="4"/>
  <c r="P147" i="4"/>
  <c r="J147" i="4"/>
  <c r="M147" i="4" s="1"/>
  <c r="Q147" i="4" s="1"/>
  <c r="R147" i="4" s="1"/>
  <c r="D147" i="4"/>
  <c r="C147" i="4"/>
  <c r="P146" i="4"/>
  <c r="J146" i="4"/>
  <c r="M146" i="4" s="1"/>
  <c r="D146" i="4"/>
  <c r="C146" i="4"/>
  <c r="P145" i="4"/>
  <c r="J145" i="4"/>
  <c r="D145" i="4"/>
  <c r="C145" i="4"/>
  <c r="R144" i="4"/>
  <c r="Q144" i="4"/>
  <c r="P144" i="4"/>
  <c r="J144" i="4"/>
  <c r="M144" i="4" s="1"/>
  <c r="D144" i="4"/>
  <c r="C144" i="4"/>
  <c r="P143" i="4"/>
  <c r="J143" i="4"/>
  <c r="H143" i="4"/>
  <c r="M143" i="4" s="1"/>
  <c r="D143" i="4"/>
  <c r="C143" i="4"/>
  <c r="P142" i="4"/>
  <c r="J142" i="4"/>
  <c r="D142" i="4"/>
  <c r="C142" i="4"/>
  <c r="P141" i="4"/>
  <c r="M141" i="4"/>
  <c r="Q141" i="4" s="1"/>
  <c r="R141" i="4" s="1"/>
  <c r="L141" i="4"/>
  <c r="K141" i="4"/>
  <c r="I141" i="4" s="1"/>
  <c r="J141" i="4"/>
  <c r="D141" i="4"/>
  <c r="C141" i="4"/>
  <c r="P140" i="4"/>
  <c r="J140" i="4"/>
  <c r="M140" i="4" s="1"/>
  <c r="D140" i="4"/>
  <c r="C140" i="4"/>
  <c r="Q139" i="4"/>
  <c r="R139" i="4" s="1"/>
  <c r="P139" i="4"/>
  <c r="M139" i="4"/>
  <c r="N139" i="4" s="1"/>
  <c r="O139" i="4" s="1"/>
  <c r="J139" i="4"/>
  <c r="D139" i="4"/>
  <c r="C139" i="4"/>
  <c r="P138" i="4"/>
  <c r="J138" i="4"/>
  <c r="D138" i="4"/>
  <c r="C138" i="4"/>
  <c r="P137" i="4"/>
  <c r="N137" i="4"/>
  <c r="O137" i="4" s="1"/>
  <c r="J137" i="4"/>
  <c r="M137" i="4" s="1"/>
  <c r="Q137" i="4" s="1"/>
  <c r="R137" i="4" s="1"/>
  <c r="D137" i="4"/>
  <c r="C137" i="4"/>
  <c r="Q136" i="4"/>
  <c r="R136" i="4" s="1"/>
  <c r="P136" i="4"/>
  <c r="J136" i="4"/>
  <c r="M136" i="4" s="1"/>
  <c r="N136" i="4" s="1"/>
  <c r="O136" i="4" s="1"/>
  <c r="D136" i="4"/>
  <c r="C136" i="4"/>
  <c r="Q135" i="4"/>
  <c r="R135" i="4" s="1"/>
  <c r="P135" i="4"/>
  <c r="O135" i="4"/>
  <c r="J135" i="4"/>
  <c r="M135" i="4" s="1"/>
  <c r="N135" i="4" s="1"/>
  <c r="D135" i="4"/>
  <c r="C135" i="4"/>
  <c r="P134" i="4"/>
  <c r="N134" i="4"/>
  <c r="O134" i="4" s="1"/>
  <c r="M134" i="4"/>
  <c r="Q134" i="4" s="1"/>
  <c r="R134" i="4" s="1"/>
  <c r="K134" i="4"/>
  <c r="D134" i="4"/>
  <c r="C134" i="4"/>
  <c r="R133" i="4"/>
  <c r="P133" i="4"/>
  <c r="M133" i="4"/>
  <c r="Q133" i="4" s="1"/>
  <c r="J133" i="4"/>
  <c r="D133" i="4"/>
  <c r="C133" i="4"/>
  <c r="P132" i="4"/>
  <c r="J132" i="4"/>
  <c r="M132" i="4" s="1"/>
  <c r="D132" i="4"/>
  <c r="C132" i="4"/>
  <c r="P131" i="4"/>
  <c r="J131" i="4"/>
  <c r="M131" i="4" s="1"/>
  <c r="Q131" i="4" s="1"/>
  <c r="R131" i="4" s="1"/>
  <c r="D131" i="4"/>
  <c r="C131" i="4"/>
  <c r="P130" i="4"/>
  <c r="J130" i="4"/>
  <c r="K130" i="4" s="1"/>
  <c r="D130" i="4"/>
  <c r="C130" i="4"/>
  <c r="P129" i="4"/>
  <c r="J129" i="4"/>
  <c r="M129" i="4" s="1"/>
  <c r="D129" i="4"/>
  <c r="C129" i="4"/>
  <c r="P128" i="4"/>
  <c r="J128" i="4"/>
  <c r="D128" i="4"/>
  <c r="C128" i="4"/>
  <c r="R127" i="4"/>
  <c r="Q127" i="4"/>
  <c r="P127" i="4"/>
  <c r="J127" i="4"/>
  <c r="M127" i="4" s="1"/>
  <c r="D127" i="4"/>
  <c r="C127" i="4"/>
  <c r="P126" i="4"/>
  <c r="N126" i="4"/>
  <c r="O126" i="4" s="1"/>
  <c r="M126" i="4"/>
  <c r="Q126" i="4" s="1"/>
  <c r="R126" i="4" s="1"/>
  <c r="J126" i="4"/>
  <c r="D126" i="4"/>
  <c r="C126" i="4"/>
  <c r="P125" i="4"/>
  <c r="J125" i="4"/>
  <c r="D125" i="4"/>
  <c r="C125" i="4"/>
  <c r="P124" i="4"/>
  <c r="M124" i="4"/>
  <c r="Q124" i="4" s="1"/>
  <c r="R124" i="4" s="1"/>
  <c r="J124" i="4"/>
  <c r="K124" i="4" s="1"/>
  <c r="D124" i="4"/>
  <c r="C124" i="4"/>
  <c r="P123" i="4"/>
  <c r="M123" i="4"/>
  <c r="Q123" i="4" s="1"/>
  <c r="R123" i="4" s="1"/>
  <c r="K123" i="4"/>
  <c r="N123" i="4" s="1"/>
  <c r="O123" i="4" s="1"/>
  <c r="J123" i="4"/>
  <c r="D123" i="4"/>
  <c r="C123" i="4"/>
  <c r="P122" i="4"/>
  <c r="O122" i="4"/>
  <c r="M122" i="4"/>
  <c r="N122" i="4" s="1"/>
  <c r="K122" i="4"/>
  <c r="J122" i="4"/>
  <c r="D122" i="4"/>
  <c r="C122" i="4"/>
  <c r="P121" i="4"/>
  <c r="O121" i="4"/>
  <c r="N121" i="4"/>
  <c r="M121" i="4"/>
  <c r="Q121" i="4" s="1"/>
  <c r="R121" i="4" s="1"/>
  <c r="K121" i="4"/>
  <c r="D121" i="4"/>
  <c r="C121" i="4"/>
  <c r="P120" i="4"/>
  <c r="J120" i="4"/>
  <c r="M120" i="4" s="1"/>
  <c r="D120" i="4"/>
  <c r="C120" i="4"/>
  <c r="R119" i="4"/>
  <c r="Q119" i="4"/>
  <c r="P119" i="4"/>
  <c r="K119" i="4"/>
  <c r="J119" i="4"/>
  <c r="M119" i="4" s="1"/>
  <c r="D119" i="4"/>
  <c r="C119" i="4"/>
  <c r="P118" i="4"/>
  <c r="J118" i="4"/>
  <c r="D118" i="4"/>
  <c r="C118" i="4"/>
  <c r="P117" i="4"/>
  <c r="M117" i="4"/>
  <c r="Q117" i="4" s="1"/>
  <c r="R117" i="4" s="1"/>
  <c r="J117" i="4"/>
  <c r="K117" i="4" s="1"/>
  <c r="N117" i="4" s="1"/>
  <c r="O117" i="4" s="1"/>
  <c r="D117" i="4"/>
  <c r="C117" i="4"/>
  <c r="P116" i="4"/>
  <c r="M116" i="4"/>
  <c r="Q116" i="4" s="1"/>
  <c r="R116" i="4" s="1"/>
  <c r="K116" i="4"/>
  <c r="N116" i="4" s="1"/>
  <c r="O116" i="4" s="1"/>
  <c r="J116" i="4"/>
  <c r="D116" i="4"/>
  <c r="C116" i="4"/>
  <c r="P115" i="4"/>
  <c r="J115" i="4"/>
  <c r="M115" i="4" s="1"/>
  <c r="D115" i="4"/>
  <c r="C115" i="4"/>
  <c r="P114" i="4"/>
  <c r="K114" i="4"/>
  <c r="J114" i="4"/>
  <c r="M114" i="4" s="1"/>
  <c r="D114" i="4"/>
  <c r="C114" i="4"/>
  <c r="P113" i="4"/>
  <c r="M113" i="4"/>
  <c r="Q113" i="4" s="1"/>
  <c r="R113" i="4" s="1"/>
  <c r="J113" i="4"/>
  <c r="K113" i="4" s="1"/>
  <c r="D113" i="4"/>
  <c r="C113" i="4"/>
  <c r="R112" i="4"/>
  <c r="Q112" i="4"/>
  <c r="P112" i="4"/>
  <c r="M112" i="4"/>
  <c r="K112" i="4"/>
  <c r="N112" i="4" s="1"/>
  <c r="O112" i="4" s="1"/>
  <c r="J112" i="4"/>
  <c r="D112" i="4"/>
  <c r="C112" i="4"/>
  <c r="Q111" i="4"/>
  <c r="R111" i="4" s="1"/>
  <c r="P111" i="4"/>
  <c r="J111" i="4"/>
  <c r="M111" i="4" s="1"/>
  <c r="D111" i="4"/>
  <c r="C111" i="4"/>
  <c r="P110" i="4"/>
  <c r="K110" i="4"/>
  <c r="J110" i="4"/>
  <c r="M110" i="4" s="1"/>
  <c r="D110" i="4"/>
  <c r="C110" i="4"/>
  <c r="P109" i="4"/>
  <c r="J109" i="4"/>
  <c r="M109" i="4" s="1"/>
  <c r="D109" i="4"/>
  <c r="C109" i="4"/>
  <c r="P108" i="4"/>
  <c r="N108" i="4"/>
  <c r="O108" i="4" s="1"/>
  <c r="M108" i="4"/>
  <c r="Q108" i="4" s="1"/>
  <c r="R108" i="4" s="1"/>
  <c r="K108" i="4"/>
  <c r="J108" i="4"/>
  <c r="D108" i="4"/>
  <c r="C108" i="4"/>
  <c r="P107" i="4"/>
  <c r="M107" i="4"/>
  <c r="K107" i="4"/>
  <c r="J107" i="4"/>
  <c r="D107" i="4"/>
  <c r="C107" i="4"/>
  <c r="P106" i="4"/>
  <c r="K106" i="4"/>
  <c r="J106" i="4"/>
  <c r="M106" i="4" s="1"/>
  <c r="D106" i="4"/>
  <c r="C106" i="4"/>
  <c r="P105" i="4"/>
  <c r="J105" i="4"/>
  <c r="D105" i="4"/>
  <c r="C105" i="4"/>
  <c r="P104" i="4"/>
  <c r="N104" i="4"/>
  <c r="O104" i="4" s="1"/>
  <c r="M104" i="4"/>
  <c r="Q104" i="4" s="1"/>
  <c r="R104" i="4" s="1"/>
  <c r="K104" i="4"/>
  <c r="J104" i="4"/>
  <c r="D104" i="4"/>
  <c r="C104" i="4"/>
  <c r="P103" i="4"/>
  <c r="M103" i="4"/>
  <c r="J103" i="4"/>
  <c r="K103" i="4" s="1"/>
  <c r="D103" i="4"/>
  <c r="C103" i="4"/>
  <c r="P102" i="4"/>
  <c r="K102" i="4"/>
  <c r="J102" i="4"/>
  <c r="M102" i="4" s="1"/>
  <c r="D102" i="4"/>
  <c r="C102" i="4"/>
  <c r="A102" i="4"/>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F91" i="4"/>
  <c r="E91" i="4"/>
  <c r="G90" i="4"/>
  <c r="G91" i="4" s="1"/>
  <c r="G89" i="4"/>
  <c r="F84" i="4"/>
  <c r="AH77" i="4"/>
  <c r="AS76" i="4"/>
  <c r="AQ76" i="4"/>
  <c r="AO76" i="4"/>
  <c r="AM76" i="4"/>
  <c r="AK76" i="4"/>
  <c r="AI76" i="4"/>
  <c r="AR72" i="4"/>
  <c r="AQ72" i="4"/>
  <c r="AL72" i="4"/>
  <c r="AK72" i="4"/>
  <c r="AJ72" i="4"/>
  <c r="AI72" i="4"/>
  <c r="L72" i="4"/>
  <c r="A72" i="4"/>
  <c r="AR71" i="4"/>
  <c r="AQ71" i="4"/>
  <c r="AO71" i="4"/>
  <c r="AM71" i="4"/>
  <c r="AL71" i="4"/>
  <c r="AK71" i="4"/>
  <c r="AJ71" i="4"/>
  <c r="AI71" i="4"/>
  <c r="U71" i="4"/>
  <c r="P71" i="4"/>
  <c r="J71" i="4"/>
  <c r="H71" i="4"/>
  <c r="D71" i="4"/>
  <c r="C71" i="4"/>
  <c r="A71" i="4"/>
  <c r="AR70" i="4"/>
  <c r="AQ70" i="4"/>
  <c r="AL70" i="4"/>
  <c r="AK70" i="4"/>
  <c r="AJ70" i="4"/>
  <c r="AI70" i="4"/>
  <c r="L70" i="4"/>
  <c r="A70" i="4"/>
  <c r="AR69" i="4"/>
  <c r="AQ69" i="4"/>
  <c r="AO69" i="4"/>
  <c r="AM69" i="4"/>
  <c r="AL69" i="4"/>
  <c r="AK69" i="4"/>
  <c r="AJ69" i="4"/>
  <c r="AI69" i="4"/>
  <c r="U69" i="4"/>
  <c r="P69" i="4"/>
  <c r="J69" i="4"/>
  <c r="K69" i="4" s="1"/>
  <c r="H69" i="4"/>
  <c r="D69" i="4"/>
  <c r="C69" i="4"/>
  <c r="AQ66" i="4"/>
  <c r="AO66" i="4"/>
  <c r="AM66" i="4"/>
  <c r="AK66" i="4"/>
  <c r="AI66" i="4"/>
  <c r="AR65" i="4"/>
  <c r="AQ65" i="4"/>
  <c r="AL65" i="4"/>
  <c r="AK65" i="4"/>
  <c r="AJ65" i="4"/>
  <c r="AI65" i="4"/>
  <c r="A65" i="4"/>
  <c r="AR64" i="4"/>
  <c r="AQ64" i="4"/>
  <c r="AO64" i="4"/>
  <c r="AM64" i="4"/>
  <c r="AL64" i="4"/>
  <c r="AK64" i="4"/>
  <c r="AJ64" i="4"/>
  <c r="AI64" i="4"/>
  <c r="D64" i="4"/>
  <c r="C64" i="4"/>
  <c r="AQ62" i="4"/>
  <c r="AO62" i="4"/>
  <c r="AM62" i="4"/>
  <c r="AK62" i="4"/>
  <c r="AI62" i="4"/>
  <c r="AR61" i="4"/>
  <c r="AQ61" i="4"/>
  <c r="AL61" i="4"/>
  <c r="AK61" i="4"/>
  <c r="AJ61" i="4"/>
  <c r="AI61" i="4"/>
  <c r="A61" i="4"/>
  <c r="A63" i="4" s="1"/>
  <c r="AR60" i="4"/>
  <c r="AQ60" i="4"/>
  <c r="AO60" i="4"/>
  <c r="AM60" i="4"/>
  <c r="AL60" i="4"/>
  <c r="AK60" i="4"/>
  <c r="AJ60" i="4"/>
  <c r="AI60" i="4"/>
  <c r="D60" i="4"/>
  <c r="C60" i="4"/>
  <c r="AR59" i="4"/>
  <c r="AQ59" i="4"/>
  <c r="AL59" i="4"/>
  <c r="AK59" i="4"/>
  <c r="AJ59" i="4"/>
  <c r="AI59" i="4"/>
  <c r="AR58" i="4"/>
  <c r="AQ58" i="4"/>
  <c r="AO58" i="4"/>
  <c r="AM58" i="4"/>
  <c r="AL58" i="4"/>
  <c r="AK58" i="4"/>
  <c r="AJ58" i="4"/>
  <c r="AI58" i="4"/>
  <c r="D58" i="4"/>
  <c r="C58" i="4"/>
  <c r="AR57" i="4"/>
  <c r="AQ57" i="4"/>
  <c r="AL57" i="4"/>
  <c r="AK57" i="4"/>
  <c r="AJ57" i="4"/>
  <c r="AI57" i="4"/>
  <c r="A57" i="4"/>
  <c r="A59" i="4" s="1"/>
  <c r="AR56" i="4"/>
  <c r="AQ56" i="4"/>
  <c r="AO56" i="4"/>
  <c r="AM56" i="4"/>
  <c r="AL56" i="4"/>
  <c r="AK56" i="4"/>
  <c r="AJ56" i="4"/>
  <c r="AI56" i="4"/>
  <c r="D56" i="4"/>
  <c r="C56" i="4"/>
  <c r="AL55" i="4"/>
  <c r="AK55" i="4"/>
  <c r="AJ55" i="4"/>
  <c r="AI55" i="4"/>
  <c r="A55" i="4"/>
  <c r="AQ54" i="4"/>
  <c r="AO54" i="4"/>
  <c r="AM54" i="4"/>
  <c r="AL54" i="4"/>
  <c r="AK54" i="4"/>
  <c r="AJ54" i="4"/>
  <c r="AI54" i="4"/>
  <c r="D54" i="4"/>
  <c r="C54" i="4"/>
  <c r="AR53" i="4"/>
  <c r="AQ53" i="4"/>
  <c r="AL53" i="4"/>
  <c r="AK53" i="4"/>
  <c r="AJ53" i="4"/>
  <c r="AI53" i="4"/>
  <c r="AR52" i="4"/>
  <c r="AQ52" i="4"/>
  <c r="AO52" i="4"/>
  <c r="AM52" i="4"/>
  <c r="AL52" i="4"/>
  <c r="AK52" i="4"/>
  <c r="AJ52" i="4"/>
  <c r="AI52" i="4"/>
  <c r="D52" i="4"/>
  <c r="C52" i="4"/>
  <c r="AR51" i="4"/>
  <c r="AQ51" i="4"/>
  <c r="AL51" i="4"/>
  <c r="AK51" i="4"/>
  <c r="AJ51" i="4"/>
  <c r="AI51" i="4"/>
  <c r="A51" i="4"/>
  <c r="A53" i="4" s="1"/>
  <c r="AR50" i="4"/>
  <c r="AQ50" i="4"/>
  <c r="AO50" i="4"/>
  <c r="AM50" i="4"/>
  <c r="AL50" i="4"/>
  <c r="AK50" i="4"/>
  <c r="AJ50" i="4"/>
  <c r="AI50" i="4"/>
  <c r="D50" i="4"/>
  <c r="C50" i="4"/>
  <c r="AR49" i="4"/>
  <c r="AQ49" i="4"/>
  <c r="AL49" i="4"/>
  <c r="AK49" i="4"/>
  <c r="AJ49" i="4"/>
  <c r="AI49" i="4"/>
  <c r="A49" i="4"/>
  <c r="AR48" i="4"/>
  <c r="AQ48" i="4"/>
  <c r="AO48" i="4"/>
  <c r="AM48" i="4"/>
  <c r="AL48" i="4"/>
  <c r="AK48" i="4"/>
  <c r="AJ48" i="4"/>
  <c r="AI48" i="4"/>
  <c r="D48" i="4"/>
  <c r="C48" i="4"/>
  <c r="AR47" i="4"/>
  <c r="AQ47" i="4"/>
  <c r="AL47" i="4"/>
  <c r="AK47" i="4"/>
  <c r="AJ47" i="4"/>
  <c r="AI47" i="4"/>
  <c r="AR46" i="4"/>
  <c r="AQ46" i="4"/>
  <c r="AO46" i="4"/>
  <c r="AM46" i="4"/>
  <c r="AL46" i="4"/>
  <c r="AK46" i="4"/>
  <c r="AJ46" i="4"/>
  <c r="AI46" i="4"/>
  <c r="D46" i="4"/>
  <c r="C46" i="4"/>
  <c r="AR45" i="4"/>
  <c r="AQ45" i="4"/>
  <c r="AL45" i="4"/>
  <c r="AK45" i="4"/>
  <c r="AJ45" i="4"/>
  <c r="AI45" i="4"/>
  <c r="AR44" i="4"/>
  <c r="AQ44" i="4"/>
  <c r="AO44" i="4"/>
  <c r="AM44" i="4"/>
  <c r="AL44" i="4"/>
  <c r="AK44" i="4"/>
  <c r="AJ44" i="4"/>
  <c r="AI44" i="4"/>
  <c r="D44" i="4"/>
  <c r="C44" i="4"/>
  <c r="AR43" i="4"/>
  <c r="AQ43" i="4"/>
  <c r="AL43" i="4"/>
  <c r="AK43" i="4"/>
  <c r="AJ43" i="4"/>
  <c r="AI43" i="4"/>
  <c r="A43" i="4"/>
  <c r="A45" i="4" s="1"/>
  <c r="A47" i="4" s="1"/>
  <c r="AR42" i="4"/>
  <c r="AQ42" i="4"/>
  <c r="AO42" i="4"/>
  <c r="AM42" i="4"/>
  <c r="AL42" i="4"/>
  <c r="AK42" i="4"/>
  <c r="AJ42" i="4"/>
  <c r="AI42" i="4"/>
  <c r="D42" i="4"/>
  <c r="C42" i="4"/>
  <c r="AR41" i="4"/>
  <c r="AQ41" i="4"/>
  <c r="AL41" i="4"/>
  <c r="AK41" i="4"/>
  <c r="AJ41" i="4"/>
  <c r="AI41" i="4"/>
  <c r="A41" i="4"/>
  <c r="AR40" i="4"/>
  <c r="AQ40" i="4"/>
  <c r="AO40" i="4"/>
  <c r="AM40" i="4"/>
  <c r="AL40" i="4"/>
  <c r="AK40" i="4"/>
  <c r="AJ40" i="4"/>
  <c r="AI40" i="4"/>
  <c r="D40" i="4"/>
  <c r="C40" i="4"/>
  <c r="AR39" i="4"/>
  <c r="AQ39" i="4"/>
  <c r="AL39" i="4"/>
  <c r="AK39" i="4"/>
  <c r="AJ39" i="4"/>
  <c r="AI39" i="4"/>
  <c r="AR38" i="4"/>
  <c r="AQ38" i="4"/>
  <c r="AO38" i="4"/>
  <c r="AM38" i="4"/>
  <c r="AL38" i="4"/>
  <c r="AK38" i="4"/>
  <c r="AJ38" i="4"/>
  <c r="AI38" i="4"/>
  <c r="D38" i="4"/>
  <c r="C38" i="4"/>
  <c r="AR37" i="4"/>
  <c r="AQ37" i="4"/>
  <c r="AL37" i="4"/>
  <c r="AK37" i="4"/>
  <c r="AJ37" i="4"/>
  <c r="AI37" i="4"/>
  <c r="AR36" i="4"/>
  <c r="AQ36" i="4"/>
  <c r="AO36" i="4"/>
  <c r="AM36" i="4"/>
  <c r="AL36" i="4"/>
  <c r="AK36" i="4"/>
  <c r="AJ36" i="4"/>
  <c r="AI36" i="4"/>
  <c r="D36" i="4"/>
  <c r="C36" i="4"/>
  <c r="AR35" i="4"/>
  <c r="AQ35" i="4"/>
  <c r="AL35" i="4"/>
  <c r="AK35" i="4"/>
  <c r="AJ35" i="4"/>
  <c r="AI35" i="4"/>
  <c r="AR34" i="4"/>
  <c r="AQ34" i="4"/>
  <c r="AO34" i="4"/>
  <c r="AM34" i="4"/>
  <c r="AL34" i="4"/>
  <c r="AK34" i="4"/>
  <c r="AJ34" i="4"/>
  <c r="AI34" i="4"/>
  <c r="D34" i="4"/>
  <c r="C34" i="4"/>
  <c r="AR33" i="4"/>
  <c r="AQ33" i="4"/>
  <c r="AL33" i="4"/>
  <c r="AK33" i="4"/>
  <c r="AJ33" i="4"/>
  <c r="AI33" i="4"/>
  <c r="AR32" i="4"/>
  <c r="AQ32" i="4"/>
  <c r="AO32" i="4"/>
  <c r="AM32" i="4"/>
  <c r="AL32" i="4"/>
  <c r="AK32" i="4"/>
  <c r="AJ32" i="4"/>
  <c r="AI32" i="4"/>
  <c r="D32" i="4"/>
  <c r="C32" i="4"/>
  <c r="AR31" i="4"/>
  <c r="AQ31" i="4"/>
  <c r="AL31" i="4"/>
  <c r="AK31" i="4"/>
  <c r="AJ31" i="4"/>
  <c r="AI31" i="4"/>
  <c r="AR30" i="4"/>
  <c r="AQ30" i="4"/>
  <c r="AO30" i="4"/>
  <c r="AM30" i="4"/>
  <c r="AL30" i="4"/>
  <c r="AK30" i="4"/>
  <c r="AJ30" i="4"/>
  <c r="AI30" i="4"/>
  <c r="D30" i="4"/>
  <c r="C30" i="4"/>
  <c r="AR29" i="4"/>
  <c r="AQ29" i="4"/>
  <c r="AL29" i="4"/>
  <c r="AK29" i="4"/>
  <c r="AJ29" i="4"/>
  <c r="AI29" i="4"/>
  <c r="AR28" i="4"/>
  <c r="AQ28" i="4"/>
  <c r="AO28" i="4"/>
  <c r="AM28" i="4"/>
  <c r="AL28" i="4"/>
  <c r="AK28" i="4"/>
  <c r="AJ28" i="4"/>
  <c r="AI28" i="4"/>
  <c r="D28" i="4"/>
  <c r="C28" i="4"/>
  <c r="AR27" i="4"/>
  <c r="AQ27" i="4"/>
  <c r="AL27" i="4"/>
  <c r="AK27" i="4"/>
  <c r="AJ27" i="4"/>
  <c r="AI27" i="4"/>
  <c r="AR26" i="4"/>
  <c r="AQ26" i="4"/>
  <c r="AO26" i="4"/>
  <c r="AM26" i="4"/>
  <c r="AL26" i="4"/>
  <c r="AK26" i="4"/>
  <c r="AJ26" i="4"/>
  <c r="AI26" i="4"/>
  <c r="D26" i="4"/>
  <c r="C26" i="4"/>
  <c r="AR25" i="4"/>
  <c r="AQ25" i="4"/>
  <c r="AL25" i="4"/>
  <c r="AK25" i="4"/>
  <c r="AJ25" i="4"/>
  <c r="AI25" i="4"/>
  <c r="AR24" i="4"/>
  <c r="AQ24" i="4"/>
  <c r="AO24" i="4"/>
  <c r="AM24" i="4"/>
  <c r="AL24" i="4"/>
  <c r="AK24" i="4"/>
  <c r="AJ24" i="4"/>
  <c r="AI24" i="4"/>
  <c r="D24" i="4"/>
  <c r="C24" i="4"/>
  <c r="AR23" i="4"/>
  <c r="AQ23" i="4"/>
  <c r="AL23" i="4"/>
  <c r="AK23" i="4"/>
  <c r="AJ23" i="4"/>
  <c r="AI23" i="4"/>
  <c r="AR22" i="4"/>
  <c r="AQ22" i="4"/>
  <c r="AO22" i="4"/>
  <c r="AM22" i="4"/>
  <c r="AL22" i="4"/>
  <c r="AK22" i="4"/>
  <c r="AJ22" i="4"/>
  <c r="AI22" i="4"/>
  <c r="D22" i="4"/>
  <c r="C22" i="4"/>
  <c r="AR21" i="4"/>
  <c r="AQ21" i="4"/>
  <c r="AL21" i="4"/>
  <c r="AK21" i="4"/>
  <c r="AJ21" i="4"/>
  <c r="AI21" i="4"/>
  <c r="AR20" i="4"/>
  <c r="AQ20" i="4"/>
  <c r="AO20" i="4"/>
  <c r="AM20" i="4"/>
  <c r="AL20" i="4"/>
  <c r="AK20" i="4"/>
  <c r="AJ20" i="4"/>
  <c r="AI20" i="4"/>
  <c r="D20" i="4"/>
  <c r="C20" i="4"/>
  <c r="AR19" i="4"/>
  <c r="AQ19" i="4"/>
  <c r="AL19" i="4"/>
  <c r="AK19" i="4"/>
  <c r="AJ19" i="4"/>
  <c r="AI19" i="4"/>
  <c r="AR18" i="4"/>
  <c r="AQ18" i="4"/>
  <c r="AO18" i="4"/>
  <c r="AM18" i="4"/>
  <c r="AL18" i="4"/>
  <c r="AK18" i="4"/>
  <c r="AJ18" i="4"/>
  <c r="AI18" i="4"/>
  <c r="D18" i="4"/>
  <c r="C18" i="4"/>
  <c r="AR17" i="4"/>
  <c r="AQ17" i="4"/>
  <c r="AL17" i="4"/>
  <c r="AK17" i="4"/>
  <c r="AJ17" i="4"/>
  <c r="AI17" i="4"/>
  <c r="AR16" i="4"/>
  <c r="AQ16" i="4"/>
  <c r="AO16" i="4"/>
  <c r="AM16" i="4"/>
  <c r="AL16" i="4"/>
  <c r="AK16" i="4"/>
  <c r="AJ16" i="4"/>
  <c r="AI16" i="4"/>
  <c r="D16" i="4"/>
  <c r="C16" i="4"/>
  <c r="AR15" i="4"/>
  <c r="AQ15" i="4"/>
  <c r="AL15" i="4"/>
  <c r="AK15" i="4"/>
  <c r="AJ15" i="4"/>
  <c r="AI15" i="4"/>
  <c r="AR14" i="4"/>
  <c r="AQ14" i="4"/>
  <c r="AO14" i="4"/>
  <c r="AM14" i="4"/>
  <c r="AL14" i="4"/>
  <c r="AK14" i="4"/>
  <c r="AJ14" i="4"/>
  <c r="AI14" i="4"/>
  <c r="D14" i="4"/>
  <c r="C14" i="4"/>
  <c r="A14" i="4"/>
  <c r="A16" i="4" s="1"/>
  <c r="A18" i="4" s="1"/>
  <c r="A20" i="4" s="1"/>
  <c r="A22" i="4" s="1"/>
  <c r="A24" i="4" s="1"/>
  <c r="A26" i="4" s="1"/>
  <c r="A28" i="4" s="1"/>
  <c r="A30" i="4" s="1"/>
  <c r="A32" i="4" s="1"/>
  <c r="A34" i="4" s="1"/>
  <c r="A36" i="4" s="1"/>
  <c r="A38" i="4" s="1"/>
  <c r="A40" i="4" s="1"/>
  <c r="A42" i="4" s="1"/>
  <c r="A44" i="4" s="1"/>
  <c r="A46" i="4" s="1"/>
  <c r="A48" i="4" s="1"/>
  <c r="A50" i="4" s="1"/>
  <c r="A52" i="4" s="1"/>
  <c r="A54" i="4" s="1"/>
  <c r="A56" i="4" s="1"/>
  <c r="A58" i="4" s="1"/>
  <c r="A60" i="4" s="1"/>
  <c r="A62" i="4" s="1"/>
  <c r="A64" i="4" s="1"/>
  <c r="AR13" i="4"/>
  <c r="AQ13" i="4"/>
  <c r="AL13" i="4"/>
  <c r="AK13" i="4"/>
  <c r="AJ13" i="4"/>
  <c r="AI13" i="4"/>
  <c r="AR12" i="4"/>
  <c r="AQ12" i="4"/>
  <c r="AO12" i="4"/>
  <c r="AM12" i="4"/>
  <c r="AL12" i="4"/>
  <c r="AK12" i="4"/>
  <c r="AJ12" i="4"/>
  <c r="AI12" i="4"/>
  <c r="D12" i="4"/>
  <c r="C12" i="4"/>
  <c r="AR11" i="4"/>
  <c r="AQ11" i="4"/>
  <c r="AL11" i="4"/>
  <c r="AK11" i="4"/>
  <c r="AJ11" i="4"/>
  <c r="AI11" i="4"/>
  <c r="AR10" i="4"/>
  <c r="AQ10" i="4"/>
  <c r="AO10" i="4"/>
  <c r="AM10" i="4"/>
  <c r="AL10" i="4"/>
  <c r="AK10" i="4"/>
  <c r="AJ10" i="4"/>
  <c r="AI10" i="4"/>
  <c r="D10" i="4"/>
  <c r="C10" i="4"/>
  <c r="A10" i="4"/>
  <c r="A12" i="4" s="1"/>
  <c r="AR9" i="4"/>
  <c r="AQ9" i="4"/>
  <c r="AL9" i="4"/>
  <c r="AK9" i="4"/>
  <c r="AJ9" i="4"/>
  <c r="AI9" i="4"/>
  <c r="AR8" i="4"/>
  <c r="AQ8" i="4"/>
  <c r="AO8" i="4"/>
  <c r="AM8" i="4"/>
  <c r="AL8" i="4"/>
  <c r="AK8" i="4"/>
  <c r="AJ8" i="4"/>
  <c r="AI8" i="4"/>
  <c r="D8" i="4"/>
  <c r="C8" i="4"/>
  <c r="AR7" i="4"/>
  <c r="AQ7" i="4"/>
  <c r="AL7" i="4"/>
  <c r="AK7" i="4"/>
  <c r="AJ7" i="4"/>
  <c r="AI7" i="4"/>
  <c r="A7" i="4"/>
  <c r="A9" i="4" s="1"/>
  <c r="A11" i="4" s="1"/>
  <c r="AR6" i="4"/>
  <c r="AQ6" i="4"/>
  <c r="AO6" i="4"/>
  <c r="AM6" i="4"/>
  <c r="AL6" i="4"/>
  <c r="AK6" i="4"/>
  <c r="AJ6" i="4"/>
  <c r="AI6" i="4"/>
  <c r="D6" i="4"/>
  <c r="C6" i="4"/>
  <c r="A6" i="4"/>
  <c r="A8" i="4" s="1"/>
  <c r="AR5" i="4"/>
  <c r="AQ5" i="4"/>
  <c r="AL5" i="4"/>
  <c r="AK5" i="4"/>
  <c r="AJ5" i="4"/>
  <c r="AI5" i="4"/>
  <c r="A5" i="4"/>
  <c r="AR4" i="4"/>
  <c r="AQ4" i="4"/>
  <c r="AO4" i="4"/>
  <c r="AM4" i="4"/>
  <c r="AL4" i="4"/>
  <c r="AK4" i="4"/>
  <c r="AJ4" i="4"/>
  <c r="AI4" i="4"/>
  <c r="D4" i="4"/>
  <c r="C4" i="4"/>
  <c r="Q310" i="3"/>
  <c r="P310" i="3"/>
  <c r="N310" i="3"/>
  <c r="M310" i="3"/>
  <c r="O310" i="3" s="1"/>
  <c r="D310" i="3"/>
  <c r="C310" i="3"/>
  <c r="Q309" i="3"/>
  <c r="P309" i="3"/>
  <c r="L309" i="3"/>
  <c r="N309" i="3" s="1"/>
  <c r="D309" i="3"/>
  <c r="C309" i="3"/>
  <c r="Q308" i="3"/>
  <c r="P308" i="3"/>
  <c r="O308" i="3"/>
  <c r="N308" i="3"/>
  <c r="M308" i="3"/>
  <c r="D308" i="3"/>
  <c r="C308" i="3"/>
  <c r="Q307" i="3"/>
  <c r="P307" i="3"/>
  <c r="N307" i="3"/>
  <c r="M307" i="3"/>
  <c r="O307" i="3" s="1"/>
  <c r="D307" i="3"/>
  <c r="C307" i="3"/>
  <c r="Q306" i="3"/>
  <c r="P306" i="3"/>
  <c r="N306" i="3"/>
  <c r="O306" i="3" s="1"/>
  <c r="M306" i="3"/>
  <c r="D306" i="3"/>
  <c r="C306" i="3"/>
  <c r="Q305" i="3"/>
  <c r="P305" i="3"/>
  <c r="N305" i="3"/>
  <c r="M305" i="3"/>
  <c r="O305" i="3" s="1"/>
  <c r="L305" i="3"/>
  <c r="D305" i="3"/>
  <c r="C305" i="3"/>
  <c r="Q304" i="3"/>
  <c r="P304" i="3"/>
  <c r="L304" i="3"/>
  <c r="M304" i="3" s="1"/>
  <c r="D304" i="3"/>
  <c r="C304" i="3"/>
  <c r="Q303" i="3"/>
  <c r="P303" i="3"/>
  <c r="N303" i="3"/>
  <c r="M303" i="3"/>
  <c r="D303" i="3"/>
  <c r="C303" i="3"/>
  <c r="Q302" i="3"/>
  <c r="P302" i="3"/>
  <c r="O302" i="3"/>
  <c r="N302" i="3"/>
  <c r="M302" i="3"/>
  <c r="D302" i="3"/>
  <c r="C302" i="3"/>
  <c r="Q301" i="3"/>
  <c r="P301" i="3"/>
  <c r="N301" i="3"/>
  <c r="M301" i="3"/>
  <c r="D301" i="3"/>
  <c r="C301" i="3"/>
  <c r="Q300" i="3"/>
  <c r="M300" i="3"/>
  <c r="K300" i="3"/>
  <c r="J300" i="3"/>
  <c r="P300" i="3" s="1"/>
  <c r="D300" i="3"/>
  <c r="C300" i="3"/>
  <c r="Q299" i="3"/>
  <c r="P299" i="3"/>
  <c r="L299" i="3"/>
  <c r="D299" i="3"/>
  <c r="C299" i="3"/>
  <c r="Q298" i="3"/>
  <c r="P298" i="3"/>
  <c r="N298" i="3"/>
  <c r="M298" i="3"/>
  <c r="D298" i="3"/>
  <c r="C298" i="3"/>
  <c r="Q297" i="3"/>
  <c r="P297" i="3"/>
  <c r="N297" i="3"/>
  <c r="M297" i="3"/>
  <c r="O297" i="3" s="1"/>
  <c r="D297" i="3"/>
  <c r="C297" i="3"/>
  <c r="Q296" i="3"/>
  <c r="P296" i="3"/>
  <c r="N296" i="3"/>
  <c r="O296" i="3" s="1"/>
  <c r="M296" i="3"/>
  <c r="D296" i="3"/>
  <c r="C296" i="3"/>
  <c r="Q295" i="3"/>
  <c r="P295" i="3"/>
  <c r="O295" i="3"/>
  <c r="N295" i="3"/>
  <c r="M295" i="3"/>
  <c r="K295" i="3"/>
  <c r="D295" i="3"/>
  <c r="C295" i="3"/>
  <c r="Q294" i="3"/>
  <c r="P294" i="3"/>
  <c r="O294" i="3"/>
  <c r="N294" i="3"/>
  <c r="M294" i="3"/>
  <c r="D294" i="3"/>
  <c r="C294" i="3"/>
  <c r="Q293" i="3"/>
  <c r="P293" i="3"/>
  <c r="M293" i="3"/>
  <c r="L293" i="3"/>
  <c r="N293" i="3" s="1"/>
  <c r="D293" i="3"/>
  <c r="C293" i="3"/>
  <c r="Q292" i="3"/>
  <c r="P292" i="3"/>
  <c r="O292" i="3"/>
  <c r="N292" i="3"/>
  <c r="D292" i="3"/>
  <c r="C292" i="3"/>
  <c r="Q291" i="3"/>
  <c r="P291" i="3"/>
  <c r="N291" i="3"/>
  <c r="M291" i="3"/>
  <c r="O291" i="3" s="1"/>
  <c r="D291" i="3"/>
  <c r="C291" i="3"/>
  <c r="Q290" i="3"/>
  <c r="P290" i="3"/>
  <c r="N290" i="3"/>
  <c r="M290" i="3"/>
  <c r="D290" i="3"/>
  <c r="C290" i="3"/>
  <c r="Q289" i="3"/>
  <c r="P289" i="3"/>
  <c r="O289" i="3"/>
  <c r="N289" i="3"/>
  <c r="M289" i="3"/>
  <c r="D289" i="3"/>
  <c r="C289" i="3"/>
  <c r="Q288" i="3"/>
  <c r="P288" i="3"/>
  <c r="N288" i="3"/>
  <c r="M288" i="3"/>
  <c r="L288" i="3"/>
  <c r="D288" i="3"/>
  <c r="C288" i="3"/>
  <c r="Q287" i="3"/>
  <c r="L287" i="3"/>
  <c r="N287" i="3" s="1"/>
  <c r="K287" i="3"/>
  <c r="P287" i="3" s="1"/>
  <c r="D287" i="3"/>
  <c r="C287" i="3"/>
  <c r="Q286" i="3"/>
  <c r="P286" i="3"/>
  <c r="N286" i="3"/>
  <c r="M286" i="3"/>
  <c r="D286" i="3"/>
  <c r="C286" i="3"/>
  <c r="Q285" i="3"/>
  <c r="P285" i="3"/>
  <c r="O285" i="3"/>
  <c r="N285" i="3"/>
  <c r="M285" i="3"/>
  <c r="D285" i="3"/>
  <c r="C285" i="3"/>
  <c r="Q284" i="3"/>
  <c r="P284" i="3"/>
  <c r="O284" i="3"/>
  <c r="N284" i="3"/>
  <c r="M284" i="3"/>
  <c r="D284" i="3"/>
  <c r="C284" i="3"/>
  <c r="Q283" i="3"/>
  <c r="P283" i="3"/>
  <c r="N283" i="3"/>
  <c r="O283" i="3" s="1"/>
  <c r="M283" i="3"/>
  <c r="D283" i="3"/>
  <c r="C283" i="3"/>
  <c r="Q282" i="3"/>
  <c r="P282" i="3"/>
  <c r="N282" i="3"/>
  <c r="M282" i="3"/>
  <c r="O282" i="3" s="1"/>
  <c r="K282" i="3"/>
  <c r="D282" i="3"/>
  <c r="C282" i="3"/>
  <c r="Q281" i="3"/>
  <c r="P281" i="3"/>
  <c r="O281" i="3"/>
  <c r="N281" i="3"/>
  <c r="D281" i="3"/>
  <c r="C281" i="3"/>
  <c r="Q280" i="3"/>
  <c r="P280" i="3"/>
  <c r="N280" i="3"/>
  <c r="O280" i="3" s="1"/>
  <c r="M280" i="3"/>
  <c r="D280" i="3"/>
  <c r="C280" i="3"/>
  <c r="Q279" i="3"/>
  <c r="P279" i="3"/>
  <c r="N279" i="3"/>
  <c r="M279" i="3"/>
  <c r="O279" i="3" s="1"/>
  <c r="D279" i="3"/>
  <c r="C279" i="3"/>
  <c r="Q278" i="3"/>
  <c r="P278" i="3"/>
  <c r="O278" i="3"/>
  <c r="N278" i="3"/>
  <c r="M278" i="3"/>
  <c r="D278" i="3"/>
  <c r="C278" i="3"/>
  <c r="Q277" i="3"/>
  <c r="P277" i="3"/>
  <c r="N277" i="3"/>
  <c r="M277" i="3"/>
  <c r="D277" i="3"/>
  <c r="C277" i="3"/>
  <c r="Q276" i="3"/>
  <c r="P276" i="3"/>
  <c r="O276" i="3"/>
  <c r="N276" i="3"/>
  <c r="M276" i="3"/>
  <c r="D276" i="3"/>
  <c r="C276" i="3"/>
  <c r="Q275" i="3"/>
  <c r="P275" i="3"/>
  <c r="N275" i="3"/>
  <c r="M275" i="3"/>
  <c r="O275" i="3" s="1"/>
  <c r="D275" i="3"/>
  <c r="C275" i="3"/>
  <c r="Q274" i="3"/>
  <c r="P274" i="3"/>
  <c r="N274" i="3"/>
  <c r="O274" i="3" s="1"/>
  <c r="M274" i="3"/>
  <c r="D274" i="3"/>
  <c r="C274" i="3"/>
  <c r="Q273" i="3"/>
  <c r="P273" i="3"/>
  <c r="N273" i="3"/>
  <c r="M273" i="3"/>
  <c r="D273" i="3"/>
  <c r="C273" i="3"/>
  <c r="Q272" i="3"/>
  <c r="P272" i="3"/>
  <c r="O272" i="3"/>
  <c r="N272" i="3"/>
  <c r="M272" i="3"/>
  <c r="D272" i="3"/>
  <c r="C272" i="3"/>
  <c r="Q271" i="3"/>
  <c r="P271" i="3"/>
  <c r="N271" i="3"/>
  <c r="M271" i="3"/>
  <c r="O271" i="3" s="1"/>
  <c r="D271" i="3"/>
  <c r="C271" i="3"/>
  <c r="Q270" i="3"/>
  <c r="P270" i="3"/>
  <c r="N270" i="3"/>
  <c r="M270" i="3"/>
  <c r="O270" i="3" s="1"/>
  <c r="D270" i="3"/>
  <c r="C270" i="3"/>
  <c r="Q269" i="3"/>
  <c r="P269" i="3"/>
  <c r="N269" i="3"/>
  <c r="M269" i="3"/>
  <c r="D269" i="3"/>
  <c r="C269" i="3"/>
  <c r="Q268" i="3"/>
  <c r="P268" i="3"/>
  <c r="O268" i="3"/>
  <c r="N268" i="3"/>
  <c r="M268" i="3"/>
  <c r="D268" i="3"/>
  <c r="C268" i="3"/>
  <c r="Q267" i="3"/>
  <c r="P267" i="3"/>
  <c r="N267" i="3"/>
  <c r="M267" i="3"/>
  <c r="D267" i="3"/>
  <c r="C267" i="3"/>
  <c r="Q266" i="3"/>
  <c r="P266" i="3"/>
  <c r="N266" i="3"/>
  <c r="M266" i="3"/>
  <c r="O266" i="3" s="1"/>
  <c r="D266" i="3"/>
  <c r="C266" i="3"/>
  <c r="Q265" i="3"/>
  <c r="P265" i="3"/>
  <c r="O265" i="3"/>
  <c r="N265" i="3"/>
  <c r="M265" i="3"/>
  <c r="D265" i="3"/>
  <c r="C265" i="3"/>
  <c r="Q264" i="3"/>
  <c r="P264" i="3"/>
  <c r="N264" i="3"/>
  <c r="M264" i="3"/>
  <c r="D264" i="3"/>
  <c r="C264" i="3"/>
  <c r="Q263" i="3"/>
  <c r="L263" i="3"/>
  <c r="K263" i="3"/>
  <c r="P263" i="3" s="1"/>
  <c r="D263" i="3"/>
  <c r="C263" i="3"/>
  <c r="Q262" i="3"/>
  <c r="P262" i="3"/>
  <c r="O262" i="3"/>
  <c r="N262" i="3"/>
  <c r="M262" i="3"/>
  <c r="D262" i="3"/>
  <c r="C262" i="3"/>
  <c r="Q261" i="3"/>
  <c r="P261" i="3"/>
  <c r="O261" i="3"/>
  <c r="M261" i="3"/>
  <c r="L261" i="3"/>
  <c r="N261" i="3" s="1"/>
  <c r="D261" i="3"/>
  <c r="C261" i="3"/>
  <c r="Q260" i="3"/>
  <c r="P260" i="3"/>
  <c r="N260" i="3"/>
  <c r="M260" i="3"/>
  <c r="L260" i="3"/>
  <c r="D260" i="3"/>
  <c r="C260" i="3"/>
  <c r="Q259" i="3"/>
  <c r="P259" i="3"/>
  <c r="O259" i="3"/>
  <c r="N259" i="3"/>
  <c r="M259" i="3"/>
  <c r="D259" i="3"/>
  <c r="C259" i="3"/>
  <c r="Q258" i="3"/>
  <c r="P258" i="3"/>
  <c r="O258" i="3"/>
  <c r="N258" i="3"/>
  <c r="M258" i="3"/>
  <c r="D258" i="3"/>
  <c r="C258" i="3"/>
  <c r="Q257" i="3"/>
  <c r="P257" i="3"/>
  <c r="N257" i="3"/>
  <c r="M257" i="3"/>
  <c r="D257" i="3"/>
  <c r="C257" i="3"/>
  <c r="Q256" i="3"/>
  <c r="P256" i="3"/>
  <c r="O256" i="3"/>
  <c r="N256" i="3"/>
  <c r="M256" i="3"/>
  <c r="D256" i="3"/>
  <c r="C256" i="3"/>
  <c r="Q255" i="3"/>
  <c r="P255" i="3"/>
  <c r="N255" i="3"/>
  <c r="O255" i="3" s="1"/>
  <c r="M255" i="3"/>
  <c r="D255" i="3"/>
  <c r="C255" i="3"/>
  <c r="Q254" i="3"/>
  <c r="P254" i="3"/>
  <c r="N254" i="3"/>
  <c r="M254" i="3"/>
  <c r="O254" i="3" s="1"/>
  <c r="D254" i="3"/>
  <c r="C254" i="3"/>
  <c r="Q253" i="3"/>
  <c r="P253" i="3"/>
  <c r="N253" i="3"/>
  <c r="O253" i="3" s="1"/>
  <c r="M253" i="3"/>
  <c r="D253" i="3"/>
  <c r="C253" i="3"/>
  <c r="Q252" i="3"/>
  <c r="P252" i="3"/>
  <c r="N252" i="3"/>
  <c r="M252" i="3"/>
  <c r="O252" i="3" s="1"/>
  <c r="D252" i="3"/>
  <c r="C252" i="3"/>
  <c r="Q251" i="3"/>
  <c r="P251" i="3"/>
  <c r="N251" i="3"/>
  <c r="O251" i="3" s="1"/>
  <c r="M251" i="3"/>
  <c r="L251" i="3"/>
  <c r="D251" i="3"/>
  <c r="C251" i="3"/>
  <c r="Q250" i="3"/>
  <c r="P250" i="3"/>
  <c r="O250" i="3"/>
  <c r="N250" i="3"/>
  <c r="M250" i="3"/>
  <c r="L250" i="3"/>
  <c r="D250" i="3"/>
  <c r="C250" i="3"/>
  <c r="Q249" i="3"/>
  <c r="P249" i="3"/>
  <c r="L249" i="3"/>
  <c r="N249" i="3" s="1"/>
  <c r="D249" i="3"/>
  <c r="C249" i="3"/>
  <c r="Q248" i="3"/>
  <c r="P248" i="3"/>
  <c r="N248" i="3"/>
  <c r="M248" i="3"/>
  <c r="D248" i="3"/>
  <c r="C248" i="3"/>
  <c r="Q247" i="3"/>
  <c r="P247" i="3"/>
  <c r="O247" i="3"/>
  <c r="N247" i="3"/>
  <c r="K247" i="3"/>
  <c r="D247" i="3"/>
  <c r="C247" i="3"/>
  <c r="Q246" i="3"/>
  <c r="P246" i="3"/>
  <c r="L246" i="3"/>
  <c r="N246" i="3" s="1"/>
  <c r="D246" i="3"/>
  <c r="C246" i="3"/>
  <c r="Q245" i="3"/>
  <c r="P245" i="3"/>
  <c r="O245" i="3"/>
  <c r="N245" i="3"/>
  <c r="M245" i="3"/>
  <c r="D245" i="3"/>
  <c r="C245" i="3"/>
  <c r="Q244" i="3"/>
  <c r="P244" i="3"/>
  <c r="N244" i="3"/>
  <c r="O244" i="3" s="1"/>
  <c r="M244" i="3"/>
  <c r="L244" i="3"/>
  <c r="D244" i="3"/>
  <c r="C244" i="3"/>
  <c r="Q243" i="3"/>
  <c r="P243" i="3"/>
  <c r="N243" i="3"/>
  <c r="O243" i="3" s="1"/>
  <c r="M243" i="3"/>
  <c r="L243" i="3"/>
  <c r="K243" i="3"/>
  <c r="D243" i="3"/>
  <c r="C243" i="3"/>
  <c r="Q242" i="3"/>
  <c r="L242" i="3"/>
  <c r="N242" i="3" s="1"/>
  <c r="K242" i="3"/>
  <c r="P242" i="3" s="1"/>
  <c r="D242" i="3"/>
  <c r="C242" i="3"/>
  <c r="Q241" i="3"/>
  <c r="P241" i="3"/>
  <c r="N241" i="3"/>
  <c r="K241" i="3"/>
  <c r="M241" i="3" s="1"/>
  <c r="O241" i="3" s="1"/>
  <c r="D241" i="3"/>
  <c r="C241" i="3"/>
  <c r="Q240" i="3"/>
  <c r="P240" i="3"/>
  <c r="N240" i="3"/>
  <c r="M240" i="3"/>
  <c r="O240" i="3" s="1"/>
  <c r="K240" i="3"/>
  <c r="D240" i="3"/>
  <c r="C240" i="3"/>
  <c r="Q239" i="3"/>
  <c r="P239" i="3"/>
  <c r="L239" i="3"/>
  <c r="N239" i="3" s="1"/>
  <c r="K239" i="3"/>
  <c r="D239" i="3"/>
  <c r="C239" i="3"/>
  <c r="Q238" i="3"/>
  <c r="P238" i="3"/>
  <c r="N238" i="3"/>
  <c r="O238" i="3" s="1"/>
  <c r="M238" i="3"/>
  <c r="L238" i="3"/>
  <c r="D238" i="3"/>
  <c r="C238" i="3"/>
  <c r="Q237" i="3"/>
  <c r="P237" i="3"/>
  <c r="N237" i="3"/>
  <c r="O237" i="3" s="1"/>
  <c r="M237" i="3"/>
  <c r="K237" i="3"/>
  <c r="D237" i="3"/>
  <c r="C237" i="3"/>
  <c r="Q236" i="3"/>
  <c r="P236" i="3"/>
  <c r="N236" i="3"/>
  <c r="M236" i="3"/>
  <c r="K236" i="3"/>
  <c r="D236" i="3"/>
  <c r="C236" i="3"/>
  <c r="Q235" i="3"/>
  <c r="P235" i="3"/>
  <c r="N235" i="3"/>
  <c r="M235" i="3"/>
  <c r="O235" i="3" s="1"/>
  <c r="D235" i="3"/>
  <c r="C235" i="3"/>
  <c r="Q234" i="3"/>
  <c r="P234" i="3"/>
  <c r="M234" i="3"/>
  <c r="L234" i="3"/>
  <c r="N234" i="3" s="1"/>
  <c r="D234" i="3"/>
  <c r="C234" i="3"/>
  <c r="Q233" i="3"/>
  <c r="P233" i="3"/>
  <c r="N233" i="3"/>
  <c r="M233" i="3"/>
  <c r="O233" i="3" s="1"/>
  <c r="D233" i="3"/>
  <c r="C233" i="3"/>
  <c r="Q232" i="3"/>
  <c r="P232" i="3"/>
  <c r="N232" i="3"/>
  <c r="O232" i="3" s="1"/>
  <c r="M232" i="3"/>
  <c r="D232" i="3"/>
  <c r="C232" i="3"/>
  <c r="Q231" i="3"/>
  <c r="P231" i="3"/>
  <c r="N231" i="3"/>
  <c r="O231" i="3" s="1"/>
  <c r="M231" i="3"/>
  <c r="D231" i="3"/>
  <c r="C231" i="3"/>
  <c r="Q230" i="3"/>
  <c r="P230" i="3"/>
  <c r="N230" i="3"/>
  <c r="M230" i="3"/>
  <c r="O230" i="3" s="1"/>
  <c r="D230" i="3"/>
  <c r="C230" i="3"/>
  <c r="Q229" i="3"/>
  <c r="P229" i="3"/>
  <c r="N229" i="3"/>
  <c r="O229" i="3" s="1"/>
  <c r="M229" i="3"/>
  <c r="D229" i="3"/>
  <c r="C229" i="3"/>
  <c r="Q228" i="3"/>
  <c r="P228" i="3"/>
  <c r="N228" i="3"/>
  <c r="O228" i="3" s="1"/>
  <c r="L228" i="3"/>
  <c r="D228" i="3"/>
  <c r="C228" i="3"/>
  <c r="Q227" i="3"/>
  <c r="P227" i="3"/>
  <c r="N227" i="3"/>
  <c r="M227" i="3"/>
  <c r="O227" i="3" s="1"/>
  <c r="D227" i="3"/>
  <c r="C227" i="3"/>
  <c r="Q226" i="3"/>
  <c r="P226" i="3"/>
  <c r="N226" i="3"/>
  <c r="O226" i="3" s="1"/>
  <c r="M226" i="3"/>
  <c r="D226" i="3"/>
  <c r="C226" i="3"/>
  <c r="Q225" i="3"/>
  <c r="P225" i="3"/>
  <c r="N225" i="3"/>
  <c r="O225" i="3" s="1"/>
  <c r="M225" i="3"/>
  <c r="D225" i="3"/>
  <c r="C225" i="3"/>
  <c r="Q224" i="3"/>
  <c r="P224" i="3"/>
  <c r="N224" i="3"/>
  <c r="M224" i="3"/>
  <c r="O224" i="3" s="1"/>
  <c r="D224" i="3"/>
  <c r="C224" i="3"/>
  <c r="Q223" i="3"/>
  <c r="P223" i="3"/>
  <c r="N223" i="3"/>
  <c r="O223" i="3" s="1"/>
  <c r="M223" i="3"/>
  <c r="D223" i="3"/>
  <c r="C223" i="3"/>
  <c r="Q222" i="3"/>
  <c r="P222" i="3"/>
  <c r="N222" i="3"/>
  <c r="O222" i="3" s="1"/>
  <c r="M222" i="3"/>
  <c r="D222" i="3"/>
  <c r="C222" i="3"/>
  <c r="Q221" i="3"/>
  <c r="P221" i="3"/>
  <c r="N221" i="3"/>
  <c r="M221" i="3"/>
  <c r="O221" i="3" s="1"/>
  <c r="D221" i="3"/>
  <c r="C221" i="3"/>
  <c r="Q220" i="3"/>
  <c r="P220" i="3"/>
  <c r="N220" i="3"/>
  <c r="O220" i="3" s="1"/>
  <c r="M220" i="3"/>
  <c r="D220" i="3"/>
  <c r="C220" i="3"/>
  <c r="Q219" i="3"/>
  <c r="P219" i="3"/>
  <c r="N219" i="3"/>
  <c r="O219" i="3" s="1"/>
  <c r="M219" i="3"/>
  <c r="D219" i="3"/>
  <c r="C219" i="3"/>
  <c r="Q210" i="3"/>
  <c r="P210" i="3"/>
  <c r="L210" i="3"/>
  <c r="N210" i="3" s="1"/>
  <c r="D210" i="3"/>
  <c r="C210" i="3"/>
  <c r="Q209" i="3"/>
  <c r="P209" i="3"/>
  <c r="N209" i="3"/>
  <c r="O209" i="3" s="1"/>
  <c r="M209" i="3"/>
  <c r="D209" i="3"/>
  <c r="C209" i="3"/>
  <c r="Q208" i="3"/>
  <c r="P208" i="3"/>
  <c r="N208" i="3"/>
  <c r="O208" i="3" s="1"/>
  <c r="M208" i="3"/>
  <c r="K208" i="3"/>
  <c r="D208" i="3"/>
  <c r="C208" i="3"/>
  <c r="Q207" i="3"/>
  <c r="P207" i="3"/>
  <c r="N207" i="3"/>
  <c r="O207" i="3" s="1"/>
  <c r="M207" i="3"/>
  <c r="L207" i="3"/>
  <c r="D207" i="3"/>
  <c r="C207" i="3"/>
  <c r="Q206" i="3"/>
  <c r="P206" i="3"/>
  <c r="N206" i="3"/>
  <c r="M206" i="3"/>
  <c r="L206" i="3"/>
  <c r="D206" i="3"/>
  <c r="C206" i="3"/>
  <c r="Q205" i="3"/>
  <c r="P205" i="3"/>
  <c r="N205" i="3"/>
  <c r="M205" i="3"/>
  <c r="O205" i="3" s="1"/>
  <c r="D205" i="3"/>
  <c r="C205" i="3"/>
  <c r="Q204" i="3"/>
  <c r="P204" i="3"/>
  <c r="M204" i="3"/>
  <c r="L204" i="3"/>
  <c r="N204" i="3" s="1"/>
  <c r="D204" i="3"/>
  <c r="C204" i="3"/>
  <c r="Q203" i="3"/>
  <c r="P203" i="3"/>
  <c r="N203" i="3"/>
  <c r="M203" i="3"/>
  <c r="O203" i="3" s="1"/>
  <c r="D203" i="3"/>
  <c r="C203" i="3"/>
  <c r="Q202" i="3"/>
  <c r="P202" i="3"/>
  <c r="N202" i="3"/>
  <c r="O202" i="3" s="1"/>
  <c r="M202" i="3"/>
  <c r="D202" i="3"/>
  <c r="C202" i="3"/>
  <c r="Q201" i="3"/>
  <c r="P201" i="3"/>
  <c r="N201" i="3"/>
  <c r="O201" i="3" s="1"/>
  <c r="M201" i="3"/>
  <c r="D201" i="3"/>
  <c r="C201" i="3"/>
  <c r="Q200" i="3"/>
  <c r="P200" i="3"/>
  <c r="N200" i="3"/>
  <c r="M200" i="3"/>
  <c r="O200" i="3" s="1"/>
  <c r="D200" i="3"/>
  <c r="C200" i="3"/>
  <c r="Q199" i="3"/>
  <c r="P199" i="3"/>
  <c r="N199" i="3"/>
  <c r="O199" i="3" s="1"/>
  <c r="M199" i="3"/>
  <c r="D199" i="3"/>
  <c r="C199" i="3"/>
  <c r="Q198" i="3"/>
  <c r="P198" i="3"/>
  <c r="N198" i="3"/>
  <c r="O198" i="3" s="1"/>
  <c r="M198" i="3"/>
  <c r="D198" i="3"/>
  <c r="C198" i="3"/>
  <c r="Q197" i="3"/>
  <c r="P197" i="3"/>
  <c r="N197" i="3"/>
  <c r="M197" i="3"/>
  <c r="O197" i="3" s="1"/>
  <c r="D197" i="3"/>
  <c r="C197" i="3"/>
  <c r="Q196" i="3"/>
  <c r="P196" i="3"/>
  <c r="N196" i="3"/>
  <c r="O196" i="3" s="1"/>
  <c r="M196" i="3"/>
  <c r="D196" i="3"/>
  <c r="C196" i="3"/>
  <c r="Q195" i="3"/>
  <c r="P195" i="3"/>
  <c r="N195" i="3"/>
  <c r="O195" i="3" s="1"/>
  <c r="M195" i="3"/>
  <c r="D195" i="3"/>
  <c r="C195" i="3"/>
  <c r="Q194" i="3"/>
  <c r="P194" i="3"/>
  <c r="N194" i="3"/>
  <c r="M194" i="3"/>
  <c r="O194" i="3" s="1"/>
  <c r="D194" i="3"/>
  <c r="C194" i="3"/>
  <c r="Q193" i="3"/>
  <c r="P193" i="3"/>
  <c r="N193" i="3"/>
  <c r="O193" i="3" s="1"/>
  <c r="M193" i="3"/>
  <c r="D193" i="3"/>
  <c r="C193" i="3"/>
  <c r="Q192" i="3"/>
  <c r="P192" i="3"/>
  <c r="N192" i="3"/>
  <c r="O192" i="3" s="1"/>
  <c r="M192" i="3"/>
  <c r="K192" i="3"/>
  <c r="D192" i="3"/>
  <c r="C192" i="3"/>
  <c r="Q191" i="3"/>
  <c r="P191" i="3"/>
  <c r="N191" i="3"/>
  <c r="O191" i="3" s="1"/>
  <c r="M191" i="3"/>
  <c r="D191" i="3"/>
  <c r="C191" i="3"/>
  <c r="Q190" i="3"/>
  <c r="P190" i="3"/>
  <c r="M190" i="3"/>
  <c r="L190" i="3"/>
  <c r="N190" i="3" s="1"/>
  <c r="D190" i="3"/>
  <c r="C190" i="3"/>
  <c r="Q189" i="3"/>
  <c r="P189" i="3"/>
  <c r="O189" i="3"/>
  <c r="N189" i="3"/>
  <c r="M189" i="3"/>
  <c r="D189" i="3"/>
  <c r="C189" i="3"/>
  <c r="Q188" i="3"/>
  <c r="P188" i="3"/>
  <c r="N188" i="3"/>
  <c r="O188" i="3" s="1"/>
  <c r="M188" i="3"/>
  <c r="D188" i="3"/>
  <c r="C188" i="3"/>
  <c r="Q187" i="3"/>
  <c r="P187" i="3"/>
  <c r="N187" i="3"/>
  <c r="M187" i="3"/>
  <c r="D187" i="3"/>
  <c r="C187" i="3"/>
  <c r="Q186" i="3"/>
  <c r="P186" i="3"/>
  <c r="O186" i="3"/>
  <c r="N186" i="3"/>
  <c r="M186" i="3"/>
  <c r="D186" i="3"/>
  <c r="C186" i="3"/>
  <c r="Q185" i="3"/>
  <c r="P185" i="3"/>
  <c r="N185" i="3"/>
  <c r="O185" i="3" s="1"/>
  <c r="M185" i="3"/>
  <c r="D185" i="3"/>
  <c r="C185" i="3"/>
  <c r="Q184" i="3"/>
  <c r="P184" i="3"/>
  <c r="N184" i="3"/>
  <c r="M184" i="3"/>
  <c r="D184" i="3"/>
  <c r="C184" i="3"/>
  <c r="Q183" i="3"/>
  <c r="P183" i="3"/>
  <c r="O183" i="3"/>
  <c r="N183" i="3"/>
  <c r="M183" i="3"/>
  <c r="D183" i="3"/>
  <c r="C183" i="3"/>
  <c r="Q182" i="3"/>
  <c r="N182" i="3"/>
  <c r="K182" i="3"/>
  <c r="P182" i="3" s="1"/>
  <c r="D182" i="3"/>
  <c r="C182" i="3"/>
  <c r="Q181" i="3"/>
  <c r="P181" i="3"/>
  <c r="O181" i="3"/>
  <c r="N181" i="3"/>
  <c r="M181" i="3"/>
  <c r="D181" i="3"/>
  <c r="C181" i="3"/>
  <c r="Q180" i="3"/>
  <c r="P180" i="3"/>
  <c r="N180" i="3"/>
  <c r="O180" i="3" s="1"/>
  <c r="M180" i="3"/>
  <c r="D180" i="3"/>
  <c r="C180" i="3"/>
  <c r="Q179" i="3"/>
  <c r="P179" i="3"/>
  <c r="N179" i="3"/>
  <c r="M179" i="3"/>
  <c r="O179" i="3" s="1"/>
  <c r="K179" i="3"/>
  <c r="D179" i="3"/>
  <c r="C179" i="3"/>
  <c r="Q178" i="3"/>
  <c r="P178" i="3"/>
  <c r="N178" i="3"/>
  <c r="M178" i="3"/>
  <c r="O178" i="3" s="1"/>
  <c r="D178" i="3"/>
  <c r="C178" i="3"/>
  <c r="Q177" i="3"/>
  <c r="P177" i="3"/>
  <c r="N177" i="3"/>
  <c r="O177" i="3" s="1"/>
  <c r="M177" i="3"/>
  <c r="D177" i="3"/>
  <c r="C177" i="3"/>
  <c r="Q176" i="3"/>
  <c r="P176" i="3"/>
  <c r="N176" i="3"/>
  <c r="O176" i="3" s="1"/>
  <c r="M176" i="3"/>
  <c r="D176" i="3"/>
  <c r="C176" i="3"/>
  <c r="Q175" i="3"/>
  <c r="P175" i="3"/>
  <c r="N175" i="3"/>
  <c r="M175" i="3"/>
  <c r="O175" i="3" s="1"/>
  <c r="D175" i="3"/>
  <c r="C175" i="3"/>
  <c r="Q174" i="3"/>
  <c r="N174" i="3"/>
  <c r="K174" i="3"/>
  <c r="D174" i="3"/>
  <c r="C174" i="3"/>
  <c r="Q173" i="3"/>
  <c r="P173" i="3"/>
  <c r="O173" i="3"/>
  <c r="N173" i="3"/>
  <c r="M173" i="3"/>
  <c r="D173" i="3"/>
  <c r="C173" i="3"/>
  <c r="Q172" i="3"/>
  <c r="P172" i="3"/>
  <c r="N172" i="3"/>
  <c r="O172" i="3" s="1"/>
  <c r="M172" i="3"/>
  <c r="D172" i="3"/>
  <c r="C172" i="3"/>
  <c r="Q171" i="3"/>
  <c r="P171" i="3"/>
  <c r="N171" i="3"/>
  <c r="M171" i="3"/>
  <c r="O171" i="3" s="1"/>
  <c r="D171" i="3"/>
  <c r="C171" i="3"/>
  <c r="Q170" i="3"/>
  <c r="K170" i="3"/>
  <c r="P170" i="3" s="1"/>
  <c r="D170" i="3"/>
  <c r="C170" i="3"/>
  <c r="Q169" i="3"/>
  <c r="P169" i="3"/>
  <c r="N169" i="3"/>
  <c r="M169" i="3"/>
  <c r="O169" i="3" s="1"/>
  <c r="D169" i="3"/>
  <c r="C169" i="3"/>
  <c r="Q168" i="3"/>
  <c r="P168" i="3"/>
  <c r="O168" i="3"/>
  <c r="N168" i="3"/>
  <c r="M168" i="3"/>
  <c r="D168" i="3"/>
  <c r="C168" i="3"/>
  <c r="Q167" i="3"/>
  <c r="K167" i="3"/>
  <c r="D167" i="3"/>
  <c r="C167" i="3"/>
  <c r="Q166" i="3"/>
  <c r="P166" i="3"/>
  <c r="N166" i="3"/>
  <c r="L166" i="3"/>
  <c r="M166" i="3" s="1"/>
  <c r="O166" i="3" s="1"/>
  <c r="D166" i="3"/>
  <c r="C166" i="3"/>
  <c r="Q165" i="3"/>
  <c r="P165" i="3"/>
  <c r="N165" i="3"/>
  <c r="O165" i="3" s="1"/>
  <c r="M165" i="3"/>
  <c r="D165" i="3"/>
  <c r="C165" i="3"/>
  <c r="Q164" i="3"/>
  <c r="N164" i="3"/>
  <c r="M164" i="3"/>
  <c r="K164" i="3" s="1"/>
  <c r="P164" i="3" s="1"/>
  <c r="D164" i="3"/>
  <c r="C164" i="3"/>
  <c r="Q163" i="3"/>
  <c r="P163" i="3"/>
  <c r="N163" i="3"/>
  <c r="O163" i="3" s="1"/>
  <c r="M163" i="3"/>
  <c r="K163" i="3"/>
  <c r="D163" i="3"/>
  <c r="C163" i="3"/>
  <c r="Q162" i="3"/>
  <c r="P162" i="3"/>
  <c r="K162" i="3"/>
  <c r="L162" i="3" s="1"/>
  <c r="D162" i="3"/>
  <c r="C162" i="3"/>
  <c r="Q161" i="3"/>
  <c r="L161" i="3"/>
  <c r="N161" i="3" s="1"/>
  <c r="K161" i="3"/>
  <c r="P161" i="3" s="1"/>
  <c r="D161" i="3"/>
  <c r="C161" i="3"/>
  <c r="Q160" i="3"/>
  <c r="P160" i="3"/>
  <c r="L160" i="3"/>
  <c r="N160" i="3" s="1"/>
  <c r="K160" i="3"/>
  <c r="D160" i="3"/>
  <c r="C160" i="3"/>
  <c r="Q159" i="3"/>
  <c r="M159" i="3"/>
  <c r="K159" i="3"/>
  <c r="J159" i="3"/>
  <c r="P159" i="3" s="1"/>
  <c r="D159" i="3"/>
  <c r="C159" i="3"/>
  <c r="Q158" i="3"/>
  <c r="K158" i="3"/>
  <c r="M158" i="3" s="1"/>
  <c r="J158" i="3"/>
  <c r="D158" i="3"/>
  <c r="C158" i="3"/>
  <c r="Q157" i="3"/>
  <c r="P157" i="3"/>
  <c r="N157" i="3"/>
  <c r="K157" i="3"/>
  <c r="M157" i="3" s="1"/>
  <c r="O157" i="3" s="1"/>
  <c r="D157" i="3"/>
  <c r="C157" i="3"/>
  <c r="Q156" i="3"/>
  <c r="P156" i="3"/>
  <c r="N156" i="3"/>
  <c r="M156" i="3"/>
  <c r="O156" i="3" s="1"/>
  <c r="K156" i="3"/>
  <c r="D156" i="3"/>
  <c r="C156" i="3"/>
  <c r="Q155" i="3"/>
  <c r="P155" i="3"/>
  <c r="N155" i="3"/>
  <c r="M155" i="3"/>
  <c r="O155" i="3" s="1"/>
  <c r="D155" i="3"/>
  <c r="C155" i="3"/>
  <c r="Q154" i="3"/>
  <c r="N154" i="3"/>
  <c r="K154" i="3"/>
  <c r="D154" i="3"/>
  <c r="C154" i="3"/>
  <c r="Q153" i="3"/>
  <c r="N153" i="3"/>
  <c r="K153" i="3"/>
  <c r="P153" i="3" s="1"/>
  <c r="D153" i="3"/>
  <c r="C153" i="3"/>
  <c r="Q152" i="3"/>
  <c r="P152" i="3"/>
  <c r="N152" i="3"/>
  <c r="O152" i="3" s="1"/>
  <c r="M152" i="3"/>
  <c r="D152" i="3"/>
  <c r="C152" i="3"/>
  <c r="Q151" i="3"/>
  <c r="P151" i="3"/>
  <c r="N151" i="3"/>
  <c r="M151" i="3"/>
  <c r="K151" i="3"/>
  <c r="D151" i="3"/>
  <c r="C151" i="3"/>
  <c r="Q150" i="3"/>
  <c r="P150" i="3"/>
  <c r="N150" i="3"/>
  <c r="M150" i="3"/>
  <c r="O150" i="3" s="1"/>
  <c r="K150" i="3"/>
  <c r="D150" i="3"/>
  <c r="C150" i="3"/>
  <c r="Q149" i="3"/>
  <c r="P149" i="3"/>
  <c r="N149" i="3"/>
  <c r="O149" i="3" s="1"/>
  <c r="M149" i="3"/>
  <c r="D149" i="3"/>
  <c r="C149" i="3"/>
  <c r="Q148" i="3"/>
  <c r="P148" i="3"/>
  <c r="N148" i="3"/>
  <c r="K148" i="3"/>
  <c r="M148" i="3" s="1"/>
  <c r="O148" i="3" s="1"/>
  <c r="D148" i="3"/>
  <c r="C148" i="3"/>
  <c r="Q147" i="3"/>
  <c r="N147" i="3"/>
  <c r="M147" i="3"/>
  <c r="O147" i="3" s="1"/>
  <c r="K147" i="3"/>
  <c r="P147" i="3" s="1"/>
  <c r="D147" i="3"/>
  <c r="C147" i="3"/>
  <c r="Q146" i="3"/>
  <c r="P146" i="3"/>
  <c r="N146" i="3"/>
  <c r="K146" i="3"/>
  <c r="M146" i="3" s="1"/>
  <c r="O146" i="3" s="1"/>
  <c r="D146" i="3"/>
  <c r="C146" i="3"/>
  <c r="Q145" i="3"/>
  <c r="P145" i="3"/>
  <c r="N145" i="3"/>
  <c r="M145" i="3"/>
  <c r="O145" i="3" s="1"/>
  <c r="K145" i="3"/>
  <c r="D145" i="3"/>
  <c r="C145" i="3"/>
  <c r="Q144" i="3"/>
  <c r="P144" i="3"/>
  <c r="N144" i="3"/>
  <c r="K144" i="3"/>
  <c r="M144" i="3" s="1"/>
  <c r="O144" i="3" s="1"/>
  <c r="D144" i="3"/>
  <c r="C144" i="3"/>
  <c r="Q143" i="3"/>
  <c r="N143" i="3"/>
  <c r="M143" i="3"/>
  <c r="O143" i="3" s="1"/>
  <c r="K143" i="3"/>
  <c r="P143" i="3" s="1"/>
  <c r="D143" i="3"/>
  <c r="C143" i="3"/>
  <c r="Q142" i="3"/>
  <c r="P142" i="3"/>
  <c r="L142" i="3"/>
  <c r="N142" i="3" s="1"/>
  <c r="D142" i="3"/>
  <c r="C142" i="3"/>
  <c r="Q141" i="3"/>
  <c r="P141" i="3"/>
  <c r="M141" i="3"/>
  <c r="L141" i="3"/>
  <c r="N141" i="3" s="1"/>
  <c r="K141" i="3"/>
  <c r="D141" i="3"/>
  <c r="C141" i="3"/>
  <c r="Q140" i="3"/>
  <c r="P140" i="3"/>
  <c r="N140" i="3"/>
  <c r="O140" i="3" s="1"/>
  <c r="M140" i="3"/>
  <c r="L140" i="3"/>
  <c r="D140" i="3"/>
  <c r="C140" i="3"/>
  <c r="Q139" i="3"/>
  <c r="P139" i="3"/>
  <c r="N139" i="3"/>
  <c r="M139" i="3"/>
  <c r="L139" i="3"/>
  <c r="D139" i="3"/>
  <c r="C139" i="3"/>
  <c r="Q138" i="3"/>
  <c r="P138" i="3"/>
  <c r="N138" i="3"/>
  <c r="O138" i="3" s="1"/>
  <c r="M138" i="3"/>
  <c r="L138" i="3"/>
  <c r="D138" i="3"/>
  <c r="C138" i="3"/>
  <c r="Q137" i="3"/>
  <c r="P137" i="3"/>
  <c r="N137" i="3"/>
  <c r="O137" i="3" s="1"/>
  <c r="M137" i="3"/>
  <c r="L137" i="3"/>
  <c r="D137" i="3"/>
  <c r="C137" i="3"/>
  <c r="Q136" i="3"/>
  <c r="P136" i="3"/>
  <c r="N136" i="3"/>
  <c r="O136" i="3" s="1"/>
  <c r="M136" i="3"/>
  <c r="D136" i="3"/>
  <c r="C136" i="3"/>
  <c r="Q135" i="3"/>
  <c r="P135" i="3"/>
  <c r="L135" i="3"/>
  <c r="N135" i="3" s="1"/>
  <c r="D135" i="3"/>
  <c r="C135" i="3"/>
  <c r="Q134" i="3"/>
  <c r="P134" i="3"/>
  <c r="O134" i="3"/>
  <c r="N134" i="3"/>
  <c r="M134" i="3"/>
  <c r="D134" i="3"/>
  <c r="C134" i="3"/>
  <c r="Q133" i="3"/>
  <c r="P133" i="3"/>
  <c r="N133" i="3"/>
  <c r="O133" i="3" s="1"/>
  <c r="M133" i="3"/>
  <c r="D133" i="3"/>
  <c r="C133" i="3"/>
  <c r="Q132" i="3"/>
  <c r="P132" i="3"/>
  <c r="N132" i="3"/>
  <c r="M132" i="3"/>
  <c r="O132" i="3" s="1"/>
  <c r="D132" i="3"/>
  <c r="C132" i="3"/>
  <c r="Q131" i="3"/>
  <c r="P131" i="3"/>
  <c r="O131" i="3"/>
  <c r="N131" i="3"/>
  <c r="L131" i="3"/>
  <c r="D131" i="3"/>
  <c r="C131" i="3"/>
  <c r="Q130" i="3"/>
  <c r="P130" i="3"/>
  <c r="N130" i="3"/>
  <c r="O130" i="3" s="1"/>
  <c r="M130" i="3"/>
  <c r="L130" i="3"/>
  <c r="D130" i="3"/>
  <c r="C130" i="3"/>
  <c r="Q129" i="3"/>
  <c r="P129" i="3"/>
  <c r="N129" i="3"/>
  <c r="M129" i="3"/>
  <c r="L129" i="3"/>
  <c r="D129" i="3"/>
  <c r="C129" i="3"/>
  <c r="Q128" i="3"/>
  <c r="P128" i="3"/>
  <c r="N128" i="3"/>
  <c r="O128" i="3" s="1"/>
  <c r="M128" i="3"/>
  <c r="L128" i="3"/>
  <c r="D128" i="3"/>
  <c r="C128" i="3"/>
  <c r="Q127" i="3"/>
  <c r="P127" i="3"/>
  <c r="N127" i="3"/>
  <c r="O127" i="3" s="1"/>
  <c r="M127" i="3"/>
  <c r="L127" i="3"/>
  <c r="D127" i="3"/>
  <c r="C127" i="3"/>
  <c r="Q126" i="3"/>
  <c r="P126" i="3"/>
  <c r="N126" i="3"/>
  <c r="O126" i="3" s="1"/>
  <c r="M126" i="3"/>
  <c r="L126" i="3"/>
  <c r="D126" i="3"/>
  <c r="C126" i="3"/>
  <c r="Q125" i="3"/>
  <c r="P125" i="3"/>
  <c r="N125" i="3"/>
  <c r="M125" i="3"/>
  <c r="L125" i="3"/>
  <c r="D125" i="3"/>
  <c r="C125" i="3"/>
  <c r="Q124" i="3"/>
  <c r="O124" i="3"/>
  <c r="N124" i="3"/>
  <c r="M124" i="3"/>
  <c r="L124" i="3"/>
  <c r="K124" i="3"/>
  <c r="P124" i="3" s="1"/>
  <c r="D124" i="3"/>
  <c r="C124" i="3"/>
  <c r="Q123" i="3"/>
  <c r="O123" i="3"/>
  <c r="N123" i="3"/>
  <c r="M123" i="3"/>
  <c r="K123" i="3" s="1"/>
  <c r="P123" i="3" s="1"/>
  <c r="L123" i="3"/>
  <c r="D123" i="3"/>
  <c r="C123" i="3"/>
  <c r="Q122" i="3"/>
  <c r="P122" i="3"/>
  <c r="M122" i="3"/>
  <c r="L122" i="3"/>
  <c r="N122" i="3" s="1"/>
  <c r="D122" i="3"/>
  <c r="C122" i="3"/>
  <c r="Q121" i="3"/>
  <c r="P121" i="3"/>
  <c r="L121" i="3"/>
  <c r="N121" i="3" s="1"/>
  <c r="D121" i="3"/>
  <c r="C121" i="3"/>
  <c r="Q120" i="3"/>
  <c r="P120" i="3"/>
  <c r="M120" i="3"/>
  <c r="L120" i="3"/>
  <c r="N120" i="3" s="1"/>
  <c r="D120" i="3"/>
  <c r="C120" i="3"/>
  <c r="Q119" i="3"/>
  <c r="P119" i="3"/>
  <c r="L119" i="3"/>
  <c r="N119" i="3" s="1"/>
  <c r="K119" i="3"/>
  <c r="D119" i="3"/>
  <c r="C119" i="3"/>
  <c r="Q118" i="3"/>
  <c r="P118" i="3"/>
  <c r="N118" i="3"/>
  <c r="O118" i="3" s="1"/>
  <c r="M118" i="3"/>
  <c r="D118" i="3"/>
  <c r="C118" i="3"/>
  <c r="Q117" i="3"/>
  <c r="P117" i="3"/>
  <c r="N117" i="3"/>
  <c r="O117" i="3" s="1"/>
  <c r="M117" i="3"/>
  <c r="D117" i="3"/>
  <c r="C117" i="3"/>
  <c r="Q116" i="3"/>
  <c r="P116" i="3"/>
  <c r="N116" i="3"/>
  <c r="M116" i="3"/>
  <c r="D116" i="3"/>
  <c r="C116" i="3"/>
  <c r="Q115" i="3"/>
  <c r="P115" i="3"/>
  <c r="N115" i="3"/>
  <c r="O115" i="3" s="1"/>
  <c r="M115" i="3"/>
  <c r="D115" i="3"/>
  <c r="C115" i="3"/>
  <c r="Q114" i="3"/>
  <c r="P114" i="3"/>
  <c r="N114" i="3"/>
  <c r="O114" i="3" s="1"/>
  <c r="M114" i="3"/>
  <c r="D114" i="3"/>
  <c r="C114" i="3"/>
  <c r="Q113" i="3"/>
  <c r="L113" i="3"/>
  <c r="N113" i="3" s="1"/>
  <c r="D113" i="3"/>
  <c r="C113" i="3"/>
  <c r="Q112" i="3"/>
  <c r="M112" i="3"/>
  <c r="L112" i="3"/>
  <c r="N112" i="3" s="1"/>
  <c r="K112" i="3"/>
  <c r="P112" i="3" s="1"/>
  <c r="D112" i="3"/>
  <c r="C112" i="3"/>
  <c r="Q111" i="3"/>
  <c r="P111" i="3"/>
  <c r="N111" i="3"/>
  <c r="M111" i="3"/>
  <c r="D111" i="3"/>
  <c r="C111" i="3"/>
  <c r="Q110" i="3"/>
  <c r="N110" i="3"/>
  <c r="O110" i="3" s="1"/>
  <c r="M110" i="3"/>
  <c r="L110" i="3"/>
  <c r="K110" i="3"/>
  <c r="P110" i="3" s="1"/>
  <c r="D110" i="3"/>
  <c r="C110" i="3"/>
  <c r="Q109" i="3"/>
  <c r="P109" i="3"/>
  <c r="L109" i="3"/>
  <c r="N109" i="3" s="1"/>
  <c r="K109" i="3"/>
  <c r="D109" i="3"/>
  <c r="C109" i="3"/>
  <c r="AD102" i="3"/>
  <c r="AZ101" i="3"/>
  <c r="AL90" i="3"/>
  <c r="R90" i="3"/>
  <c r="Q90" i="3"/>
  <c r="P90" i="3"/>
  <c r="O90" i="3"/>
  <c r="N90" i="3"/>
  <c r="M83" i="3"/>
  <c r="AV80" i="3"/>
  <c r="AU80" i="3"/>
  <c r="AP80" i="3"/>
  <c r="AO80" i="3"/>
  <c r="AN80" i="3"/>
  <c r="AM80" i="3"/>
  <c r="A80" i="3"/>
  <c r="AV79" i="3"/>
  <c r="AU79" i="3"/>
  <c r="AS79" i="3"/>
  <c r="AQ79" i="3"/>
  <c r="AP79" i="3"/>
  <c r="AO79" i="3"/>
  <c r="AN79" i="3"/>
  <c r="AM79" i="3"/>
  <c r="V79" i="3"/>
  <c r="Q79" i="3"/>
  <c r="M79" i="3"/>
  <c r="J79" i="3"/>
  <c r="Z79" i="3" s="1"/>
  <c r="D79" i="3"/>
  <c r="C79" i="3"/>
  <c r="AV78" i="3"/>
  <c r="AU78" i="3"/>
  <c r="AP78" i="3"/>
  <c r="AO78" i="3"/>
  <c r="AN78" i="3"/>
  <c r="AM78" i="3"/>
  <c r="A78" i="3"/>
  <c r="AV77" i="3"/>
  <c r="AU77" i="3"/>
  <c r="AS77" i="3"/>
  <c r="AQ77" i="3"/>
  <c r="AP77" i="3"/>
  <c r="AO77" i="3"/>
  <c r="AN77" i="3"/>
  <c r="AM77" i="3"/>
  <c r="V77" i="3"/>
  <c r="Q77" i="3"/>
  <c r="M77" i="3"/>
  <c r="K77" i="3"/>
  <c r="J77" i="3"/>
  <c r="Z77" i="3" s="1"/>
  <c r="D77" i="3"/>
  <c r="C77" i="3"/>
  <c r="AV76" i="3"/>
  <c r="AU76" i="3"/>
  <c r="AP76" i="3"/>
  <c r="AO76" i="3"/>
  <c r="AN76" i="3"/>
  <c r="AM76" i="3"/>
  <c r="AV75" i="3"/>
  <c r="AU75" i="3"/>
  <c r="AS75" i="3"/>
  <c r="AQ75" i="3"/>
  <c r="AP75" i="3"/>
  <c r="AO75" i="3"/>
  <c r="AN75" i="3"/>
  <c r="AM75" i="3"/>
  <c r="V75" i="3"/>
  <c r="Q75" i="3"/>
  <c r="K75" i="3"/>
  <c r="M75" i="3" s="1"/>
  <c r="J75" i="3"/>
  <c r="S75" i="3" s="1"/>
  <c r="D75" i="3"/>
  <c r="C75" i="3"/>
  <c r="AV74" i="3"/>
  <c r="AU74" i="3"/>
  <c r="AP74" i="3"/>
  <c r="AO74" i="3"/>
  <c r="AN74" i="3"/>
  <c r="AM74" i="3"/>
  <c r="A74" i="3"/>
  <c r="A76" i="3" s="1"/>
  <c r="AV73" i="3"/>
  <c r="AU73" i="3"/>
  <c r="AS73" i="3"/>
  <c r="AQ73" i="3"/>
  <c r="AP73" i="3"/>
  <c r="AO73" i="3"/>
  <c r="AN73" i="3"/>
  <c r="AM73" i="3"/>
  <c r="V73" i="3"/>
  <c r="Q73" i="3"/>
  <c r="M73" i="3"/>
  <c r="K73" i="3"/>
  <c r="J73" i="3"/>
  <c r="Y73" i="3" s="1"/>
  <c r="D73" i="3"/>
  <c r="C73" i="3"/>
  <c r="AV72" i="3"/>
  <c r="AU72" i="3"/>
  <c r="AP72" i="3"/>
  <c r="AO72" i="3"/>
  <c r="AN72" i="3"/>
  <c r="AM72" i="3"/>
  <c r="AV71" i="3"/>
  <c r="AU71" i="3"/>
  <c r="AS71" i="3"/>
  <c r="AQ71" i="3"/>
  <c r="AP71" i="3"/>
  <c r="AO71" i="3"/>
  <c r="AN71" i="3"/>
  <c r="AM71" i="3"/>
  <c r="V71" i="3"/>
  <c r="Q71" i="3"/>
  <c r="K71" i="3"/>
  <c r="J71" i="3"/>
  <c r="S71" i="3" s="1"/>
  <c r="D71" i="3"/>
  <c r="C71" i="3"/>
  <c r="AV70" i="3"/>
  <c r="AU70" i="3"/>
  <c r="AP70" i="3"/>
  <c r="AO70" i="3"/>
  <c r="AN70" i="3"/>
  <c r="AM70" i="3"/>
  <c r="AV69" i="3"/>
  <c r="AU69" i="3"/>
  <c r="AS69" i="3"/>
  <c r="AQ69" i="3"/>
  <c r="AP69" i="3"/>
  <c r="AO69" i="3"/>
  <c r="AN69" i="3"/>
  <c r="AM69" i="3"/>
  <c r="V69" i="3"/>
  <c r="Q69" i="3"/>
  <c r="J69" i="3"/>
  <c r="N69" i="3" s="1"/>
  <c r="D69" i="3"/>
  <c r="C69" i="3"/>
  <c r="AV68" i="3"/>
  <c r="AU68" i="3"/>
  <c r="AP68" i="3"/>
  <c r="AO68" i="3"/>
  <c r="AN68" i="3"/>
  <c r="AM68" i="3"/>
  <c r="AV67" i="3"/>
  <c r="AU67" i="3"/>
  <c r="AS67" i="3"/>
  <c r="AQ67" i="3"/>
  <c r="AP67" i="3"/>
  <c r="AO67" i="3"/>
  <c r="AN67" i="3"/>
  <c r="AM67" i="3"/>
  <c r="D67" i="3"/>
  <c r="C67" i="3"/>
  <c r="AV66" i="3"/>
  <c r="AU66" i="3"/>
  <c r="AP66" i="3"/>
  <c r="AO66" i="3"/>
  <c r="AN66" i="3"/>
  <c r="AM66" i="3"/>
  <c r="AV65" i="3"/>
  <c r="AU65" i="3"/>
  <c r="AS65" i="3"/>
  <c r="AQ65" i="3"/>
  <c r="AP65" i="3"/>
  <c r="AO65" i="3"/>
  <c r="AN65" i="3"/>
  <c r="AM65" i="3"/>
  <c r="D65" i="3"/>
  <c r="C65" i="3"/>
  <c r="AV64" i="3"/>
  <c r="AU64" i="3"/>
  <c r="AP64" i="3"/>
  <c r="AO64" i="3"/>
  <c r="AN64" i="3"/>
  <c r="AM64" i="3"/>
  <c r="AV63" i="3"/>
  <c r="AU63" i="3"/>
  <c r="AS63" i="3"/>
  <c r="AQ63" i="3"/>
  <c r="AP63" i="3"/>
  <c r="AO63" i="3"/>
  <c r="AN63" i="3"/>
  <c r="AM63" i="3"/>
  <c r="D63" i="3"/>
  <c r="C63" i="3"/>
  <c r="AV62" i="3"/>
  <c r="AU62" i="3"/>
  <c r="AP62" i="3"/>
  <c r="AO62" i="3"/>
  <c r="AN62" i="3"/>
  <c r="AM62" i="3"/>
  <c r="A62" i="3"/>
  <c r="AV61" i="3"/>
  <c r="AU61" i="3"/>
  <c r="AS61" i="3"/>
  <c r="AQ61" i="3"/>
  <c r="AP61" i="3"/>
  <c r="AO61" i="3"/>
  <c r="AN61" i="3"/>
  <c r="AM61" i="3"/>
  <c r="D61" i="3"/>
  <c r="C61" i="3"/>
  <c r="AV60" i="3"/>
  <c r="AU60" i="3"/>
  <c r="AP60" i="3"/>
  <c r="AO60" i="3"/>
  <c r="AN60" i="3"/>
  <c r="AM60" i="3"/>
  <c r="A60" i="3"/>
  <c r="A70" i="3" s="1"/>
  <c r="A72" i="3" s="1"/>
  <c r="AV59" i="3"/>
  <c r="AU59" i="3"/>
  <c r="AS59" i="3"/>
  <c r="AQ59" i="3"/>
  <c r="AP59" i="3"/>
  <c r="AO59" i="3"/>
  <c r="AN59" i="3"/>
  <c r="AM59" i="3"/>
  <c r="D59" i="3"/>
  <c r="C59" i="3"/>
  <c r="AV58" i="3"/>
  <c r="AU58" i="3"/>
  <c r="AP58" i="3"/>
  <c r="AO58" i="3"/>
  <c r="AN58" i="3"/>
  <c r="AM58" i="3"/>
  <c r="A58" i="3"/>
  <c r="AV57" i="3"/>
  <c r="AU57" i="3"/>
  <c r="AS57" i="3"/>
  <c r="AQ57" i="3"/>
  <c r="AP57" i="3"/>
  <c r="AO57" i="3"/>
  <c r="AN57" i="3"/>
  <c r="AM57" i="3"/>
  <c r="D57" i="3"/>
  <c r="C57" i="3"/>
  <c r="AV56" i="3"/>
  <c r="AU56" i="3"/>
  <c r="AP56" i="3"/>
  <c r="AO56" i="3"/>
  <c r="AN56" i="3"/>
  <c r="AM56" i="3"/>
  <c r="AV55" i="3"/>
  <c r="AU55" i="3"/>
  <c r="AS55" i="3"/>
  <c r="AQ55" i="3"/>
  <c r="AP55" i="3"/>
  <c r="AO55" i="3"/>
  <c r="AN55" i="3"/>
  <c r="AM55" i="3"/>
  <c r="D55" i="3"/>
  <c r="C55" i="3"/>
  <c r="AV54" i="3"/>
  <c r="AU54" i="3"/>
  <c r="AP54" i="3"/>
  <c r="AO54" i="3"/>
  <c r="AN54" i="3"/>
  <c r="AM54" i="3"/>
  <c r="A54" i="3"/>
  <c r="A56" i="3" s="1"/>
  <c r="AV53" i="3"/>
  <c r="AU53" i="3"/>
  <c r="AS53" i="3"/>
  <c r="AQ53" i="3"/>
  <c r="AP53" i="3"/>
  <c r="AO53" i="3"/>
  <c r="AN53" i="3"/>
  <c r="AM53" i="3"/>
  <c r="D53" i="3"/>
  <c r="C53" i="3"/>
  <c r="AV52" i="3"/>
  <c r="AU52" i="3"/>
  <c r="AP52" i="3"/>
  <c r="AO52" i="3"/>
  <c r="AN52" i="3"/>
  <c r="AM52" i="3"/>
  <c r="AV51" i="3"/>
  <c r="AU51" i="3"/>
  <c r="AS51" i="3"/>
  <c r="AQ51" i="3"/>
  <c r="AP51" i="3"/>
  <c r="AO51" i="3"/>
  <c r="AN51" i="3"/>
  <c r="AM51" i="3"/>
  <c r="D51" i="3"/>
  <c r="C51" i="3"/>
  <c r="AV50" i="3"/>
  <c r="AU50" i="3"/>
  <c r="AP50" i="3"/>
  <c r="AO50" i="3"/>
  <c r="AN50" i="3"/>
  <c r="AM50" i="3"/>
  <c r="A50" i="3"/>
  <c r="A52" i="3" s="1"/>
  <c r="AV49" i="3"/>
  <c r="AU49" i="3"/>
  <c r="AS49" i="3"/>
  <c r="AQ49" i="3"/>
  <c r="AP49" i="3"/>
  <c r="AO49" i="3"/>
  <c r="AN49" i="3"/>
  <c r="AM49" i="3"/>
  <c r="D49" i="3"/>
  <c r="C49" i="3"/>
  <c r="AV48" i="3"/>
  <c r="AU48" i="3"/>
  <c r="AP48" i="3"/>
  <c r="AO48" i="3"/>
  <c r="AN48" i="3"/>
  <c r="AM48" i="3"/>
  <c r="A48" i="3"/>
  <c r="AV47" i="3"/>
  <c r="AU47" i="3"/>
  <c r="AS47" i="3"/>
  <c r="AQ47" i="3"/>
  <c r="AP47" i="3"/>
  <c r="AO47" i="3"/>
  <c r="AN47" i="3"/>
  <c r="AM47" i="3"/>
  <c r="D47" i="3"/>
  <c r="C47" i="3"/>
  <c r="AV46" i="3"/>
  <c r="AU46" i="3"/>
  <c r="AP46" i="3"/>
  <c r="AO46" i="3"/>
  <c r="AN46" i="3"/>
  <c r="AM46" i="3"/>
  <c r="A46" i="3"/>
  <c r="AV45" i="3"/>
  <c r="AU45" i="3"/>
  <c r="AS45" i="3"/>
  <c r="AQ45" i="3"/>
  <c r="AP45" i="3"/>
  <c r="AO45" i="3"/>
  <c r="AN45" i="3"/>
  <c r="AM45" i="3"/>
  <c r="D45" i="3"/>
  <c r="C45" i="3"/>
  <c r="AV44" i="3"/>
  <c r="AU44" i="3"/>
  <c r="AP44" i="3"/>
  <c r="AO44" i="3"/>
  <c r="AN44" i="3"/>
  <c r="AM44" i="3"/>
  <c r="A44" i="3"/>
  <c r="AV43" i="3"/>
  <c r="AU43" i="3"/>
  <c r="AS43" i="3"/>
  <c r="AQ43" i="3"/>
  <c r="AP43" i="3"/>
  <c r="AO43" i="3"/>
  <c r="AN43" i="3"/>
  <c r="AM43" i="3"/>
  <c r="D43" i="3"/>
  <c r="C43" i="3"/>
  <c r="AV42" i="3"/>
  <c r="AU42" i="3"/>
  <c r="AP42" i="3"/>
  <c r="AO42" i="3"/>
  <c r="AN42" i="3"/>
  <c r="AM42" i="3"/>
  <c r="A42" i="3"/>
  <c r="AV41" i="3"/>
  <c r="AU41" i="3"/>
  <c r="AS41" i="3"/>
  <c r="AQ41" i="3"/>
  <c r="AP41" i="3"/>
  <c r="AO41" i="3"/>
  <c r="AN41" i="3"/>
  <c r="AM41" i="3"/>
  <c r="D41" i="3"/>
  <c r="C41" i="3"/>
  <c r="AV40" i="3"/>
  <c r="AU40" i="3"/>
  <c r="AP40" i="3"/>
  <c r="AO40" i="3"/>
  <c r="AN40" i="3"/>
  <c r="AM40" i="3"/>
  <c r="A40" i="3"/>
  <c r="AV39" i="3"/>
  <c r="AU39" i="3"/>
  <c r="AS39" i="3"/>
  <c r="AQ39" i="3"/>
  <c r="AP39" i="3"/>
  <c r="AO39" i="3"/>
  <c r="AN39" i="3"/>
  <c r="AM39" i="3"/>
  <c r="D39" i="3"/>
  <c r="C39" i="3"/>
  <c r="AV38" i="3"/>
  <c r="AU38" i="3"/>
  <c r="AP38" i="3"/>
  <c r="AO38" i="3"/>
  <c r="AN38" i="3"/>
  <c r="AM38" i="3"/>
  <c r="A38" i="3"/>
  <c r="AV37" i="3"/>
  <c r="AU37" i="3"/>
  <c r="AS37" i="3"/>
  <c r="AQ37" i="3"/>
  <c r="AP37" i="3"/>
  <c r="AO37" i="3"/>
  <c r="AN37" i="3"/>
  <c r="AM37" i="3"/>
  <c r="D37" i="3"/>
  <c r="C37" i="3"/>
  <c r="AV36" i="3"/>
  <c r="AU36" i="3"/>
  <c r="AP36" i="3"/>
  <c r="AO36" i="3"/>
  <c r="AN36" i="3"/>
  <c r="AM36" i="3"/>
  <c r="A36" i="3"/>
  <c r="AV35" i="3"/>
  <c r="AU35" i="3"/>
  <c r="AS35" i="3"/>
  <c r="AQ35" i="3"/>
  <c r="AP35" i="3"/>
  <c r="AO35" i="3"/>
  <c r="AN35" i="3"/>
  <c r="AM35" i="3"/>
  <c r="D35" i="3"/>
  <c r="C35" i="3"/>
  <c r="AV34" i="3"/>
  <c r="AU34" i="3"/>
  <c r="AP34" i="3"/>
  <c r="AO34" i="3"/>
  <c r="AN34" i="3"/>
  <c r="AM34" i="3"/>
  <c r="A34" i="3"/>
  <c r="AV33" i="3"/>
  <c r="AU33" i="3"/>
  <c r="AS33" i="3"/>
  <c r="AQ33" i="3"/>
  <c r="AP33" i="3"/>
  <c r="AO33" i="3"/>
  <c r="AN33" i="3"/>
  <c r="AM33" i="3"/>
  <c r="D33" i="3"/>
  <c r="C33" i="3"/>
  <c r="AV32" i="3"/>
  <c r="AU32" i="3"/>
  <c r="AP32" i="3"/>
  <c r="AO32" i="3"/>
  <c r="AN32" i="3"/>
  <c r="AM32" i="3"/>
  <c r="AV31" i="3"/>
  <c r="AU31" i="3"/>
  <c r="AS31" i="3"/>
  <c r="AQ31" i="3"/>
  <c r="AP31" i="3"/>
  <c r="AO31" i="3"/>
  <c r="AN31" i="3"/>
  <c r="AM31" i="3"/>
  <c r="D31" i="3"/>
  <c r="C31" i="3"/>
  <c r="AV30" i="3"/>
  <c r="AU30" i="3"/>
  <c r="AP30" i="3"/>
  <c r="AO30" i="3"/>
  <c r="AN30" i="3"/>
  <c r="AM30" i="3"/>
  <c r="AV29" i="3"/>
  <c r="AU29" i="3"/>
  <c r="AS29" i="3"/>
  <c r="AQ29" i="3"/>
  <c r="AP29" i="3"/>
  <c r="AO29" i="3"/>
  <c r="AN29" i="3"/>
  <c r="AM29" i="3"/>
  <c r="D29" i="3"/>
  <c r="C29" i="3"/>
  <c r="AV28" i="3"/>
  <c r="AU28" i="3"/>
  <c r="AP28" i="3"/>
  <c r="AO28" i="3"/>
  <c r="AN28" i="3"/>
  <c r="AM28" i="3"/>
  <c r="AV27" i="3"/>
  <c r="AU27" i="3"/>
  <c r="AS27" i="3"/>
  <c r="AQ27" i="3"/>
  <c r="AP27" i="3"/>
  <c r="AO27" i="3"/>
  <c r="AN27" i="3"/>
  <c r="AM27" i="3"/>
  <c r="D27" i="3"/>
  <c r="C27" i="3"/>
  <c r="AV26" i="3"/>
  <c r="AU26" i="3"/>
  <c r="AP26" i="3"/>
  <c r="AO26" i="3"/>
  <c r="AN26" i="3"/>
  <c r="AM26" i="3"/>
  <c r="A26" i="3"/>
  <c r="AV25" i="3"/>
  <c r="AU25" i="3"/>
  <c r="AS25" i="3"/>
  <c r="AQ25" i="3"/>
  <c r="AP25" i="3"/>
  <c r="AO25" i="3"/>
  <c r="AN25" i="3"/>
  <c r="AM25" i="3"/>
  <c r="D25" i="3"/>
  <c r="C25" i="3"/>
  <c r="AV24" i="3"/>
  <c r="AU24" i="3"/>
  <c r="AP24" i="3"/>
  <c r="AO24" i="3"/>
  <c r="AN24" i="3"/>
  <c r="AM24" i="3"/>
  <c r="A24" i="3"/>
  <c r="A28" i="3" s="1"/>
  <c r="A30" i="3" s="1"/>
  <c r="A32" i="3" s="1"/>
  <c r="AV23" i="3"/>
  <c r="AU23" i="3"/>
  <c r="AS23" i="3"/>
  <c r="AQ23" i="3"/>
  <c r="AP23" i="3"/>
  <c r="AO23" i="3"/>
  <c r="AN23" i="3"/>
  <c r="AM23" i="3"/>
  <c r="D23" i="3"/>
  <c r="C23" i="3"/>
  <c r="AV22" i="3"/>
  <c r="AU22" i="3"/>
  <c r="AP22" i="3"/>
  <c r="AO22" i="3"/>
  <c r="AN22" i="3"/>
  <c r="AM22" i="3"/>
  <c r="A22" i="3"/>
  <c r="AV21" i="3"/>
  <c r="AU21" i="3"/>
  <c r="AS21" i="3"/>
  <c r="AQ21" i="3"/>
  <c r="AP21" i="3"/>
  <c r="AO21" i="3"/>
  <c r="AN21" i="3"/>
  <c r="AM21" i="3"/>
  <c r="D21" i="3"/>
  <c r="C21" i="3"/>
  <c r="AV20" i="3"/>
  <c r="AU20" i="3"/>
  <c r="AP20" i="3"/>
  <c r="AO20" i="3"/>
  <c r="AN20" i="3"/>
  <c r="AM20" i="3"/>
  <c r="AV19" i="3"/>
  <c r="AU19" i="3"/>
  <c r="AS19" i="3"/>
  <c r="AQ19" i="3"/>
  <c r="AP19" i="3"/>
  <c r="AO19" i="3"/>
  <c r="AN19" i="3"/>
  <c r="AM19" i="3"/>
  <c r="D19" i="3"/>
  <c r="C19" i="3"/>
  <c r="AV18" i="3"/>
  <c r="AU18" i="3"/>
  <c r="AP18" i="3"/>
  <c r="AO18" i="3"/>
  <c r="AN18" i="3"/>
  <c r="AM18" i="3"/>
  <c r="AV17" i="3"/>
  <c r="AU17" i="3"/>
  <c r="AS17" i="3"/>
  <c r="AQ17" i="3"/>
  <c r="AP17" i="3"/>
  <c r="AO17" i="3"/>
  <c r="AN17" i="3"/>
  <c r="AM17" i="3"/>
  <c r="D17" i="3"/>
  <c r="C17" i="3"/>
  <c r="AV16" i="3"/>
  <c r="AU16" i="3"/>
  <c r="AP16" i="3"/>
  <c r="AO16" i="3"/>
  <c r="AN16" i="3"/>
  <c r="AM16" i="3"/>
  <c r="AV15" i="3"/>
  <c r="AU15" i="3"/>
  <c r="AS15" i="3"/>
  <c r="AQ15" i="3"/>
  <c r="AP15" i="3"/>
  <c r="AO15" i="3"/>
  <c r="AN15" i="3"/>
  <c r="AM15" i="3"/>
  <c r="D15" i="3"/>
  <c r="C15" i="3"/>
  <c r="AV14" i="3"/>
  <c r="AU14" i="3"/>
  <c r="AP14" i="3"/>
  <c r="AO14" i="3"/>
  <c r="AN14" i="3"/>
  <c r="AM14" i="3"/>
  <c r="A14" i="3"/>
  <c r="A16" i="3" s="1"/>
  <c r="A18" i="3" s="1"/>
  <c r="A20" i="3" s="1"/>
  <c r="AV13" i="3"/>
  <c r="AU13" i="3"/>
  <c r="AS13" i="3"/>
  <c r="AQ13" i="3"/>
  <c r="AP13" i="3"/>
  <c r="AO13" i="3"/>
  <c r="AN13" i="3"/>
  <c r="AM13" i="3"/>
  <c r="D13" i="3"/>
  <c r="C13" i="3"/>
  <c r="A13" i="3"/>
  <c r="A15" i="3" s="1"/>
  <c r="A17" i="3" s="1"/>
  <c r="A19" i="3" s="1"/>
  <c r="A21" i="3" s="1"/>
  <c r="A23" i="3" s="1"/>
  <c r="A25" i="3" s="1"/>
  <c r="A27" i="3" s="1"/>
  <c r="A29" i="3" s="1"/>
  <c r="A31" i="3" s="1"/>
  <c r="A33" i="3" s="1"/>
  <c r="A35" i="3" s="1"/>
  <c r="A37" i="3" s="1"/>
  <c r="A39" i="3" s="1"/>
  <c r="A41" i="3" s="1"/>
  <c r="AV12" i="3"/>
  <c r="AU12" i="3"/>
  <c r="AP12" i="3"/>
  <c r="AO12" i="3"/>
  <c r="AN12" i="3"/>
  <c r="AM12" i="3"/>
  <c r="A12" i="3"/>
  <c r="AV11" i="3"/>
  <c r="AU11" i="3"/>
  <c r="AS11" i="3"/>
  <c r="AQ11" i="3"/>
  <c r="AP11" i="3"/>
  <c r="AO11" i="3"/>
  <c r="AN11" i="3"/>
  <c r="AM11" i="3"/>
  <c r="D11" i="3"/>
  <c r="C11" i="3"/>
  <c r="AV10" i="3"/>
  <c r="AU10" i="3"/>
  <c r="AP10" i="3"/>
  <c r="AO10" i="3"/>
  <c r="AN10" i="3"/>
  <c r="AM10" i="3"/>
  <c r="A10" i="3"/>
  <c r="AV9" i="3"/>
  <c r="AU9" i="3"/>
  <c r="AS9" i="3"/>
  <c r="AQ9" i="3"/>
  <c r="AP9" i="3"/>
  <c r="AO9" i="3"/>
  <c r="AN9" i="3"/>
  <c r="AM9" i="3"/>
  <c r="D9" i="3"/>
  <c r="C9" i="3"/>
  <c r="AV8" i="3"/>
  <c r="AU8" i="3"/>
  <c r="AP8" i="3"/>
  <c r="AO8" i="3"/>
  <c r="AN8" i="3"/>
  <c r="AM8" i="3"/>
  <c r="AV7" i="3"/>
  <c r="AU7" i="3"/>
  <c r="AS7" i="3"/>
  <c r="AQ7" i="3"/>
  <c r="AP7" i="3"/>
  <c r="AO7" i="3"/>
  <c r="AN7" i="3"/>
  <c r="AM7" i="3"/>
  <c r="D7" i="3"/>
  <c r="C7" i="3"/>
  <c r="AV6" i="3"/>
  <c r="AU6" i="3"/>
  <c r="AP6" i="3"/>
  <c r="AO6" i="3"/>
  <c r="AN6" i="3"/>
  <c r="AM6" i="3"/>
  <c r="A6" i="3"/>
  <c r="A8" i="3" s="1"/>
  <c r="AV5" i="3"/>
  <c r="AU5" i="3"/>
  <c r="AS5" i="3"/>
  <c r="AQ5" i="3"/>
  <c r="AP5" i="3"/>
  <c r="AO5" i="3"/>
  <c r="AN5" i="3"/>
  <c r="AM5" i="3"/>
  <c r="D5" i="3"/>
  <c r="C5" i="3"/>
  <c r="A5" i="3"/>
  <c r="A7" i="3" s="1"/>
  <c r="A9" i="3" s="1"/>
  <c r="A11" i="3" s="1"/>
  <c r="AV4" i="3"/>
  <c r="AU4" i="3"/>
  <c r="AP4" i="3"/>
  <c r="AO4" i="3"/>
  <c r="AN4" i="3"/>
  <c r="AM4" i="3"/>
  <c r="A4" i="3"/>
  <c r="AV3" i="3"/>
  <c r="AU3" i="3"/>
  <c r="AS3" i="3"/>
  <c r="AQ3" i="3"/>
  <c r="AP3" i="3"/>
  <c r="AO3" i="3"/>
  <c r="AN3" i="3"/>
  <c r="AM3" i="3"/>
  <c r="D3" i="3"/>
  <c r="C3" i="3"/>
  <c r="Z69" i="4" l="1"/>
  <c r="Q9" i="6"/>
  <c r="Q34" i="5"/>
  <c r="Q4" i="5"/>
  <c r="N73" i="3"/>
  <c r="O73" i="3" s="1"/>
  <c r="W73" i="3"/>
  <c r="O12" i="5"/>
  <c r="Q38" i="5"/>
  <c r="P12" i="5"/>
  <c r="W75" i="3"/>
  <c r="P74" i="4"/>
  <c r="M4" i="5"/>
  <c r="N36" i="5"/>
  <c r="Q10" i="5"/>
  <c r="O36" i="5"/>
  <c r="M69" i="4"/>
  <c r="L69" i="4" s="1"/>
  <c r="Y69" i="3"/>
  <c r="AA71" i="3"/>
  <c r="N159" i="3"/>
  <c r="O159" i="3" s="1"/>
  <c r="M36" i="5"/>
  <c r="Q12" i="5"/>
  <c r="Q30" i="5"/>
  <c r="N3" i="6"/>
  <c r="N71" i="3"/>
  <c r="O71" i="3" s="1"/>
  <c r="U71" i="3"/>
  <c r="W79" i="3"/>
  <c r="M12" i="5"/>
  <c r="J9" i="6"/>
  <c r="I4" i="5"/>
  <c r="Q25" i="5"/>
  <c r="N12" i="5"/>
  <c r="S73" i="3"/>
  <c r="X77" i="3"/>
  <c r="M305" i="4"/>
  <c r="N305" i="4" s="1"/>
  <c r="O305" i="4" s="1"/>
  <c r="N6" i="5"/>
  <c r="P21" i="5"/>
  <c r="U73" i="3"/>
  <c r="Q21" i="5"/>
  <c r="Q36" i="5"/>
  <c r="Z71" i="4"/>
  <c r="Q17" i="5"/>
  <c r="P30" i="5"/>
  <c r="P36" i="5"/>
  <c r="AA73" i="3"/>
  <c r="R69" i="4"/>
  <c r="U79" i="3"/>
  <c r="P4" i="5"/>
  <c r="M3" i="6"/>
  <c r="X75" i="3"/>
  <c r="N77" i="3"/>
  <c r="O77" i="3" s="1"/>
  <c r="I6" i="5"/>
  <c r="O21" i="5"/>
  <c r="Q143" i="4"/>
  <c r="R143" i="4" s="1"/>
  <c r="N143" i="4"/>
  <c r="O143" i="4" s="1"/>
  <c r="P79" i="3"/>
  <c r="Q5" i="6"/>
  <c r="I25" i="5"/>
  <c r="Q19" i="5"/>
  <c r="N5" i="6"/>
  <c r="X73" i="3"/>
  <c r="Z75" i="3"/>
  <c r="Y79" i="3"/>
  <c r="T69" i="4"/>
  <c r="O6" i="5"/>
  <c r="I14" i="5"/>
  <c r="M19" i="5"/>
  <c r="O32" i="5"/>
  <c r="O5" i="6"/>
  <c r="Q7" i="6"/>
  <c r="Z73" i="3"/>
  <c r="AA79" i="3"/>
  <c r="P6" i="5"/>
  <c r="K14" i="5"/>
  <c r="N19" i="5"/>
  <c r="M25" i="5"/>
  <c r="P32" i="5"/>
  <c r="I38" i="5"/>
  <c r="P5" i="6"/>
  <c r="J7" i="6"/>
  <c r="K19" i="5"/>
  <c r="M71" i="4"/>
  <c r="L71" i="4" s="1"/>
  <c r="X79" i="3"/>
  <c r="V69" i="4"/>
  <c r="K4" i="5"/>
  <c r="Q6" i="5"/>
  <c r="I10" i="5"/>
  <c r="O19" i="5"/>
  <c r="Q32" i="5"/>
  <c r="O14" i="5"/>
  <c r="P19" i="5"/>
  <c r="P14" i="5"/>
  <c r="I21" i="5"/>
  <c r="M30" i="5"/>
  <c r="I34" i="5"/>
  <c r="N38" i="5"/>
  <c r="M9" i="6"/>
  <c r="K25" i="5"/>
  <c r="P71" i="3"/>
  <c r="N4" i="5"/>
  <c r="M10" i="5"/>
  <c r="I12" i="5"/>
  <c r="Q14" i="5"/>
  <c r="I17" i="5"/>
  <c r="N30" i="5"/>
  <c r="O38" i="5"/>
  <c r="N9" i="6"/>
  <c r="P73" i="3"/>
  <c r="N79" i="3"/>
  <c r="O79" i="3" s="1"/>
  <c r="N300" i="3"/>
  <c r="O300" i="3" s="1"/>
  <c r="K17" i="5"/>
  <c r="N21" i="5"/>
  <c r="O30" i="5"/>
  <c r="P38" i="5"/>
  <c r="O9" i="6"/>
  <c r="A43" i="3"/>
  <c r="A45" i="3"/>
  <c r="A47" i="3" s="1"/>
  <c r="A49" i="3" s="1"/>
  <c r="A51" i="3" s="1"/>
  <c r="A53" i="3" s="1"/>
  <c r="A55" i="3" s="1"/>
  <c r="A57" i="3" s="1"/>
  <c r="A59" i="3" s="1"/>
  <c r="O109" i="3"/>
  <c r="P154" i="3"/>
  <c r="M154" i="3"/>
  <c r="P158" i="3"/>
  <c r="O184" i="3"/>
  <c r="O248" i="3"/>
  <c r="O111" i="3"/>
  <c r="O113" i="3"/>
  <c r="O154" i="3"/>
  <c r="O160" i="3"/>
  <c r="O164" i="3"/>
  <c r="O190" i="3"/>
  <c r="Q157" i="4"/>
  <c r="R157" i="4" s="1"/>
  <c r="N157" i="4"/>
  <c r="O157" i="4" s="1"/>
  <c r="O234" i="3"/>
  <c r="N263" i="3"/>
  <c r="M263" i="3"/>
  <c r="O69" i="3"/>
  <c r="O139" i="3"/>
  <c r="O269" i="3"/>
  <c r="O301" i="3"/>
  <c r="O125" i="3"/>
  <c r="O141" i="3"/>
  <c r="O236" i="3"/>
  <c r="A68" i="3"/>
  <c r="A64" i="3"/>
  <c r="O122" i="3"/>
  <c r="P167" i="3"/>
  <c r="L167" i="3"/>
  <c r="O288" i="3"/>
  <c r="O116" i="3"/>
  <c r="O120" i="3"/>
  <c r="O204" i="3"/>
  <c r="O260" i="3"/>
  <c r="Q109" i="4"/>
  <c r="R109" i="4" s="1"/>
  <c r="O187" i="3"/>
  <c r="O151" i="3"/>
  <c r="O206" i="3"/>
  <c r="O112" i="3"/>
  <c r="O129" i="3"/>
  <c r="P174" i="3"/>
  <c r="M174" i="3"/>
  <c r="O257" i="3"/>
  <c r="O174" i="3"/>
  <c r="O210" i="3"/>
  <c r="O135" i="3"/>
  <c r="N162" i="3"/>
  <c r="M162" i="3"/>
  <c r="O246" i="3"/>
  <c r="O287" i="3"/>
  <c r="O293" i="3"/>
  <c r="P69" i="3"/>
  <c r="Y75" i="3"/>
  <c r="AA77" i="3"/>
  <c r="N304" i="3"/>
  <c r="M138" i="4"/>
  <c r="K138" i="4"/>
  <c r="Q184" i="4"/>
  <c r="R184" i="4" s="1"/>
  <c r="N184" i="4"/>
  <c r="O184" i="4" s="1"/>
  <c r="Q170" i="4"/>
  <c r="R170" i="4" s="1"/>
  <c r="N170" i="4"/>
  <c r="O170" i="4" s="1"/>
  <c r="S69" i="3"/>
  <c r="W71" i="3"/>
  <c r="AA75" i="3"/>
  <c r="S79" i="3"/>
  <c r="O277" i="3"/>
  <c r="Q107" i="4"/>
  <c r="R107" i="4" s="1"/>
  <c r="N107" i="4"/>
  <c r="O107" i="4" s="1"/>
  <c r="Q120" i="4"/>
  <c r="R120" i="4" s="1"/>
  <c r="N120" i="4"/>
  <c r="O120" i="4" s="1"/>
  <c r="N150" i="4"/>
  <c r="O150" i="4" s="1"/>
  <c r="Q150" i="4"/>
  <c r="R150" i="4" s="1"/>
  <c r="Q165" i="4"/>
  <c r="R165" i="4" s="1"/>
  <c r="N165" i="4"/>
  <c r="O165" i="4" s="1"/>
  <c r="N180" i="4"/>
  <c r="O180" i="4" s="1"/>
  <c r="Q180" i="4"/>
  <c r="R180" i="4" s="1"/>
  <c r="A66" i="3"/>
  <c r="U69" i="3"/>
  <c r="X71" i="3"/>
  <c r="N75" i="3"/>
  <c r="P77" i="3"/>
  <c r="N158" i="3"/>
  <c r="M105" i="4"/>
  <c r="K105" i="4"/>
  <c r="N129" i="4"/>
  <c r="O129" i="4" s="1"/>
  <c r="Q129" i="4"/>
  <c r="R129" i="4" s="1"/>
  <c r="Q155" i="4"/>
  <c r="R155" i="4" s="1"/>
  <c r="N155" i="4"/>
  <c r="O155" i="4" s="1"/>
  <c r="N199" i="4"/>
  <c r="O199" i="4" s="1"/>
  <c r="L199" i="4"/>
  <c r="Q199" i="4" s="1"/>
  <c r="R199" i="4" s="1"/>
  <c r="Y71" i="3"/>
  <c r="M109" i="3"/>
  <c r="M119" i="3"/>
  <c r="O119" i="3" s="1"/>
  <c r="M142" i="3"/>
  <c r="O142" i="3" s="1"/>
  <c r="L170" i="3"/>
  <c r="M239" i="3"/>
  <c r="O239" i="3" s="1"/>
  <c r="M287" i="3"/>
  <c r="O290" i="3"/>
  <c r="O298" i="3"/>
  <c r="O303" i="3"/>
  <c r="A17" i="4"/>
  <c r="A19" i="4" s="1"/>
  <c r="A13" i="4"/>
  <c r="A15" i="4" s="1"/>
  <c r="F95" i="4"/>
  <c r="E95" i="4"/>
  <c r="E96" i="4" s="1"/>
  <c r="F94" i="4"/>
  <c r="E94" i="4"/>
  <c r="N103" i="4"/>
  <c r="Q132" i="4"/>
  <c r="R132" i="4" s="1"/>
  <c r="N132" i="4"/>
  <c r="O132" i="4" s="1"/>
  <c r="W69" i="3"/>
  <c r="Z71" i="3"/>
  <c r="P75" i="3"/>
  <c r="S77" i="3"/>
  <c r="M153" i="3"/>
  <c r="O153" i="3" s="1"/>
  <c r="Q163" i="4"/>
  <c r="R163" i="4" s="1"/>
  <c r="N163" i="4"/>
  <c r="O163" i="4" s="1"/>
  <c r="X69" i="3"/>
  <c r="U77" i="3"/>
  <c r="M74" i="4"/>
  <c r="N110" i="4"/>
  <c r="O110" i="4" s="1"/>
  <c r="Q110" i="4"/>
  <c r="R110" i="4" s="1"/>
  <c r="Q114" i="4"/>
  <c r="R114" i="4" s="1"/>
  <c r="N114" i="4"/>
  <c r="O114" i="4" s="1"/>
  <c r="N146" i="4"/>
  <c r="O146" i="4" s="1"/>
  <c r="Q146" i="4"/>
  <c r="R146" i="4" s="1"/>
  <c r="Q185" i="4"/>
  <c r="R185" i="4" s="1"/>
  <c r="N185" i="4"/>
  <c r="O185" i="4" s="1"/>
  <c r="Q106" i="4"/>
  <c r="R106" i="4" s="1"/>
  <c r="N106" i="4"/>
  <c r="O106" i="4" s="1"/>
  <c r="M125" i="4"/>
  <c r="K125" i="4"/>
  <c r="Q171" i="4"/>
  <c r="R171" i="4" s="1"/>
  <c r="N171" i="4"/>
  <c r="O171" i="4" s="1"/>
  <c r="Z69" i="3"/>
  <c r="U75" i="3"/>
  <c r="W77" i="3"/>
  <c r="K113" i="3"/>
  <c r="P113" i="3" s="1"/>
  <c r="M161" i="3"/>
  <c r="O161" i="3" s="1"/>
  <c r="M182" i="3"/>
  <c r="O182" i="3" s="1"/>
  <c r="M242" i="3"/>
  <c r="O242" i="3" s="1"/>
  <c r="M246" i="3"/>
  <c r="M249" i="3"/>
  <c r="O249" i="3" s="1"/>
  <c r="O273" i="3"/>
  <c r="O286" i="3"/>
  <c r="N69" i="4"/>
  <c r="O69" i="4" s="1"/>
  <c r="Q156" i="4"/>
  <c r="R156" i="4" s="1"/>
  <c r="N156" i="4"/>
  <c r="O156" i="4" s="1"/>
  <c r="AA69" i="3"/>
  <c r="I142" i="4"/>
  <c r="M142" i="4"/>
  <c r="Q169" i="4"/>
  <c r="R169" i="4" s="1"/>
  <c r="N169" i="4"/>
  <c r="O169" i="4" s="1"/>
  <c r="Y77" i="3"/>
  <c r="M121" i="3"/>
  <c r="O121" i="3" s="1"/>
  <c r="M160" i="3"/>
  <c r="O267" i="3"/>
  <c r="N299" i="3"/>
  <c r="M299" i="3"/>
  <c r="N102" i="4"/>
  <c r="Q140" i="4"/>
  <c r="R140" i="4" s="1"/>
  <c r="N140" i="4"/>
  <c r="O140" i="4" s="1"/>
  <c r="Q149" i="4"/>
  <c r="R149" i="4" s="1"/>
  <c r="N149" i="4"/>
  <c r="O149" i="4" s="1"/>
  <c r="Q159" i="4"/>
  <c r="R159" i="4" s="1"/>
  <c r="N159" i="4"/>
  <c r="O159" i="4" s="1"/>
  <c r="N196" i="4"/>
  <c r="O196" i="4" s="1"/>
  <c r="O264" i="3"/>
  <c r="Q115" i="4"/>
  <c r="R115" i="4" s="1"/>
  <c r="N172" i="4"/>
  <c r="O172" i="4" s="1"/>
  <c r="Q182" i="4"/>
  <c r="R182" i="4" s="1"/>
  <c r="N182" i="4"/>
  <c r="O182" i="4" s="1"/>
  <c r="N202" i="4"/>
  <c r="O202" i="4" s="1"/>
  <c r="P23" i="5"/>
  <c r="O23" i="5"/>
  <c r="N23" i="5"/>
  <c r="M23" i="5"/>
  <c r="K23" i="5"/>
  <c r="Q153" i="4"/>
  <c r="R153" i="4" s="1"/>
  <c r="Q195" i="4"/>
  <c r="R195" i="4" s="1"/>
  <c r="Q198" i="4"/>
  <c r="R198" i="4" s="1"/>
  <c r="P8" i="5"/>
  <c r="O8" i="5"/>
  <c r="N8" i="5"/>
  <c r="M8" i="5"/>
  <c r="K8" i="5"/>
  <c r="R71" i="4"/>
  <c r="Q122" i="4"/>
  <c r="R122" i="4" s="1"/>
  <c r="N192" i="4"/>
  <c r="O192" i="4" s="1"/>
  <c r="M204" i="4"/>
  <c r="K204" i="4"/>
  <c r="L204" i="4" s="1"/>
  <c r="M207" i="4"/>
  <c r="K207" i="4"/>
  <c r="L207" i="4" s="1"/>
  <c r="M210" i="4"/>
  <c r="K210" i="4"/>
  <c r="L210" i="4" s="1"/>
  <c r="I8" i="5"/>
  <c r="Q23" i="5"/>
  <c r="T71" i="4"/>
  <c r="K115" i="4"/>
  <c r="N115" i="4" s="1"/>
  <c r="O115" i="4" s="1"/>
  <c r="N162" i="4"/>
  <c r="O162" i="4" s="1"/>
  <c r="N168" i="4"/>
  <c r="O168" i="4" s="1"/>
  <c r="M179" i="4"/>
  <c r="N195" i="4"/>
  <c r="O195" i="4" s="1"/>
  <c r="M324" i="4"/>
  <c r="K324" i="4"/>
  <c r="K328" i="4"/>
  <c r="N328" i="4" s="1"/>
  <c r="O328" i="4" s="1"/>
  <c r="M128" i="4"/>
  <c r="K128" i="4"/>
  <c r="M145" i="4"/>
  <c r="K145" i="4"/>
  <c r="Q8" i="5"/>
  <c r="V71" i="4"/>
  <c r="N124" i="4"/>
  <c r="O124" i="4" s="1"/>
  <c r="K131" i="4"/>
  <c r="N131" i="4" s="1"/>
  <c r="O131" i="4" s="1"/>
  <c r="N141" i="4"/>
  <c r="O141" i="4" s="1"/>
  <c r="N158" i="4"/>
  <c r="O158" i="4" s="1"/>
  <c r="N164" i="4"/>
  <c r="O164" i="4" s="1"/>
  <c r="Q200" i="4"/>
  <c r="R200" i="4" s="1"/>
  <c r="W71" i="4"/>
  <c r="Q197" i="4"/>
  <c r="R197" i="4" s="1"/>
  <c r="N197" i="4"/>
  <c r="O197" i="4" s="1"/>
  <c r="M206" i="4"/>
  <c r="K206" i="4"/>
  <c r="L206" i="4" s="1"/>
  <c r="P334" i="4"/>
  <c r="W69" i="4"/>
  <c r="X71" i="4"/>
  <c r="K111" i="4"/>
  <c r="N111" i="4" s="1"/>
  <c r="O111" i="4" s="1"/>
  <c r="N113" i="4"/>
  <c r="O113" i="4" s="1"/>
  <c r="N119" i="4"/>
  <c r="O119" i="4" s="1"/>
  <c r="N151" i="4"/>
  <c r="O151" i="4" s="1"/>
  <c r="Q186" i="4"/>
  <c r="R186" i="4" s="1"/>
  <c r="M190" i="4"/>
  <c r="K190" i="4"/>
  <c r="L190" i="4" s="1"/>
  <c r="Q194" i="4"/>
  <c r="R194" i="4" s="1"/>
  <c r="N194" i="4"/>
  <c r="O194" i="4" s="1"/>
  <c r="M309" i="3"/>
  <c r="O309" i="3" s="1"/>
  <c r="X69" i="4"/>
  <c r="K71" i="4"/>
  <c r="Y71" i="4"/>
  <c r="P214" i="4"/>
  <c r="Q161" i="4"/>
  <c r="R161" i="4" s="1"/>
  <c r="Q167" i="4"/>
  <c r="R167" i="4" s="1"/>
  <c r="Q178" i="4"/>
  <c r="R178" i="4" s="1"/>
  <c r="Q196" i="4"/>
  <c r="R196" i="4" s="1"/>
  <c r="Y69" i="4"/>
  <c r="K109" i="4"/>
  <c r="N109" i="4" s="1"/>
  <c r="O109" i="4" s="1"/>
  <c r="M130" i="4"/>
  <c r="N133" i="4"/>
  <c r="O133" i="4" s="1"/>
  <c r="N147" i="4"/>
  <c r="O147" i="4" s="1"/>
  <c r="L172" i="4"/>
  <c r="Q172" i="4" s="1"/>
  <c r="R172" i="4" s="1"/>
  <c r="L177" i="4"/>
  <c r="Q177" i="4" s="1"/>
  <c r="R177" i="4" s="1"/>
  <c r="K196" i="4"/>
  <c r="L196" i="4" s="1"/>
  <c r="N323" i="4"/>
  <c r="O323" i="4" s="1"/>
  <c r="Q3" i="6"/>
  <c r="M118" i="4"/>
  <c r="K118" i="4"/>
  <c r="M189" i="4"/>
  <c r="K189" i="4"/>
  <c r="L189" i="4" s="1"/>
  <c r="N193" i="4"/>
  <c r="O193" i="4" s="1"/>
  <c r="L193" i="4"/>
  <c r="Q193" i="4" s="1"/>
  <c r="R193" i="4" s="1"/>
  <c r="M205" i="4"/>
  <c r="K205" i="4"/>
  <c r="L205" i="4" s="1"/>
  <c r="M211" i="4"/>
  <c r="K211" i="4"/>
  <c r="L211" i="4" s="1"/>
  <c r="N327" i="4"/>
  <c r="O327" i="4" s="1"/>
  <c r="N10" i="5"/>
  <c r="N17" i="5"/>
  <c r="N25" i="5"/>
  <c r="O3" i="6"/>
  <c r="M7" i="6"/>
  <c r="O10" i="5"/>
  <c r="O17" i="5"/>
  <c r="O25" i="5"/>
  <c r="I32" i="5"/>
  <c r="M34" i="5"/>
  <c r="P3" i="6"/>
  <c r="N7" i="6"/>
  <c r="K327" i="4"/>
  <c r="P10" i="5"/>
  <c r="P17" i="5"/>
  <c r="P25" i="5"/>
  <c r="N34" i="5"/>
  <c r="O7" i="6"/>
  <c r="K323" i="4"/>
  <c r="K6" i="5"/>
  <c r="K21" i="5"/>
  <c r="O34" i="5"/>
  <c r="J5" i="6"/>
  <c r="P7" i="6"/>
  <c r="K127" i="4"/>
  <c r="N127" i="4" s="1"/>
  <c r="O127" i="4" s="1"/>
  <c r="K144" i="4"/>
  <c r="N144" i="4" s="1"/>
  <c r="O144" i="4" s="1"/>
  <c r="K316" i="4"/>
  <c r="K334" i="4" s="1"/>
  <c r="M14" i="5"/>
  <c r="M32" i="5"/>
  <c r="P34" i="5"/>
  <c r="M334" i="4" l="1"/>
  <c r="N334" i="4" s="1"/>
  <c r="O334" i="4" s="1"/>
  <c r="L74" i="4"/>
  <c r="D79" i="4" s="1"/>
  <c r="F85" i="4"/>
  <c r="N71" i="4"/>
  <c r="O71" i="4" s="1"/>
  <c r="K74" i="4"/>
  <c r="N74" i="4" s="1"/>
  <c r="O74" i="4" s="1"/>
  <c r="N170" i="3"/>
  <c r="M170" i="3"/>
  <c r="K214" i="4"/>
  <c r="O299" i="3"/>
  <c r="F96" i="4"/>
  <c r="O75" i="3"/>
  <c r="M82" i="3"/>
  <c r="N206" i="4"/>
  <c r="O206" i="4" s="1"/>
  <c r="Q206" i="4"/>
  <c r="R206" i="4" s="1"/>
  <c r="Q189" i="4"/>
  <c r="R189" i="4" s="1"/>
  <c r="N189" i="4"/>
  <c r="O189" i="4" s="1"/>
  <c r="N190" i="4"/>
  <c r="O190" i="4" s="1"/>
  <c r="Q190" i="4"/>
  <c r="R190" i="4" s="1"/>
  <c r="N128" i="4"/>
  <c r="O128" i="4" s="1"/>
  <c r="Q128" i="4"/>
  <c r="R128" i="4" s="1"/>
  <c r="A29" i="4"/>
  <c r="A31" i="4" s="1"/>
  <c r="A33" i="4" s="1"/>
  <c r="A35" i="4" s="1"/>
  <c r="A37" i="4" s="1"/>
  <c r="A39" i="4" s="1"/>
  <c r="A21" i="4"/>
  <c r="A23" i="4" s="1"/>
  <c r="A25" i="4" s="1"/>
  <c r="A27" i="4" s="1"/>
  <c r="N145" i="4"/>
  <c r="O145" i="4" s="1"/>
  <c r="Q145" i="4"/>
  <c r="R145" i="4" s="1"/>
  <c r="G95" i="4"/>
  <c r="Q105" i="4"/>
  <c r="R105" i="4" s="1"/>
  <c r="N105" i="4"/>
  <c r="O105" i="4" s="1"/>
  <c r="Q138" i="4"/>
  <c r="R138" i="4" s="1"/>
  <c r="N138" i="4"/>
  <c r="O138" i="4" s="1"/>
  <c r="Q118" i="4"/>
  <c r="R118" i="4" s="1"/>
  <c r="N118" i="4"/>
  <c r="O118" i="4" s="1"/>
  <c r="N210" i="4"/>
  <c r="O210" i="4" s="1"/>
  <c r="Q210" i="4"/>
  <c r="R210" i="4" s="1"/>
  <c r="N211" i="4"/>
  <c r="O211" i="4" s="1"/>
  <c r="Q211" i="4"/>
  <c r="R211" i="4" s="1"/>
  <c r="N324" i="4"/>
  <c r="O324" i="4" s="1"/>
  <c r="N316" i="4"/>
  <c r="O316" i="4" s="1"/>
  <c r="O304" i="3"/>
  <c r="N207" i="4"/>
  <c r="O207" i="4" s="1"/>
  <c r="Q207" i="4"/>
  <c r="R207" i="4" s="1"/>
  <c r="Q142" i="4"/>
  <c r="R142" i="4" s="1"/>
  <c r="N142" i="4"/>
  <c r="O142" i="4" s="1"/>
  <c r="O162" i="3"/>
  <c r="N205" i="4"/>
  <c r="O205" i="4" s="1"/>
  <c r="Q205" i="4"/>
  <c r="R205" i="4" s="1"/>
  <c r="N167" i="3"/>
  <c r="M167" i="3"/>
  <c r="O263" i="3"/>
  <c r="N179" i="4"/>
  <c r="O179" i="4" s="1"/>
  <c r="Q179" i="4"/>
  <c r="R179" i="4" s="1"/>
  <c r="E84" i="4" s="1"/>
  <c r="M214" i="4"/>
  <c r="N214" i="4" s="1"/>
  <c r="O214" i="4" s="1"/>
  <c r="N204" i="4"/>
  <c r="O204" i="4" s="1"/>
  <c r="Q204" i="4"/>
  <c r="R204" i="4" s="1"/>
  <c r="Q102" i="4"/>
  <c r="O102" i="4"/>
  <c r="R102" i="4" s="1"/>
  <c r="E85" i="4" s="1"/>
  <c r="Q103" i="4"/>
  <c r="O103" i="4"/>
  <c r="R103" i="4" s="1"/>
  <c r="O158" i="3"/>
  <c r="A69" i="3"/>
  <c r="A61" i="3"/>
  <c r="A63" i="3" s="1"/>
  <c r="A65" i="3" s="1"/>
  <c r="Q125" i="4"/>
  <c r="R125" i="4" s="1"/>
  <c r="N125" i="4"/>
  <c r="O125" i="4" s="1"/>
  <c r="Q130" i="4"/>
  <c r="R130" i="4" s="1"/>
  <c r="N130" i="4"/>
  <c r="O130" i="4" s="1"/>
  <c r="G94" i="4"/>
  <c r="A73" i="3" l="1"/>
  <c r="A75" i="3" s="1"/>
  <c r="A77" i="3" s="1"/>
  <c r="A67" i="3"/>
  <c r="M84" i="3"/>
  <c r="N82" i="3" s="1"/>
  <c r="Q214" i="4"/>
  <c r="A79" i="3"/>
  <c r="A71" i="3"/>
  <c r="O167" i="3"/>
  <c r="O170" i="3"/>
  <c r="I167" i="3" l="1"/>
  <c r="I170" i="3"/>
  <c r="R214" i="4"/>
  <c r="D78" i="4" s="1"/>
  <c r="D80" i="4"/>
  <c r="I302" i="3"/>
  <c r="I292" i="3"/>
  <c r="I296" i="3"/>
  <c r="I147" i="3"/>
  <c r="I143" i="3"/>
  <c r="I63" i="3"/>
  <c r="I39" i="3"/>
  <c r="I15" i="3"/>
  <c r="I280" i="3"/>
  <c r="I272" i="3"/>
  <c r="I245" i="3"/>
  <c r="I181" i="3"/>
  <c r="I168" i="3"/>
  <c r="I49" i="3"/>
  <c r="I307" i="3"/>
  <c r="I291" i="3"/>
  <c r="I275" i="3"/>
  <c r="I252" i="3"/>
  <c r="I233" i="3"/>
  <c r="I230" i="3"/>
  <c r="I227" i="3"/>
  <c r="I224" i="3"/>
  <c r="I221" i="3"/>
  <c r="I203" i="3"/>
  <c r="I200" i="3"/>
  <c r="I197" i="3"/>
  <c r="I194" i="3"/>
  <c r="I178" i="3"/>
  <c r="I175" i="3"/>
  <c r="I155" i="3"/>
  <c r="I59" i="3"/>
  <c r="AC107" i="3" s="1"/>
  <c r="I45" i="3"/>
  <c r="I21" i="3"/>
  <c r="I294" i="3"/>
  <c r="I278" i="3"/>
  <c r="I261" i="3"/>
  <c r="I258" i="3"/>
  <c r="I237" i="3"/>
  <c r="I207" i="3"/>
  <c r="I188" i="3"/>
  <c r="I185" i="3"/>
  <c r="I165" i="3"/>
  <c r="I152" i="3"/>
  <c r="I140" i="3"/>
  <c r="I130" i="3"/>
  <c r="I126" i="3"/>
  <c r="E88" i="3"/>
  <c r="I79" i="3"/>
  <c r="I55" i="3"/>
  <c r="I310" i="3"/>
  <c r="I297" i="3"/>
  <c r="I286" i="3"/>
  <c r="I169" i="3"/>
  <c r="I65" i="3"/>
  <c r="I41" i="3"/>
  <c r="AC113" i="3" s="1"/>
  <c r="I17" i="3"/>
  <c r="I179" i="3"/>
  <c r="I156" i="3"/>
  <c r="I145" i="3"/>
  <c r="I51" i="3"/>
  <c r="I27" i="3"/>
  <c r="I3" i="3"/>
  <c r="I61" i="3"/>
  <c r="I37" i="3"/>
  <c r="I13" i="3"/>
  <c r="I284" i="3"/>
  <c r="I268" i="3"/>
  <c r="I262" i="3"/>
  <c r="I259" i="3"/>
  <c r="I247" i="3"/>
  <c r="I189" i="3"/>
  <c r="I186" i="3"/>
  <c r="I47" i="3"/>
  <c r="I23" i="3"/>
  <c r="I306" i="3"/>
  <c r="I57" i="3"/>
  <c r="AC109" i="3" s="1"/>
  <c r="I33" i="3"/>
  <c r="AC111" i="3" s="1"/>
  <c r="I9" i="3"/>
  <c r="I277" i="3"/>
  <c r="I266" i="3"/>
  <c r="I174" i="3"/>
  <c r="I171" i="3"/>
  <c r="I154" i="3"/>
  <c r="I132" i="3"/>
  <c r="I124" i="3"/>
  <c r="I110" i="3"/>
  <c r="I53" i="3"/>
  <c r="I29" i="3"/>
  <c r="I226" i="3"/>
  <c r="I128" i="3"/>
  <c r="I73" i="3"/>
  <c r="I199" i="3"/>
  <c r="I150" i="3"/>
  <c r="I67" i="3"/>
  <c r="I11" i="3"/>
  <c r="I287" i="3"/>
  <c r="I274" i="3"/>
  <c r="I220" i="3"/>
  <c r="I244" i="3"/>
  <c r="I193" i="3"/>
  <c r="I19" i="3"/>
  <c r="AC110" i="3" s="1"/>
  <c r="I229" i="3"/>
  <c r="I5" i="3"/>
  <c r="I202" i="3"/>
  <c r="I138" i="3"/>
  <c r="I223" i="3"/>
  <c r="I163" i="3"/>
  <c r="I31" i="3"/>
  <c r="I209" i="3"/>
  <c r="I196" i="3"/>
  <c r="I177" i="3"/>
  <c r="I35" i="3"/>
  <c r="AC100" i="3" s="1"/>
  <c r="I232" i="3"/>
  <c r="I43" i="3"/>
  <c r="I25" i="3"/>
  <c r="AC108" i="3" s="1"/>
  <c r="I7" i="3"/>
  <c r="I190" i="3"/>
  <c r="I241" i="3"/>
  <c r="I301" i="3"/>
  <c r="I125" i="3"/>
  <c r="I134" i="3"/>
  <c r="I281" i="3"/>
  <c r="I240" i="3"/>
  <c r="I135" i="3"/>
  <c r="I238" i="3"/>
  <c r="I253" i="3"/>
  <c r="I111" i="3"/>
  <c r="I256" i="3"/>
  <c r="I290" i="3"/>
  <c r="I235" i="3"/>
  <c r="I146" i="3"/>
  <c r="I71" i="3"/>
  <c r="I176" i="3"/>
  <c r="I267" i="3"/>
  <c r="I255" i="3"/>
  <c r="I172" i="3"/>
  <c r="I114" i="3"/>
  <c r="I187" i="3"/>
  <c r="I205" i="3"/>
  <c r="I242" i="3"/>
  <c r="I257" i="3"/>
  <c r="I148" i="3"/>
  <c r="I251" i="3"/>
  <c r="I243" i="3"/>
  <c r="I279" i="3"/>
  <c r="I195" i="3"/>
  <c r="I231" i="3"/>
  <c r="I164" i="3"/>
  <c r="I191" i="3"/>
  <c r="I166" i="3"/>
  <c r="I141" i="3"/>
  <c r="I183" i="3"/>
  <c r="I109" i="3"/>
  <c r="I285" i="3"/>
  <c r="I298" i="3"/>
  <c r="N83" i="3"/>
  <c r="I198" i="3"/>
  <c r="I270" i="3"/>
  <c r="I305" i="3"/>
  <c r="I250" i="3"/>
  <c r="I119" i="3"/>
  <c r="I113" i="3"/>
  <c r="I265" i="3"/>
  <c r="I236" i="3"/>
  <c r="I116" i="3"/>
  <c r="I77" i="3"/>
  <c r="I131" i="3"/>
  <c r="I300" i="3"/>
  <c r="I201" i="3"/>
  <c r="I117" i="3"/>
  <c r="I260" i="3"/>
  <c r="I293" i="3"/>
  <c r="I192" i="3"/>
  <c r="I184" i="3"/>
  <c r="I69" i="3"/>
  <c r="I249" i="3"/>
  <c r="I151" i="3"/>
  <c r="I239" i="3"/>
  <c r="I115" i="3"/>
  <c r="I219" i="3"/>
  <c r="I182" i="3"/>
  <c r="I273" i="3"/>
  <c r="I133" i="3"/>
  <c r="I283" i="3"/>
  <c r="I269" i="3"/>
  <c r="I161" i="3"/>
  <c r="I129" i="3"/>
  <c r="I264" i="3"/>
  <c r="I123" i="3"/>
  <c r="I139" i="3"/>
  <c r="I303" i="3"/>
  <c r="I288" i="3"/>
  <c r="I120" i="3"/>
  <c r="I112" i="3"/>
  <c r="I142" i="3"/>
  <c r="I180" i="3"/>
  <c r="I127" i="3"/>
  <c r="I222" i="3"/>
  <c r="I276" i="3"/>
  <c r="I136" i="3"/>
  <c r="I309" i="3"/>
  <c r="I204" i="3"/>
  <c r="I157" i="3"/>
  <c r="I153" i="3"/>
  <c r="I144" i="3"/>
  <c r="I246" i="3"/>
  <c r="I254" i="3"/>
  <c r="I137" i="3"/>
  <c r="I225" i="3"/>
  <c r="I308" i="3"/>
  <c r="I289" i="3"/>
  <c r="I121" i="3"/>
  <c r="I206" i="3"/>
  <c r="I118" i="3"/>
  <c r="I248" i="3"/>
  <c r="I160" i="3"/>
  <c r="I173" i="3"/>
  <c r="I159" i="3"/>
  <c r="I228" i="3"/>
  <c r="I282" i="3"/>
  <c r="I234" i="3"/>
  <c r="I271" i="3"/>
  <c r="I122" i="3"/>
  <c r="I208" i="3"/>
  <c r="I149" i="3"/>
  <c r="I295" i="3"/>
  <c r="I210" i="3"/>
  <c r="I162" i="3"/>
  <c r="I304" i="3"/>
  <c r="I263" i="3"/>
  <c r="I158" i="3"/>
  <c r="I299" i="3"/>
  <c r="I75" i="3"/>
  <c r="Y97" i="3" l="1"/>
  <c r="AC91" i="3"/>
  <c r="AE91" i="3" s="1"/>
  <c r="AC115" i="3"/>
  <c r="AE100" i="3"/>
  <c r="Y96" i="3"/>
  <c r="AC99" i="3"/>
  <c r="AC114" i="3" s="1"/>
  <c r="AC112" i="3"/>
  <c r="Y95" i="3"/>
  <c r="D88" i="3"/>
  <c r="D90" i="3" s="1"/>
  <c r="AC96" i="3"/>
  <c r="AE96" i="3" s="1"/>
  <c r="AC92" i="3"/>
  <c r="AE92" i="3" s="1"/>
  <c r="AC98" i="3"/>
  <c r="AE98" i="3" s="1"/>
  <c r="AC95" i="3"/>
  <c r="AE95" i="3" s="1"/>
  <c r="Y98" i="3"/>
  <c r="AC88" i="3"/>
  <c r="AC97" i="3"/>
  <c r="AE97" i="3" s="1"/>
  <c r="AC94" i="3"/>
  <c r="AE94" i="3" s="1"/>
  <c r="AC90" i="3"/>
  <c r="AE90" i="3" s="1"/>
  <c r="AC93" i="3"/>
  <c r="AE93" i="3" s="1"/>
  <c r="Y99" i="3"/>
  <c r="AC101" i="3"/>
  <c r="E90" i="3"/>
  <c r="F88" i="3"/>
  <c r="Y101" i="3" l="1"/>
  <c r="AE88" i="3"/>
  <c r="AC102" i="3"/>
  <c r="AC116" i="3"/>
  <c r="AC106" i="3" s="1"/>
  <c r="AC117" i="3" s="1"/>
  <c r="AE101" i="3"/>
  <c r="F90" i="3"/>
  <c r="I88" i="3"/>
  <c r="G88" i="3"/>
  <c r="H88" i="3" l="1"/>
  <c r="G90" i="3"/>
  <c r="S88" i="3"/>
  <c r="I90" i="3"/>
  <c r="J88" i="3" l="1"/>
  <c r="H90" i="3"/>
  <c r="T88" i="3"/>
  <c r="T90" i="3" s="1"/>
  <c r="S90" i="3"/>
  <c r="J90" i="3" l="1"/>
  <c r="M88" i="3"/>
  <c r="M90" i="3" s="1"/>
  <c r="L88" i="3"/>
  <c r="L90" i="3" s="1"/>
  <c r="K88" i="3"/>
  <c r="K90" i="3" s="1"/>
</calcChain>
</file>

<file path=xl/sharedStrings.xml><?xml version="1.0" encoding="utf-8"?>
<sst xmlns="http://schemas.openxmlformats.org/spreadsheetml/2006/main" count="3172" uniqueCount="636">
  <si>
    <t>Ticker</t>
  </si>
  <si>
    <t>Nombre</t>
  </si>
  <si>
    <t>Sector</t>
  </si>
  <si>
    <t>Precio actual</t>
  </si>
  <si>
    <t>Hoy</t>
  </si>
  <si>
    <t>SPY</t>
  </si>
  <si>
    <t>QQQ</t>
  </si>
  <si>
    <t>Tecnología</t>
  </si>
  <si>
    <t>IWM</t>
  </si>
  <si>
    <t>XLY</t>
  </si>
  <si>
    <t>Consumo discrecional</t>
  </si>
  <si>
    <t>Industria</t>
  </si>
  <si>
    <t>Materiales</t>
  </si>
  <si>
    <t>Comunicaciones</t>
  </si>
  <si>
    <t>Financiero</t>
  </si>
  <si>
    <t>Energía</t>
  </si>
  <si>
    <t>XLV</t>
  </si>
  <si>
    <t>Salud</t>
  </si>
  <si>
    <t>Consumo básico</t>
  </si>
  <si>
    <t>XLU</t>
  </si>
  <si>
    <t>Servicios Públicos</t>
  </si>
  <si>
    <t>Bancos</t>
  </si>
  <si>
    <t>Biotecnología</t>
  </si>
  <si>
    <t>Semiconductores</t>
  </si>
  <si>
    <t>Internet</t>
  </si>
  <si>
    <t>GDX</t>
  </si>
  <si>
    <t>GDXJ</t>
  </si>
  <si>
    <t>SIL</t>
  </si>
  <si>
    <t>Robótica</t>
  </si>
  <si>
    <t>LIT</t>
  </si>
  <si>
    <t>Litio</t>
  </si>
  <si>
    <t>Energía solar</t>
  </si>
  <si>
    <t>Global</t>
  </si>
  <si>
    <t>Europa</t>
  </si>
  <si>
    <t>México</t>
  </si>
  <si>
    <t>Brasil</t>
  </si>
  <si>
    <t>Argentina</t>
  </si>
  <si>
    <t>TLT</t>
  </si>
  <si>
    <t>Commodities</t>
  </si>
  <si>
    <t>Oro</t>
  </si>
  <si>
    <t>SLV</t>
  </si>
  <si>
    <t>Plata</t>
  </si>
  <si>
    <t>Petróleo</t>
  </si>
  <si>
    <t>IBIT</t>
  </si>
  <si>
    <t>Bitcoin</t>
  </si>
  <si>
    <t>Descripción</t>
  </si>
  <si>
    <t>Posiciones abiertas</t>
  </si>
  <si>
    <t>Variación</t>
  </si>
  <si>
    <t>Tendencia</t>
  </si>
  <si>
    <t>Características</t>
  </si>
  <si>
    <t>Market cap</t>
  </si>
  <si>
    <t>Subsector</t>
  </si>
  <si>
    <t>Inicio</t>
  </si>
  <si>
    <t>% inicial</t>
  </si>
  <si>
    <t>% actual</t>
  </si>
  <si>
    <t>Precio promedio compra</t>
  </si>
  <si>
    <t>Unidades</t>
  </si>
  <si>
    <t>Monto inicial</t>
  </si>
  <si>
    <t>Monto actual</t>
  </si>
  <si>
    <t>P&amp;L $</t>
  </si>
  <si>
    <t>P&amp;L %</t>
  </si>
  <si>
    <t>Duración  (días)</t>
  </si>
  <si>
    <t>Stop</t>
  </si>
  <si>
    <t>% para stop</t>
  </si>
  <si>
    <t>Precio objetivo</t>
  </si>
  <si>
    <t>% para objetivo</t>
  </si>
  <si>
    <t>Semanal</t>
  </si>
  <si>
    <t>Mensual</t>
  </si>
  <si>
    <t>3 meses</t>
  </si>
  <si>
    <t>6 meses</t>
  </si>
  <si>
    <t>YTD</t>
  </si>
  <si>
    <t>Punto de compra actual</t>
  </si>
  <si>
    <t>3 a 6 meses</t>
  </si>
  <si>
    <t>6 a 12 meses</t>
  </si>
  <si>
    <t>Tipo de empresa</t>
  </si>
  <si>
    <t>Clasificación</t>
  </si>
  <si>
    <t>Volatilidad</t>
  </si>
  <si>
    <t>Comentarios empresa</t>
  </si>
  <si>
    <t>Estrategia</t>
  </si>
  <si>
    <t>Portafolio</t>
  </si>
  <si>
    <t>S&amp;P 500</t>
  </si>
  <si>
    <t>Valor portafolio</t>
  </si>
  <si>
    <t>VZ</t>
  </si>
  <si>
    <t>Servicios telec</t>
  </si>
  <si>
    <t>Atractivo</t>
  </si>
  <si>
    <t>Alcista</t>
  </si>
  <si>
    <t>Líder global</t>
  </si>
  <si>
    <t>Core</t>
  </si>
  <si>
    <t>Media</t>
  </si>
  <si>
    <t>El sólido flujo de caja libre y la sólida rentabilidad por dividendo de Verizon Communications lo convierten en una inversión atractiva, especialmente en medio de la reciente volatilidad del mercado. La adquisición de Frontier Communications mejora el crecimiento de Verizon en banda ancha de fibra, con el objetivo de aumentar significativamente las ubicaciones inalámbricas fijas y los suscriptores para 2028. Los riesgos potenciales para VZ incluyen objetivos de crecimiento agresivos en banda ancha de fibra y una alta carga de deuda</t>
  </si>
  <si>
    <t>Confirma el breakout esta semana</t>
  </si>
  <si>
    <t>Esperar</t>
  </si>
  <si>
    <t>META</t>
  </si>
  <si>
    <t>Neutral</t>
  </si>
  <si>
    <t>Bajista</t>
  </si>
  <si>
    <t>Satellite</t>
  </si>
  <si>
    <t>La empresa continúa expandiendo su base de usuarios, con 3.35 mil millones de personas utilizando sus plataformas diariamente. La compañía está apostando fuertemente por la expansión de su infraestructura con un gasto de capital proyectado entre $60 y $65 mil millones en 2025</t>
  </si>
  <si>
    <t>Ha alcanzado el área de $730 y espero que pronto retome las subas a $830 a comienzos de octubre. Desde ahí espero el inicio de caídas a diciembre. Elevo el stop a $700. Acción que seguramente vendamos en octubre/noviembre</t>
  </si>
  <si>
    <t>CRWD</t>
  </si>
  <si>
    <t>Ciberseguridad</t>
  </si>
  <si>
    <t>Alta</t>
  </si>
  <si>
    <t>CrowdStrike destaca como inversión por su plataforma Falcon, impulsada por AI, que aumenta la adopción de módulos y la recurrencia de ingresos. Su mercado direccionable podría crecer de USD 116.000 a 250.000 millones para 2029, con ingresos en aceleración y márgenes en expansión. A pesar de una valoración elevada, su sólida ejecución y alianzas estratégicas justifican mantener una posición moderada en cartera.</t>
  </si>
  <si>
    <t>Alcanzó área de soporte; posibilidad de haber hecho toda la corrección tras la publicación de ganancias.</t>
  </si>
  <si>
    <t>PEP</t>
  </si>
  <si>
    <t>Alimentos</t>
  </si>
  <si>
    <t>Baja</t>
  </si>
  <si>
    <t xml:space="preserve">PEP combina ingresos estables, poder de marca y disciplina financiera. A precios actuales, la relación riesgo/retorno parece muy atractiva. </t>
  </si>
  <si>
    <t>Continúa avanzando con fuerza; siguiente resistencia $160</t>
  </si>
  <si>
    <t>MO</t>
  </si>
  <si>
    <t>Tabaco</t>
  </si>
  <si>
    <t>Crecimiento en productos alternativos: el segmento de tabaco oral crece a doble dígito (+26,5% en volumen). Valoración atractiva, combina un dividendo del 6,5% sostenible con un programa de recompra de acciones que reduce el capital circulante y mejora el EPS.</t>
  </si>
  <si>
    <t>Sigue en modo breakout</t>
  </si>
  <si>
    <t>JPM</t>
  </si>
  <si>
    <t>JPM tuvo un sólido primer trimestre, superando las estimaciones de ingresos y ganancias, con un crecimiento significativo en Banca de Consumo y un crecimiento de dos dígitos en Banca Corporativa y de Inversión y Gestión de Activos y Patrimonio. A pesar de las incertidumbres macroeconómicas, JPM reafirmó su orientación para 2025, mostrando resiliencia y un modelo de negocio completo, lo que la convierte en una inversión sólida en tiempos turbulentos.</t>
  </si>
  <si>
    <t>Posibilidad de consolidar en las próximas semanas/meses a niveles de $260 pero potencial firmemente alcista hacia 1Q26</t>
  </si>
  <si>
    <t>BX</t>
  </si>
  <si>
    <t>Private Equity</t>
  </si>
  <si>
    <t xml:space="preserve">La plataforma diversificada de mercados privados de Blackstone y su posición de liderazgo en la industria la convierten en una compra atractiva, especialmente dada la atractiva valoración actual y la rentabilidad por dividendo del 4,5%. </t>
  </si>
  <si>
    <t>Es posible que haya hecho la primera parte de la suba. Consolidación próximas semanas/meses a $160 desde donde espero inicio de nuevas subas hacia 1Q26 con objetivo $210</t>
  </si>
  <si>
    <t>DIS</t>
  </si>
  <si>
    <t>Entretenimiento</t>
  </si>
  <si>
    <t>Mantenemos una visión constructiva sobre Disney en el mediano plazo gracias a una sólida recuperación financiera, impulso sostenido en streaming y planes ambiciosos de expansión en parques temáticos</t>
  </si>
  <si>
    <t>Posiblemente ya haya encontrado el piso y esté comenzando siguiente fase de suba</t>
  </si>
  <si>
    <t>AMX</t>
  </si>
  <si>
    <t>El rendimiento del negocio y el flujo de caja han mejorado. El creciente proteccionismo comercial plantea un desafío potencial, pero la reducción de los gastos de capital de América Móvil y las estrategias de mercado localizadas ayudan a compensar este riesgo.</t>
  </si>
  <si>
    <t>Se acerca al objetivo de $20, desde donde debería consolidar por el resto del año antes de retomar las subas en 2026</t>
  </si>
  <si>
    <t>Las ganancias de América Móvil en el tercer trimestre de 2023 muestran fortaleza en los impulsores de volumen a expensas de la tarifa. La compañía se enfrenta a vientos en contra debido a la volatilidad de las divisas y a los factores macroeconómicos que afectan a su rendimiento.</t>
  </si>
  <si>
    <t>TSLA</t>
  </si>
  <si>
    <t>Consumo Cíclico</t>
  </si>
  <si>
    <t>Autos elétricos</t>
  </si>
  <si>
    <t>Tesla se enfrenta a enormes vientos en contra en su segmento de vehículos eléctricos, especialmente en las regiones internacionales, que representan más de la mitad de la base total de ingresos. Las ventas de Tesla en China y Europa podrían caer más rápido de lo esperado debido a la incertidumbre arancelaria y la reacción de los clientes.</t>
  </si>
  <si>
    <t>Mi expectativa era que veríamos precios cerca de $400 antes de alcanzar un tope. Lo superamos y alcanzamos niveles de $440. considero que está cerca de un tope</t>
  </si>
  <si>
    <t>MELI</t>
  </si>
  <si>
    <t>MercadoLibre sigue liderando el e-commerce y fintech en LatAm, priorizando crecimiento y cuota de mercado sobre margen. El fuerte avance en Argentina y Brasil, junto con nuevas líneas de negocio (publicidad, logística, streaming), refuerza su “flywheel” de expansión. Con estimaciones de BPA +34% anual y un precio objetivo de $3.300, vemos oportunidad de compra.</t>
  </si>
  <si>
    <t>Posibilidad que caíga en los próximos meses antes de retomar las subas</t>
  </si>
  <si>
    <t>JD</t>
  </si>
  <si>
    <t>NKE</t>
  </si>
  <si>
    <t>Ropa</t>
  </si>
  <si>
    <t xml:space="preserve">A pesar de los problemas actuales, Nike sigue siendo un negocio de altísima calidad. Su fortaleza financiera, su capacidad de generar valor, su resonancia global como marca y su visión estratégica renovada la convierten en una opción atractiva para inversores con paciencia y enfoque de largo plazo. </t>
  </si>
  <si>
    <t xml:space="preserve">Posibilidad de contnuar subienod a niveles de $82 antes de consolidar hacia fin de año. </t>
  </si>
  <si>
    <t>PBR</t>
  </si>
  <si>
    <t>Petróleo&amp;Gas</t>
  </si>
  <si>
    <t>Atractiva MP</t>
  </si>
  <si>
    <t>Petrobras combina producción récord en el pre-sal y nuevos FPSOs que impulsarán +14% su producción hasta 2028, con un flujo de caja robusto. Mantiene un dividend yield cercano al 14% gracias a su política de distribuir el 45% del FCF, incluso con Brent moderado. Cotizando a solo 4,7x ganancias y casi a valor libro, ofrece margen de seguridad y potencial de suba por re-rating.</t>
  </si>
  <si>
    <t>Incrementamos. Esperamos que pronto haga piso y comience siguiente etapa de suba</t>
  </si>
  <si>
    <t>VIST</t>
  </si>
  <si>
    <t>holding brasileño ampliamente diversificado que opera en sectores como energía renovable y distribución de combustibles (a través de Raízen), gas natural (Compass), logística ferroviaria (Rumo), producción y distribución de lubricantes automotrices e industriales (Moove) y gestión de tierras agrícolas (Radar. Si la empresa logra ejecutar su plan de rotación de activos y disciplina financiera, el upside provendrá tanto de la mejora del balance como de la reducción del descuento de holding</t>
  </si>
  <si>
    <t>Vimos la primera parte de la suba y ahora parece estar en proceso de consolidación</t>
  </si>
  <si>
    <t>ITUB</t>
  </si>
  <si>
    <t>Itau ofrece estabilidad, rentabilidad sostenida y visión estratégica. En el 1T 2025, Itaú reportó un ROE de 22.5%, uno de los más altos del sistema financiero global. Aunque cotiza con múltiplos P/B relativamente altos, su P/E actual (9.13x) es inferior al promedio del sector.</t>
  </si>
  <si>
    <t>Llegó a niveles de $7 nuevamente. Espero consolide hacia niveles de $6 antes de retomar las subas</t>
  </si>
  <si>
    <t>Criptomonedas</t>
  </si>
  <si>
    <t>Alcistas de mediano plazo, ya que su creciente integración en las finanzas convencionales y su papel potencial en una estrategia de reserva nacional respaldan su valoración a largo plazo.</t>
  </si>
  <si>
    <t>Con la nueva suba, crecen las chances de haber alcanzado un tope relevante</t>
  </si>
  <si>
    <t>Considero que estamos en el comienzo de "Una nueva era para las criptomonedas" en Estados Unidos, y sigo sosteniendo que Ethereum es una de las mejores formas de jugar esa narrativa.</t>
  </si>
  <si>
    <t>Primera compra, ir armando posición en los próximos meses</t>
  </si>
  <si>
    <t>ETHE</t>
  </si>
  <si>
    <t>Ethereum</t>
  </si>
  <si>
    <t xml:space="preserve">Impacto positivo del bitcoin, posibilidad de mayor utilización en los próximos años, caída de tasas también foarece al sector. </t>
  </si>
  <si>
    <t>ALB</t>
  </si>
  <si>
    <t xml:space="preserve">A pesar de las pérdidas en 2024 y la reducción de su gasto de capital, Albemarle sigue siendo un productor de litio con experiencia, escala y rentabilidad demostrada. </t>
  </si>
  <si>
    <t>Tras las caídas repuntó, en línea con lo advertido</t>
  </si>
  <si>
    <t>SQM</t>
  </si>
  <si>
    <t>Químicos</t>
  </si>
  <si>
    <t>La reciente alianza estratégica entre Sociedad Química y Minera de Chile (SQM) y la estatal chilena Codelco extiende el horizonte operativo en el Salar de Atacama hasta 2060, despejando el mayor riesgo que enfrentaba la compañía: la expiración de su concesión en 2030</t>
  </si>
  <si>
    <t>MOS</t>
  </si>
  <si>
    <t>Agro</t>
  </si>
  <si>
    <t>Mosaic se beneficia de su liderazgo en fertilizantes y de la creciente demanda global, reforzada por un escenario de mayor inflación. Sus esfuerzos en reducción de costos, aumento de producción y flujo de caja sólido la posicionan favorablemente. Aunque existen riesgos geopolíticos y de precios, la compañía sigue siendo una opción atractiva para capturar oportunidades vinculadas a la inflación</t>
  </si>
  <si>
    <t>posibilidad de caídas adicionales de corto plazo antes de retomar las subas</t>
  </si>
  <si>
    <t>CVX</t>
  </si>
  <si>
    <t xml:space="preserve">Ofrece una combinación atractiva de valuación razonable, resiliencia operativa y exposición estratégica a catalizadores de corto plazo, como el alza esperada en la demanda de gas natural y el potencial incremento en precios. </t>
  </si>
  <si>
    <t xml:space="preserve">Posiblemente ya comenzó el breakout. </t>
  </si>
  <si>
    <t>XOM</t>
  </si>
  <si>
    <t xml:space="preserve">Empresa con alta rentabilidad, gracias a su portafolio bien posicionado y a eficiencias en costos. La estabilidad de su dividendo, la diversificación y el tamaño de Exxon la posicionan para sobrellevar incluso un entorno adverso.ecios. </t>
  </si>
  <si>
    <t>RIG</t>
  </si>
  <si>
    <t>Transocean lidera la perforación offshore, tarifas en alza impulsadas por la escasez de plataformas  y mayor inversión en aguas profundas. Su plan de reducir USD 700M de deuda en 2025 refuerza el balance y el flujo de caja. Cotiza con múltiplos atractivos y potencial de re-rating en el nuevo superciclo offshore.</t>
  </si>
  <si>
    <t>FCG</t>
  </si>
  <si>
    <t>Gas Natural</t>
  </si>
  <si>
    <t>El ETF FCG ofrece una forma diversificada y eficiente de capturar el ciclo alcista del gas natural, con exposición a productores líderes como EOG y OXY. Es la puerta de entrada más directa a la tesis estructural de mayor demanda de gas en EE.UU.</t>
  </si>
  <si>
    <t>Parece haber comenzado siguiente fase de suba</t>
  </si>
  <si>
    <t>Sector defensivo, que históricamente ha tendido a comportarse mejor en escenarios de presiones inflacionarias; fuerte actividad de insiders, valuaciones muy atractivas</t>
  </si>
  <si>
    <t xml:space="preserve">Posibilidad de haber visto el piso cíclico y comienzo de nuevas subas. </t>
  </si>
  <si>
    <t>UNH</t>
  </si>
  <si>
    <t xml:space="preserve">Pese al ruido de corto plazo, UNH mantiene ventajas competitivas estructurales —escala, poder de negociación y una red integrada de datos y servicios— que siguen siendo difícil de replicar. Impulsado recientemente por disclosure de compras de grandes inversores </t>
  </si>
  <si>
    <t>Compramos unos días después del mínimo a la espera de una caída adicional que no llegó. En la próxima consolidación estaremos atentos para incrementar</t>
  </si>
  <si>
    <t>INDA</t>
  </si>
  <si>
    <t>India</t>
  </si>
  <si>
    <t>INDA tiene una fuerte exposición a los sectores financiero (25%), tecnológico (13%) y de consumo (19%). La economía india sigue dependiendo del sector financiero y de consumo, pero con un creciente potencial en tecnología y manufactura.</t>
  </si>
  <si>
    <t>No ha traccionado como esperábamos; posibilidad de continuar con las caídas hasta noviembre</t>
  </si>
  <si>
    <t>EUFN</t>
  </si>
  <si>
    <t>ETF que invierte en el sector financiero europeo, con una fuerte exposición a bancos (48.82%), seguros (27.56%) y servicios financieros (22.96%), concentrando sus principales posiciones en el Reino Unido, Suiza y Alemania.</t>
  </si>
  <si>
    <t>Ha seguido subiendo a nuevos máximos. posibilidad que comience pronto la corrección a niveles de $30 en los próximos meses antes de retomar las subas</t>
  </si>
  <si>
    <t>PALL</t>
  </si>
  <si>
    <t>Paladio</t>
  </si>
  <si>
    <t>El paladio ha caído más del 70% desde sus máximos de 2022. Los hedge funds están extremadamente cortos en paladio, mientras que los comerciales (traders profesionales con mejor historial predictivo) están históricamente largos.</t>
  </si>
  <si>
    <t>Tras las fuertes subas, es posible que pronto consolide hacia diciembre</t>
  </si>
  <si>
    <t>PPLT</t>
  </si>
  <si>
    <t>Platino</t>
  </si>
  <si>
    <t>El platino presenta una escasez estructural, con una caída en la producción y aumento de la demanda industrial y de inversión. Aunque se teme que los EV reduzcan la demanda de catalizadores, el platino tiene usos diversificados (pilas de combustible, industria química y joyería).</t>
  </si>
  <si>
    <t>ARM</t>
  </si>
  <si>
    <t>Semiconductors</t>
  </si>
  <si>
    <t>Futuro Líder</t>
  </si>
  <si>
    <t>El negocio central sigue sólido y en expansión. Modelo de negocio muy rentable: márgenes brutos de casi 98%, gracias a que solo diseña y licencia (no fabrica). Las licencias generan ingresos inmediatos, mientras que las regalías ofrecen ingresos crecientes a largo plazo conforme los chips se venden en el mercado.</t>
  </si>
  <si>
    <t>Ha estado consolidando en línea con lo esperado; espero rebote y caída final hacia diciembre a niveles de $120, antes de retomar las subas</t>
  </si>
  <si>
    <t>NU</t>
  </si>
  <si>
    <t>Nubank muestra un crecimiento sólido en préstamos no garantizados y tarjetas de crédito, superando a la competencia brasileña. Sus resultados Q2 2025 están en línea con el consenso, con ganancias sostenibles y buena calidad crediticia.</t>
  </si>
  <si>
    <t>Alto potencial de largo plazo</t>
  </si>
  <si>
    <t>JPEF</t>
  </si>
  <si>
    <t>Oportunidad CP</t>
  </si>
  <si>
    <t>Exposición al S&amp;P 500</t>
  </si>
  <si>
    <t>Posibilidad de fin de corrección, exposición de corto plazo</t>
  </si>
  <si>
    <t>JMEE</t>
  </si>
  <si>
    <t>Small &amp; Mid cap</t>
  </si>
  <si>
    <t>Exposición al segmento de S&amp;M cap</t>
  </si>
  <si>
    <t>JTEK</t>
  </si>
  <si>
    <t>Exposición al sector de tecnología</t>
  </si>
  <si>
    <t>Posibilidad de continuar consolidando en las próximas 2 semanas</t>
  </si>
  <si>
    <t>Exposición al sector de consumo discrecional</t>
  </si>
  <si>
    <t>MAGS</t>
  </si>
  <si>
    <t>MAG7</t>
  </si>
  <si>
    <t>Exposición al sector de tecnología, más específicamente a las Mag7</t>
  </si>
  <si>
    <t>Suba hasta comienzos de mayo, caída hasta mediados de junio y suba final hasta setiembre</t>
  </si>
  <si>
    <t>RSP</t>
  </si>
  <si>
    <t>Tras la fuerte suba esa semana, tomamos algo de ganancias. Espero pausa hacia fin de mes y suba en diciembre</t>
  </si>
  <si>
    <t>Cash</t>
  </si>
  <si>
    <t>Valor actual posiciones</t>
  </si>
  <si>
    <t>Valor posiciones al 19-setiembre-2025</t>
  </si>
  <si>
    <t>Distribución sectorial</t>
  </si>
  <si>
    <t>1 año</t>
  </si>
  <si>
    <t>2 años (an)</t>
  </si>
  <si>
    <t>3 años (an)</t>
  </si>
  <si>
    <t>4 años (an)</t>
  </si>
  <si>
    <t>Desde el inicio</t>
  </si>
  <si>
    <t>Desde el inicio (an)</t>
  </si>
  <si>
    <t>Diferencia</t>
  </si>
  <si>
    <t>Rend Sem (%)</t>
  </si>
  <si>
    <t>Rendimiento PORTAFOLIO</t>
  </si>
  <si>
    <t>1 semana</t>
  </si>
  <si>
    <t>MTD</t>
  </si>
  <si>
    <t>3m</t>
  </si>
  <si>
    <t>6m</t>
  </si>
  <si>
    <t>12m</t>
  </si>
  <si>
    <t>24m</t>
  </si>
  <si>
    <t>36m</t>
  </si>
  <si>
    <t>48m</t>
  </si>
  <si>
    <t>Rendimiento S&amp;P 500</t>
  </si>
  <si>
    <t>Date</t>
  </si>
  <si>
    <t>Close</t>
  </si>
  <si>
    <t>Real estate</t>
  </si>
  <si>
    <t>Consumo cíclico</t>
  </si>
  <si>
    <t>El rendimiento YTD incluye dividendos y tbills correspondiente al efectivo</t>
  </si>
  <si>
    <t>Atractivas Mediano plazo</t>
  </si>
  <si>
    <t>Oportunidades corto plazo</t>
  </si>
  <si>
    <t>POSICIONES CERRADAS 2025</t>
  </si>
  <si>
    <t>Estados Unidos</t>
  </si>
  <si>
    <t>Posiciones cerradas</t>
  </si>
  <si>
    <t>Abr 22</t>
  </si>
  <si>
    <t>Cierre</t>
  </si>
  <si>
    <t>Precio cierre</t>
  </si>
  <si>
    <t>Monto cierre</t>
  </si>
  <si>
    <t>Comentarios</t>
  </si>
  <si>
    <t>China</t>
  </si>
  <si>
    <t>MSFT</t>
  </si>
  <si>
    <t>Software</t>
  </si>
  <si>
    <t>Cierre de posición total</t>
  </si>
  <si>
    <t>KR</t>
  </si>
  <si>
    <t>Cierre de posición parcial</t>
  </si>
  <si>
    <t>LAAC</t>
  </si>
  <si>
    <t>Chile</t>
  </si>
  <si>
    <t>BABA</t>
  </si>
  <si>
    <t>Cierre total</t>
  </si>
  <si>
    <t>GLOB</t>
  </si>
  <si>
    <t>Servicios</t>
  </si>
  <si>
    <t>URA</t>
  </si>
  <si>
    <t>Uranio</t>
  </si>
  <si>
    <t>NVDA</t>
  </si>
  <si>
    <t>AVGO</t>
  </si>
  <si>
    <t>TGT</t>
  </si>
  <si>
    <t>Minorista</t>
  </si>
  <si>
    <t>Renta Fija</t>
  </si>
  <si>
    <t>Soberanos &gt; 20</t>
  </si>
  <si>
    <t>Toma de ganancias</t>
  </si>
  <si>
    <t>INFY</t>
  </si>
  <si>
    <t>AAPL</t>
  </si>
  <si>
    <t>Consumo</t>
  </si>
  <si>
    <t>GOOGL</t>
  </si>
  <si>
    <t>BIDU</t>
  </si>
  <si>
    <t>PDD</t>
  </si>
  <si>
    <t>Mineras</t>
  </si>
  <si>
    <t>Compras internet</t>
  </si>
  <si>
    <t>FCX</t>
  </si>
  <si>
    <t>Cobre</t>
  </si>
  <si>
    <t>LOMA</t>
  </si>
  <si>
    <t>Construcción</t>
  </si>
  <si>
    <t>FTXN</t>
  </si>
  <si>
    <t>Integrado</t>
  </si>
  <si>
    <t>Cierre de posición</t>
  </si>
  <si>
    <t>OXY</t>
  </si>
  <si>
    <t>MSTR</t>
  </si>
  <si>
    <t>Cripto</t>
  </si>
  <si>
    <t>AMGN</t>
  </si>
  <si>
    <t>Medicamentos</t>
  </si>
  <si>
    <t>YPF</t>
  </si>
  <si>
    <t>Consumo electrónico</t>
  </si>
  <si>
    <t>BRK.B</t>
  </si>
  <si>
    <t>CSAN</t>
  </si>
  <si>
    <t>POSICIONES CERRADAS 2024</t>
  </si>
  <si>
    <t>TMUS</t>
  </si>
  <si>
    <t>Toma de ganancias ante el inicio de corrección</t>
  </si>
  <si>
    <t>ABBV</t>
  </si>
  <si>
    <t>Biofarmaceútica</t>
  </si>
  <si>
    <t>PARA</t>
  </si>
  <si>
    <t>Servicios salud</t>
  </si>
  <si>
    <t>PXD</t>
  </si>
  <si>
    <t>CF</t>
  </si>
  <si>
    <t>Fertilizantes</t>
  </si>
  <si>
    <t>CF Industries Holdings es una inversión atractiva con una sólida demanda mundial de fertilizantes. La compañía reportó un sólido desempeño financiero en 2023, generando flujos de caja sustanciales y rentabilidad operativa en un entorno de precios difíciles.</t>
  </si>
  <si>
    <t>La acción parece haber hecho piso y está comenzando proceso de subas</t>
  </si>
  <si>
    <t>MCD</t>
  </si>
  <si>
    <t>Restaurantes</t>
  </si>
  <si>
    <t>SLB</t>
  </si>
  <si>
    <t>BAncos</t>
  </si>
  <si>
    <t>PG</t>
  </si>
  <si>
    <t>Hogar</t>
  </si>
  <si>
    <t>Alimentos y bebidas</t>
  </si>
  <si>
    <t>Autos Eléctricos</t>
  </si>
  <si>
    <t>WEAT</t>
  </si>
  <si>
    <t>Trigo</t>
  </si>
  <si>
    <t>BP</t>
  </si>
  <si>
    <t>CI</t>
  </si>
  <si>
    <t>Autos eléctricos</t>
  </si>
  <si>
    <t>BMY</t>
  </si>
  <si>
    <t>ALGN</t>
  </si>
  <si>
    <t>Instrumentos médiso</t>
  </si>
  <si>
    <t>Monto cierre 2024</t>
  </si>
  <si>
    <t>1 a 4 semanas</t>
  </si>
  <si>
    <t>1 a 3 meses</t>
  </si>
  <si>
    <t>Operaciones LONG</t>
  </si>
  <si>
    <t>NNE</t>
  </si>
  <si>
    <t>Maquinaria/energía</t>
  </si>
  <si>
    <t>ASC</t>
  </si>
  <si>
    <t>Shipping</t>
  </si>
  <si>
    <t>FLNG</t>
  </si>
  <si>
    <t>SHIP</t>
  </si>
  <si>
    <t>SM</t>
  </si>
  <si>
    <t>G&amp;P</t>
  </si>
  <si>
    <t>CVE</t>
  </si>
  <si>
    <t>BORR</t>
  </si>
  <si>
    <t>Drillers</t>
  </si>
  <si>
    <t>NE</t>
  </si>
  <si>
    <t>NBR</t>
  </si>
  <si>
    <t>CNR</t>
  </si>
  <si>
    <t>Carbón</t>
  </si>
  <si>
    <t>BTU</t>
  </si>
  <si>
    <t>AMR</t>
  </si>
  <si>
    <t>SBSW</t>
  </si>
  <si>
    <t>REMX</t>
  </si>
  <si>
    <t>Tierras raras</t>
  </si>
  <si>
    <t>USAR</t>
  </si>
  <si>
    <t>AA</t>
  </si>
  <si>
    <t>Aluminio</t>
  </si>
  <si>
    <t>ACHR</t>
  </si>
  <si>
    <t>Defensa</t>
  </si>
  <si>
    <t>ADBE</t>
  </si>
  <si>
    <t>OKTA</t>
  </si>
  <si>
    <t>ONTO</t>
  </si>
  <si>
    <t>QS</t>
  </si>
  <si>
    <t>Consumo Cíclio</t>
  </si>
  <si>
    <t>Auto partes</t>
  </si>
  <si>
    <t>QUBT</t>
  </si>
  <si>
    <t>Quantum</t>
  </si>
  <si>
    <t>QMCO</t>
  </si>
  <si>
    <t>CRWV</t>
  </si>
  <si>
    <t>Infraestructura</t>
  </si>
  <si>
    <t>RDW</t>
  </si>
  <si>
    <t>TEM</t>
  </si>
  <si>
    <t>GGAL</t>
  </si>
  <si>
    <t>CORN LN</t>
  </si>
  <si>
    <t>WisdomTree Corn UCITS ETF</t>
  </si>
  <si>
    <t>Maíz</t>
  </si>
  <si>
    <t>Servicios públicos</t>
  </si>
  <si>
    <t>Precio promedio de venta</t>
  </si>
  <si>
    <t>Monto de venta</t>
  </si>
  <si>
    <t>Punto de venta actual</t>
  </si>
  <si>
    <t>Operaciones SHORT</t>
  </si>
  <si>
    <t>COST</t>
  </si>
  <si>
    <t>Ene 21</t>
  </si>
  <si>
    <t>NOW</t>
  </si>
  <si>
    <t>RESUMEN 2025</t>
  </si>
  <si>
    <t>Rendimiento total (ponderado)</t>
  </si>
  <si>
    <t>RESUMEN HISTÓRICO</t>
  </si>
  <si>
    <t>Cerradas</t>
  </si>
  <si>
    <t>Abiertas</t>
  </si>
  <si>
    <t>Cantidad de trades</t>
  </si>
  <si>
    <t>Porcentaje de éxito</t>
  </si>
  <si>
    <t>Suba promedio</t>
  </si>
  <si>
    <t>Promedio subas cerradas</t>
  </si>
  <si>
    <t>Promedio caídas cerradas</t>
  </si>
  <si>
    <t>Caídas</t>
  </si>
  <si>
    <t>151,7%</t>
  </si>
  <si>
    <t>-6,4%</t>
  </si>
  <si>
    <t>Subas</t>
  </si>
  <si>
    <t xml:space="preserve">  </t>
  </si>
  <si>
    <t>4,1%</t>
  </si>
  <si>
    <t>11,1%</t>
  </si>
  <si>
    <t>-6,9%</t>
  </si>
  <si>
    <t>Duración</t>
  </si>
  <si>
    <t>56 días</t>
  </si>
  <si>
    <t>39 días</t>
  </si>
  <si>
    <t>1,4%</t>
  </si>
  <si>
    <t>10,9%</t>
  </si>
  <si>
    <t>-8,9%</t>
  </si>
  <si>
    <t>16,0%</t>
  </si>
  <si>
    <t>-11,0%</t>
  </si>
  <si>
    <t>Cantidad</t>
  </si>
  <si>
    <t>9,5%</t>
  </si>
  <si>
    <t>21,3%</t>
  </si>
  <si>
    <t>-10,2%</t>
  </si>
  <si>
    <t>Negativas</t>
  </si>
  <si>
    <t>9,1%</t>
  </si>
  <si>
    <t>19,5%</t>
  </si>
  <si>
    <t>-5,3%</t>
  </si>
  <si>
    <t>Positivas</t>
  </si>
  <si>
    <t>8,2%</t>
  </si>
  <si>
    <t>15,5%</t>
  </si>
  <si>
    <t>Cantidad (%)</t>
  </si>
  <si>
    <t>P&amp;L $ 2025</t>
  </si>
  <si>
    <t>P&amp;L % 2025</t>
  </si>
  <si>
    <t>Tipo</t>
  </si>
  <si>
    <t>Fecha cierre</t>
  </si>
  <si>
    <t>KITT</t>
  </si>
  <si>
    <t>L</t>
  </si>
  <si>
    <t>IONQ</t>
  </si>
  <si>
    <t>Cuántico</t>
  </si>
  <si>
    <t>RGTI</t>
  </si>
  <si>
    <t>QBTS</t>
  </si>
  <si>
    <t>Acciones USA</t>
  </si>
  <si>
    <t>NNDM</t>
  </si>
  <si>
    <t>3D</t>
  </si>
  <si>
    <t>WULF</t>
  </si>
  <si>
    <t>Mercado capitales</t>
  </si>
  <si>
    <t>AMD</t>
  </si>
  <si>
    <t>NNOX</t>
  </si>
  <si>
    <t>instrumentos</t>
  </si>
  <si>
    <t>BBAI</t>
  </si>
  <si>
    <t>CXAI</t>
  </si>
  <si>
    <t>KWEB</t>
  </si>
  <si>
    <t>OKLO</t>
  </si>
  <si>
    <t>Electricidad</t>
  </si>
  <si>
    <t>RIOT</t>
  </si>
  <si>
    <t>NVDL</t>
  </si>
  <si>
    <t>PLTR</t>
  </si>
  <si>
    <t>MARA</t>
  </si>
  <si>
    <t>AI</t>
  </si>
  <si>
    <t>COIN</t>
  </si>
  <si>
    <t>BKR</t>
  </si>
  <si>
    <t>RR</t>
  </si>
  <si>
    <t>ENPH</t>
  </si>
  <si>
    <t>Solar</t>
  </si>
  <si>
    <t>WHD</t>
  </si>
  <si>
    <t>ARBE</t>
  </si>
  <si>
    <t>BA</t>
  </si>
  <si>
    <t>Aeroespacial</t>
  </si>
  <si>
    <t>CEPU</t>
  </si>
  <si>
    <t>SMR</t>
  </si>
  <si>
    <t>TSLL</t>
  </si>
  <si>
    <t>TSLA x 2</t>
  </si>
  <si>
    <t>REK</t>
  </si>
  <si>
    <t>Inverso real estate</t>
  </si>
  <si>
    <t>ANF</t>
  </si>
  <si>
    <t>AU</t>
  </si>
  <si>
    <t>PAAS</t>
  </si>
  <si>
    <t>WPM</t>
  </si>
  <si>
    <t>Mineras oro</t>
  </si>
  <si>
    <t>Mineras plata</t>
  </si>
  <si>
    <t>DAL</t>
  </si>
  <si>
    <t>Aero</t>
  </si>
  <si>
    <t>ASTS</t>
  </si>
  <si>
    <t>Maquinaria</t>
  </si>
  <si>
    <t>MAG</t>
  </si>
  <si>
    <t>SOXS</t>
  </si>
  <si>
    <t>Semi X - 3</t>
  </si>
  <si>
    <t>CME</t>
  </si>
  <si>
    <t>S</t>
  </si>
  <si>
    <t>UBER</t>
  </si>
  <si>
    <t>Transporte</t>
  </si>
  <si>
    <t>STZ</t>
  </si>
  <si>
    <t>Consumo Básico</t>
  </si>
  <si>
    <t>Bebidas</t>
  </si>
  <si>
    <t>JETS</t>
  </si>
  <si>
    <t>Aerolíneas</t>
  </si>
  <si>
    <t>MAR</t>
  </si>
  <si>
    <t>Hoteles</t>
  </si>
  <si>
    <t>IBB</t>
  </si>
  <si>
    <t>CPA</t>
  </si>
  <si>
    <t>SID</t>
  </si>
  <si>
    <t>Acero</t>
  </si>
  <si>
    <t>OSCR</t>
  </si>
  <si>
    <t>UVXY</t>
  </si>
  <si>
    <t>Volatilidad x 2</t>
  </si>
  <si>
    <t>IBM</t>
  </si>
  <si>
    <t>Hardware</t>
  </si>
  <si>
    <t>AAPD</t>
  </si>
  <si>
    <t>Inverso AAPL</t>
  </si>
  <si>
    <t>Inverso</t>
  </si>
  <si>
    <t>SPXS</t>
  </si>
  <si>
    <t>Inverso S&amp;P X 3</t>
  </si>
  <si>
    <t>Inverso SOX X 3</t>
  </si>
  <si>
    <t>ZM</t>
  </si>
  <si>
    <t>Toma de ganancias PARCIAL</t>
  </si>
  <si>
    <t>MRNA</t>
  </si>
  <si>
    <t>BURL</t>
  </si>
  <si>
    <t>OPEN</t>
  </si>
  <si>
    <t>Real Estate</t>
  </si>
  <si>
    <t>AMZD</t>
  </si>
  <si>
    <t>Inverso AMZN</t>
  </si>
  <si>
    <t>Espacio</t>
  </si>
  <si>
    <t>MU</t>
  </si>
  <si>
    <t>Semi</t>
  </si>
  <si>
    <t>Toma de ganancias TOTAL</t>
  </si>
  <si>
    <t>PYPL</t>
  </si>
  <si>
    <t>Pagos</t>
  </si>
  <si>
    <t>NFLX</t>
  </si>
  <si>
    <t>TSM</t>
  </si>
  <si>
    <t>LRCX</t>
  </si>
  <si>
    <t>BITI</t>
  </si>
  <si>
    <t>Vehículos elec</t>
  </si>
  <si>
    <t>Inverso de Bitcoin</t>
  </si>
  <si>
    <t>Minera</t>
  </si>
  <si>
    <t>VXX</t>
  </si>
  <si>
    <t>iPath Series S&amp;P 500 Vix Short Term</t>
  </si>
  <si>
    <t>SQ</t>
  </si>
  <si>
    <t>Block Inc</t>
  </si>
  <si>
    <t>Inverso semi X 3</t>
  </si>
  <si>
    <t>TSLZ</t>
  </si>
  <si>
    <t>Inverso de tsla x 2</t>
  </si>
  <si>
    <t>MS</t>
  </si>
  <si>
    <t>FSLR</t>
  </si>
  <si>
    <t>Inverso de semi x 3</t>
  </si>
  <si>
    <t>NVDS</t>
  </si>
  <si>
    <t>Inverso de NVDA 1.25</t>
  </si>
  <si>
    <t>CAT</t>
  </si>
  <si>
    <t>EXPE</t>
  </si>
  <si>
    <t>Viajes</t>
  </si>
  <si>
    <t>CASH</t>
  </si>
  <si>
    <t>PANW</t>
  </si>
  <si>
    <t>Inverso de NVDA</t>
  </si>
  <si>
    <t>AAL</t>
  </si>
  <si>
    <t>SQQQ</t>
  </si>
  <si>
    <t>Inverso de QQQ (-3)</t>
  </si>
  <si>
    <t>Inverso triple</t>
  </si>
  <si>
    <t>MSFD</t>
  </si>
  <si>
    <t>Inverso de MSFT</t>
  </si>
  <si>
    <t>MTDR</t>
  </si>
  <si>
    <t>PUMP</t>
  </si>
  <si>
    <t>UNP</t>
  </si>
  <si>
    <t>Seguridad</t>
  </si>
  <si>
    <t>Inverso de IWM</t>
  </si>
  <si>
    <t>AMPH</t>
  </si>
  <si>
    <t>Bio</t>
  </si>
  <si>
    <t>TZA</t>
  </si>
  <si>
    <t>HD</t>
  </si>
  <si>
    <t>LULU</t>
  </si>
  <si>
    <t>retail</t>
  </si>
  <si>
    <t>FAZ</t>
  </si>
  <si>
    <t>Inverso de XLF (-3)</t>
  </si>
  <si>
    <t>DOG</t>
  </si>
  <si>
    <t>Inverso del Dow</t>
  </si>
  <si>
    <t>MSGS</t>
  </si>
  <si>
    <t>HOOD</t>
  </si>
  <si>
    <t>Trading</t>
  </si>
  <si>
    <t>SCHW</t>
  </si>
  <si>
    <t>VET</t>
  </si>
  <si>
    <t>BMA</t>
  </si>
  <si>
    <t>Cierre de posiciones</t>
  </si>
  <si>
    <t>RH</t>
  </si>
  <si>
    <t>Retail</t>
  </si>
  <si>
    <t>hardware</t>
  </si>
  <si>
    <t>SVIX</t>
  </si>
  <si>
    <t>Inverso Nasdaq x 3</t>
  </si>
  <si>
    <t>toma de ganancias</t>
  </si>
  <si>
    <t>LOW</t>
  </si>
  <si>
    <t>Inverso Semi x 3</t>
  </si>
  <si>
    <t>Carreteras</t>
  </si>
  <si>
    <t>ACN</t>
  </si>
  <si>
    <t>AXP</t>
  </si>
  <si>
    <t>Crédito</t>
  </si>
  <si>
    <t>Industrial</t>
  </si>
  <si>
    <t>SMCI</t>
  </si>
  <si>
    <t>stop</t>
  </si>
  <si>
    <t>Inverso TSLA x 2</t>
  </si>
  <si>
    <t>COF</t>
  </si>
  <si>
    <t>SARK</t>
  </si>
  <si>
    <t>Inverso ARKK x 2</t>
  </si>
  <si>
    <t>inverso ARKK</t>
  </si>
  <si>
    <t>AEHR</t>
  </si>
  <si>
    <t xml:space="preserve">Tecnología </t>
  </si>
  <si>
    <t>Inverso Financiero X 3</t>
  </si>
  <si>
    <t>RDFN</t>
  </si>
  <si>
    <t>BUD</t>
  </si>
  <si>
    <t>Inverso semi x 3</t>
  </si>
  <si>
    <t>PLD</t>
  </si>
  <si>
    <t xml:space="preserve">Real Estate </t>
  </si>
  <si>
    <t>Precio objetivo de compra</t>
  </si>
  <si>
    <t>% para compra</t>
  </si>
  <si>
    <t>Precio objetivo de suba</t>
  </si>
  <si>
    <t>% de suba</t>
  </si>
  <si>
    <t>PORTAFOLIO DISCRECIONAL</t>
  </si>
  <si>
    <t>Oil&amp;Gas</t>
  </si>
  <si>
    <t>LLY</t>
  </si>
  <si>
    <t>IDEAS DE TRADING - LONG</t>
  </si>
  <si>
    <t>HP</t>
  </si>
  <si>
    <t>Precio objetivo de venta</t>
  </si>
  <si>
    <t>% para venta</t>
  </si>
  <si>
    <t>Precio objetivo de caída</t>
  </si>
  <si>
    <t>% de ganancia</t>
  </si>
  <si>
    <t>IDEAS DE TRADING - SHORT</t>
  </si>
  <si>
    <t>CART</t>
  </si>
  <si>
    <t>BBWI</t>
  </si>
  <si>
    <t>Autos</t>
  </si>
  <si>
    <t>GS</t>
  </si>
  <si>
    <t>XHB</t>
  </si>
  <si>
    <t>Construtores</t>
  </si>
  <si>
    <t>Long</t>
  </si>
  <si>
    <t>Short</t>
  </si>
  <si>
    <t>Precio entrada</t>
  </si>
  <si>
    <t xml:space="preserve">% </t>
  </si>
  <si>
    <t>Nasdaq</t>
  </si>
  <si>
    <t>Russell 2000</t>
  </si>
  <si>
    <t>Bonos soberanos largos</t>
  </si>
  <si>
    <t>Nuevo estado</t>
  </si>
  <si>
    <t>Señal</t>
  </si>
  <si>
    <t>Acierto</t>
  </si>
  <si>
    <t>Incorrecta</t>
  </si>
  <si>
    <t>4,7%</t>
  </si>
  <si>
    <t xml:space="preserve">Short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</si>
</sst>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d&quot;-&quot;mmm&quot;-&quot;yyyy"/>
    <numFmt numFmtId="168" formatCode="0.0"/>
    <numFmt numFmtId="169" formatCode="&quot;$&quot;#,##0"/>
    <numFmt numFmtId="170" formatCode="&quot;$&quot;#,##0.0"/>
    <numFmt numFmtId="171" formatCode="mmmd"/>
    <numFmt numFmtId="172" formatCode="#,##0.0000"/>
    <numFmt numFmtId="173" formatCode="mmm\ d"/>
  </numFmts>
  <fonts count="55">
    <font>
      <sz val="10"/>
      <color rgb="FF000000"/>
      <name val="Arial"/>
      <scheme val="minor"/>
    </font>
    <font>
      <sz val="9"/>
      <color theme="1"/>
      <name val="Arial"/>
    </font>
    <font>
      <sz val="10"/>
      <color theme="1"/>
      <name val="Arial"/>
    </font>
    <font>
      <sz val="9"/>
      <color rgb="FF000000"/>
      <name val="Arial"/>
    </font>
    <font>
      <b/>
      <sz val="9"/>
      <color rgb="FFFFFFFF"/>
      <name val="Arial"/>
    </font>
    <font>
      <sz val="10"/>
      <color theme="1"/>
      <name val="Arial"/>
    </font>
    <font>
      <b/>
      <sz val="9"/>
      <color theme="1"/>
      <name val="Arial"/>
    </font>
    <font>
      <sz val="10"/>
      <color theme="1"/>
      <name val="Arial"/>
      <scheme val="minor"/>
    </font>
    <font>
      <sz val="10"/>
      <name val="Arial"/>
    </font>
    <font>
      <b/>
      <sz val="9"/>
      <color rgb="FF000000"/>
      <name val="Arial"/>
    </font>
    <font>
      <sz val="7"/>
      <color rgb="FF000000"/>
      <name val="Arial"/>
    </font>
    <font>
      <sz val="10"/>
      <color rgb="FF000000"/>
      <name val="Arial"/>
    </font>
    <font>
      <sz val="9"/>
      <color rgb="FFFF0000"/>
      <name val="Arial"/>
    </font>
    <font>
      <b/>
      <sz val="10"/>
      <color rgb="FF000000"/>
      <name val="Arial"/>
    </font>
    <font>
      <b/>
      <sz val="7"/>
      <color rgb="FF000000"/>
      <name val="Arial"/>
    </font>
    <font>
      <sz val="9"/>
      <color rgb="FFC53929"/>
      <name val="Arial"/>
    </font>
    <font>
      <sz val="10"/>
      <color rgb="FF000000"/>
      <name val="Arial"/>
    </font>
    <font>
      <sz val="10"/>
      <color rgb="FF000000"/>
      <name val="Arial"/>
      <scheme val="minor"/>
    </font>
    <font>
      <sz val="11"/>
      <color rgb="FF000000"/>
      <name val="&quot;Google Sans&quot;"/>
    </font>
    <font>
      <b/>
      <sz val="10"/>
      <color rgb="FF000000"/>
      <name val="Arial"/>
    </font>
    <font>
      <b/>
      <sz val="10"/>
      <color rgb="FF000000"/>
      <name val="Arial"/>
      <scheme val="minor"/>
    </font>
    <font>
      <sz val="7"/>
      <color theme="1"/>
      <name val="Arial"/>
    </font>
    <font>
      <sz val="7"/>
      <color rgb="FFFF0000"/>
      <name val="Arial"/>
    </font>
    <font>
      <sz val="10"/>
      <color rgb="FFFF0000"/>
      <name val="Arial"/>
    </font>
    <font>
      <sz val="10"/>
      <color rgb="FFFF0000"/>
      <name val="Arial"/>
      <scheme val="minor"/>
    </font>
    <font>
      <b/>
      <sz val="10"/>
      <color theme="1"/>
      <name val="Arial"/>
    </font>
    <font>
      <sz val="9"/>
      <color rgb="FF1155CC"/>
      <name val="&quot;Google Sans Mono&quot;"/>
    </font>
    <font>
      <b/>
      <sz val="10"/>
      <color rgb="FFFF0000"/>
      <name val="Arial"/>
    </font>
    <font>
      <sz val="9"/>
      <color rgb="FFFFFFFF"/>
      <name val="Arial"/>
    </font>
    <font>
      <b/>
      <sz val="10"/>
      <color theme="1"/>
      <name val="Arial"/>
      <scheme val="minor"/>
    </font>
    <font>
      <sz val="8"/>
      <color rgb="FF000000"/>
      <name val="Arial"/>
    </font>
    <font>
      <sz val="8"/>
      <color theme="1"/>
      <name val="Arial"/>
    </font>
    <font>
      <b/>
      <sz val="11"/>
      <color theme="1"/>
      <name val="Arial"/>
    </font>
    <font>
      <b/>
      <sz val="9"/>
      <color rgb="FFFF0000"/>
      <name val="Arial"/>
    </font>
    <font>
      <b/>
      <sz val="10"/>
      <color rgb="FFFF0000"/>
      <name val="Arial"/>
    </font>
    <font>
      <sz val="9"/>
      <color rgb="FF0B8043"/>
      <name val="Arial"/>
    </font>
    <font>
      <b/>
      <sz val="9"/>
      <color rgb="FF0B8043"/>
      <name val="Arial"/>
    </font>
    <font>
      <sz val="10"/>
      <color rgb="FFFF0000"/>
      <name val="Arial"/>
    </font>
    <font>
      <i/>
      <sz val="9"/>
      <color rgb="FF000000"/>
      <name val="Arial"/>
    </font>
    <font>
      <i/>
      <sz val="9"/>
      <color theme="1"/>
      <name val="Arial"/>
    </font>
    <font>
      <i/>
      <sz val="7"/>
      <color rgb="FF000000"/>
      <name val="Arial"/>
    </font>
    <font>
      <i/>
      <sz val="10"/>
      <color rgb="FF000000"/>
      <name val="Arial"/>
    </font>
    <font>
      <b/>
      <sz val="10"/>
      <color theme="1"/>
      <name val="Arial"/>
    </font>
    <font>
      <b/>
      <i/>
      <sz val="9"/>
      <color theme="1"/>
      <name val="Arial"/>
    </font>
    <font>
      <b/>
      <u/>
      <sz val="9"/>
      <color rgb="FF000000"/>
      <name val="Arial"/>
    </font>
    <font>
      <b/>
      <u/>
      <sz val="9"/>
      <color rgb="FFFFFFFF"/>
      <name val="Arial"/>
    </font>
    <font>
      <b/>
      <u/>
      <sz val="9"/>
      <color rgb="FF000000"/>
      <name val="Arial"/>
    </font>
    <font>
      <b/>
      <u/>
      <sz val="9"/>
      <color rgb="FF000000"/>
      <name val="Arial"/>
    </font>
    <font>
      <b/>
      <u/>
      <sz val="9"/>
      <color rgb="FFFFFFFF"/>
      <name val="Arial"/>
    </font>
    <font>
      <b/>
      <u/>
      <sz val="9"/>
      <color rgb="FFFFFFFF"/>
      <name val="Arial"/>
    </font>
    <font>
      <i/>
      <sz val="9"/>
      <color rgb="FFFF0000"/>
      <name val="Arial"/>
    </font>
    <font>
      <i/>
      <sz val="9"/>
      <color rgb="FF0B8043"/>
      <name val="Arial"/>
    </font>
    <font>
      <b/>
      <i/>
      <sz val="9"/>
      <color rgb="FF000000"/>
      <name val="Arial"/>
    </font>
    <font>
      <b/>
      <i/>
      <sz val="9"/>
      <color rgb="FFFF0000"/>
      <name val="Arial"/>
    </font>
    <font>
      <i/>
      <sz val="9"/>
      <color rgb="FF434343"/>
      <name val="Arial"/>
    </font>
  </fonts>
  <fills count="32">
    <fill>
      <patternFill patternType="none"/>
    </fill>
    <fill>
      <patternFill patternType="gray125"/>
    </fill>
    <fill>
      <patternFill patternType="solid">
        <fgColor rgb="FFFFFFFF"/>
        <bgColor rgb="FFFFFFFF"/>
      </patternFill>
    </fill>
    <fill>
      <patternFill patternType="solid">
        <fgColor rgb="FFBF9000"/>
        <bgColor rgb="FFBF9000"/>
      </patternFill>
    </fill>
    <fill>
      <patternFill patternType="solid">
        <fgColor rgb="FF0C343D"/>
        <bgColor rgb="FF0C343D"/>
      </patternFill>
    </fill>
    <fill>
      <patternFill patternType="solid">
        <fgColor rgb="FFD9D9D9"/>
        <bgColor rgb="FFD9D9D9"/>
      </patternFill>
    </fill>
    <fill>
      <patternFill patternType="solid">
        <fgColor rgb="FFF7D8D6"/>
        <bgColor rgb="FFF7D8D6"/>
      </patternFill>
    </fill>
    <fill>
      <patternFill patternType="solid">
        <fgColor theme="0"/>
        <bgColor theme="0"/>
      </patternFill>
    </fill>
    <fill>
      <patternFill patternType="solid">
        <fgColor rgb="FFD0E0E3"/>
        <bgColor rgb="FFD0E0E3"/>
      </patternFill>
    </fill>
    <fill>
      <patternFill patternType="solid">
        <fgColor rgb="FFFEF8F7"/>
        <bgColor rgb="FFFEF8F7"/>
      </patternFill>
    </fill>
    <fill>
      <patternFill patternType="solid">
        <fgColor rgb="FFF4C7C3"/>
        <bgColor rgb="FFF4C7C3"/>
      </patternFill>
    </fill>
    <fill>
      <patternFill patternType="solid">
        <fgColor rgb="FFFCE8B2"/>
        <bgColor rgb="FFFCE8B2"/>
      </patternFill>
    </fill>
    <fill>
      <patternFill patternType="solid">
        <fgColor rgb="FFCFE2F3"/>
        <bgColor rgb="FFCFE2F3"/>
      </patternFill>
    </fill>
    <fill>
      <patternFill patternType="solid">
        <fgColor rgb="FFCDEBDC"/>
        <bgColor rgb="FFCDEBDC"/>
      </patternFill>
    </fill>
    <fill>
      <patternFill patternType="solid">
        <fgColor rgb="FFDEF1E8"/>
        <bgColor rgb="FFDEF1E8"/>
      </patternFill>
    </fill>
    <fill>
      <patternFill patternType="solid">
        <fgColor rgb="FFF8D6D3"/>
        <bgColor rgb="FFF8D6D3"/>
      </patternFill>
    </fill>
    <fill>
      <patternFill patternType="solid">
        <fgColor rgb="FFB7E1CD"/>
        <bgColor rgb="FFB7E1CD"/>
      </patternFill>
    </fill>
    <fill>
      <patternFill patternType="solid">
        <fgColor rgb="FFFFF2CC"/>
        <bgColor rgb="FFFFF2CC"/>
      </patternFill>
    </fill>
    <fill>
      <patternFill patternType="solid">
        <fgColor rgb="FFFBE8E7"/>
        <bgColor rgb="FFFBE8E7"/>
      </patternFill>
    </fill>
    <fill>
      <patternFill patternType="solid">
        <fgColor rgb="FFF8DBD9"/>
        <bgColor rgb="FFF8DBD9"/>
      </patternFill>
    </fill>
    <fill>
      <patternFill patternType="solid">
        <fgColor rgb="FF93C47D"/>
        <bgColor rgb="FF93C47D"/>
      </patternFill>
    </fill>
    <fill>
      <patternFill patternType="solid">
        <fgColor rgb="FF134F5C"/>
        <bgColor rgb="FF134F5C"/>
      </patternFill>
    </fill>
    <fill>
      <patternFill patternType="solid">
        <fgColor rgb="FFFCE5CD"/>
        <bgColor rgb="FFFCE5CD"/>
      </patternFill>
    </fill>
    <fill>
      <patternFill patternType="solid">
        <fgColor rgb="FFFCF4F3"/>
        <bgColor rgb="FFFCF4F3"/>
      </patternFill>
    </fill>
    <fill>
      <patternFill patternType="solid">
        <fgColor rgb="FFF5CBC7"/>
        <bgColor rgb="FFF5CBC7"/>
      </patternFill>
    </fill>
    <fill>
      <patternFill patternType="solid">
        <fgColor rgb="FFEA948D"/>
        <bgColor rgb="FFEA948D"/>
      </patternFill>
    </fill>
    <fill>
      <patternFill patternType="solid">
        <fgColor rgb="FFF9E4E2"/>
        <bgColor rgb="FFF9E4E2"/>
      </patternFill>
    </fill>
    <fill>
      <patternFill patternType="solid">
        <fgColor rgb="FFF3F3F3"/>
        <bgColor rgb="FFF3F3F3"/>
      </patternFill>
    </fill>
    <fill>
      <patternFill patternType="solid">
        <fgColor rgb="FFE67C73"/>
        <bgColor rgb="FFE67C73"/>
      </patternFill>
    </fill>
    <fill>
      <patternFill patternType="solid">
        <fgColor rgb="FFEBF7F1"/>
        <bgColor rgb="FFEBF7F1"/>
      </patternFill>
    </fill>
    <fill>
      <patternFill patternType="solid">
        <fgColor rgb="FFF0F9F5"/>
        <bgColor rgb="FFF0F9F5"/>
      </patternFill>
    </fill>
    <fill>
      <patternFill patternType="solid">
        <fgColor rgb="FFF6CECB"/>
        <bgColor rgb="FFF6CECB"/>
      </patternFill>
    </fill>
  </fills>
  <borders count="71">
    <border>
      <left/>
      <right/>
      <top/>
      <bottom/>
      <diagonal/>
    </border>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right/>
      <top/>
      <bottom style="thin">
        <color rgb="FF000000"/>
      </bottom>
      <diagonal/>
    </border>
    <border>
      <left/>
      <right/>
      <top/>
      <bottom style="thin">
        <color rgb="FFFFFFFF"/>
      </bottom>
      <diagonal/>
    </border>
    <border>
      <left/>
      <right/>
      <top/>
      <bottom/>
      <diagonal/>
    </border>
    <border>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FFFFFF"/>
      </left>
      <right/>
      <top/>
      <bottom/>
      <diagonal/>
    </border>
    <border>
      <left/>
      <right/>
      <top/>
      <bottom/>
      <diagonal/>
    </border>
    <border>
      <left/>
      <right style="thin">
        <color rgb="FF000000"/>
      </right>
      <top style="thin">
        <color rgb="FFFFFFFF"/>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style="thin">
        <color rgb="FF000000"/>
      </left>
      <right/>
      <top/>
      <bottom/>
      <diagonal/>
    </border>
    <border>
      <left/>
      <right style="thin">
        <color rgb="FF000000"/>
      </right>
      <top style="thin">
        <color rgb="FF000000"/>
      </top>
      <bottom style="thin">
        <color rgb="FF000000"/>
      </bottom>
      <diagonal/>
    </border>
  </borders>
  <cellStyleXfs count="1">
    <xf numFmtId="0" fontId="0" fillId="0" borderId="0"/>
  </cellStyleXfs>
  <cellXfs count="875">
    <xf numFmtId="0" fontId="0" fillId="0" borderId="0" xfId="0"/>
    <xf numFmtId="0" fontId="1" fillId="2" borderId="1" xfId="0" applyFont="1" applyFill="1" applyBorder="1"/>
    <xf numFmtId="164" fontId="1" fillId="2" borderId="1" xfId="0" applyNumberFormat="1" applyFont="1" applyFill="1" applyBorder="1" applyAlignment="1">
      <alignment horizontal="center"/>
    </xf>
    <xf numFmtId="0" fontId="1" fillId="2" borderId="1" xfId="0" applyFont="1" applyFill="1" applyBorder="1" applyAlignment="1">
      <alignment horizontal="right"/>
    </xf>
    <xf numFmtId="0" fontId="2" fillId="2" borderId="1" xfId="0" applyFont="1" applyFill="1" applyBorder="1"/>
    <xf numFmtId="165" fontId="1" fillId="2" borderId="1" xfId="0" applyNumberFormat="1" applyFont="1" applyFill="1" applyBorder="1" applyAlignment="1">
      <alignment horizontal="right"/>
    </xf>
    <xf numFmtId="0" fontId="1" fillId="2" borderId="5" xfId="0" applyFont="1" applyFill="1" applyBorder="1"/>
    <xf numFmtId="0" fontId="3" fillId="2" borderId="1" xfId="0" applyFont="1" applyFill="1" applyBorder="1"/>
    <xf numFmtId="164" fontId="1" fillId="2" borderId="10" xfId="0" applyNumberFormat="1" applyFont="1" applyFill="1" applyBorder="1" applyAlignment="1">
      <alignment horizontal="center"/>
    </xf>
    <xf numFmtId="164" fontId="1" fillId="2" borderId="12" xfId="0" applyNumberFormat="1" applyFont="1" applyFill="1" applyBorder="1" applyAlignment="1">
      <alignment horizontal="center"/>
    </xf>
    <xf numFmtId="164" fontId="1" fillId="2" borderId="5" xfId="0" applyNumberFormat="1" applyFont="1" applyFill="1" applyBorder="1" applyAlignment="1">
      <alignment horizontal="center"/>
    </xf>
    <xf numFmtId="164" fontId="1" fillId="2" borderId="13" xfId="0" applyNumberFormat="1" applyFont="1" applyFill="1" applyBorder="1" applyAlignment="1">
      <alignment horizontal="center"/>
    </xf>
    <xf numFmtId="0" fontId="1" fillId="2" borderId="13" xfId="0" applyFont="1" applyFill="1" applyBorder="1"/>
    <xf numFmtId="164" fontId="1" fillId="2" borderId="5" xfId="0" applyNumberFormat="1" applyFont="1" applyFill="1" applyBorder="1"/>
    <xf numFmtId="164" fontId="2" fillId="2" borderId="1" xfId="0" applyNumberFormat="1" applyFont="1" applyFill="1" applyBorder="1"/>
    <xf numFmtId="164" fontId="2" fillId="2" borderId="9" xfId="0" applyNumberFormat="1" applyFont="1" applyFill="1" applyBorder="1"/>
    <xf numFmtId="164" fontId="2" fillId="2" borderId="10" xfId="0" applyNumberFormat="1" applyFont="1" applyFill="1" applyBorder="1"/>
    <xf numFmtId="164" fontId="2" fillId="2" borderId="5" xfId="0" applyNumberFormat="1" applyFont="1" applyFill="1" applyBorder="1"/>
    <xf numFmtId="164" fontId="1" fillId="2" borderId="16" xfId="0" applyNumberFormat="1" applyFont="1" applyFill="1" applyBorder="1" applyAlignment="1">
      <alignment horizontal="center"/>
    </xf>
    <xf numFmtId="164" fontId="1" fillId="2" borderId="18" xfId="0" applyNumberFormat="1" applyFont="1" applyFill="1" applyBorder="1" applyAlignment="1">
      <alignment horizontal="center"/>
    </xf>
    <xf numFmtId="164" fontId="1" fillId="2" borderId="14" xfId="0" applyNumberFormat="1" applyFont="1" applyFill="1" applyBorder="1" applyAlignment="1">
      <alignment horizontal="center"/>
    </xf>
    <xf numFmtId="164" fontId="2" fillId="2" borderId="13" xfId="0" applyNumberFormat="1" applyFont="1" applyFill="1" applyBorder="1"/>
    <xf numFmtId="0" fontId="1" fillId="2" borderId="0" xfId="0" applyFont="1" applyFill="1"/>
    <xf numFmtId="0" fontId="1" fillId="2" borderId="0" xfId="0" applyFont="1" applyFill="1" applyAlignment="1">
      <alignment horizontal="center"/>
    </xf>
    <xf numFmtId="0" fontId="2" fillId="2" borderId="0" xfId="0" applyFont="1" applyFill="1"/>
    <xf numFmtId="164" fontId="2" fillId="2" borderId="0" xfId="0" applyNumberFormat="1" applyFont="1" applyFill="1"/>
    <xf numFmtId="0" fontId="1" fillId="2" borderId="21" xfId="0" applyFont="1" applyFill="1" applyBorder="1"/>
    <xf numFmtId="164" fontId="5" fillId="2" borderId="0" xfId="0" applyNumberFormat="1" applyFont="1" applyFill="1"/>
    <xf numFmtId="0" fontId="6" fillId="2" borderId="1" xfId="0" applyFont="1" applyFill="1" applyBorder="1"/>
    <xf numFmtId="0" fontId="1" fillId="0" borderId="0" xfId="0" applyFont="1"/>
    <xf numFmtId="0" fontId="1" fillId="0" borderId="0" xfId="0" applyFont="1" applyAlignment="1">
      <alignment horizontal="center"/>
    </xf>
    <xf numFmtId="0" fontId="7" fillId="0" borderId="0" xfId="0" applyFont="1"/>
    <xf numFmtId="164" fontId="1" fillId="7" borderId="1" xfId="0" applyNumberFormat="1" applyFont="1" applyFill="1" applyBorder="1" applyAlignment="1">
      <alignment horizontal="center"/>
    </xf>
    <xf numFmtId="0" fontId="9" fillId="8" borderId="25" xfId="0" applyFont="1" applyFill="1" applyBorder="1" applyAlignment="1">
      <alignment horizontal="center" wrapText="1"/>
    </xf>
    <xf numFmtId="0" fontId="9" fillId="8" borderId="4" xfId="0" applyFont="1" applyFill="1" applyBorder="1" applyAlignment="1">
      <alignment horizontal="center" wrapText="1"/>
    </xf>
    <xf numFmtId="0" fontId="9" fillId="8" borderId="26" xfId="0" applyFont="1" applyFill="1" applyBorder="1" applyAlignment="1">
      <alignment horizontal="center" wrapText="1"/>
    </xf>
    <xf numFmtId="0" fontId="1" fillId="0" borderId="0" xfId="0" applyFont="1" applyAlignment="1">
      <alignment vertical="center"/>
    </xf>
    <xf numFmtId="0" fontId="4" fillId="4" borderId="23" xfId="0" applyFont="1" applyFill="1" applyBorder="1" applyAlignment="1">
      <alignment horizontal="center" vertical="center"/>
    </xf>
    <xf numFmtId="0" fontId="4" fillId="4" borderId="23" xfId="0" applyFont="1" applyFill="1" applyBorder="1" applyAlignment="1">
      <alignment horizontal="left" vertical="center"/>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wrapText="1"/>
    </xf>
    <xf numFmtId="0" fontId="4" fillId="4" borderId="30" xfId="0" applyFont="1" applyFill="1" applyBorder="1" applyAlignment="1">
      <alignment horizontal="left" vertical="center" wrapText="1"/>
    </xf>
    <xf numFmtId="0" fontId="2" fillId="0" borderId="0" xfId="0" applyFont="1" applyAlignment="1">
      <alignment vertical="center"/>
    </xf>
    <xf numFmtId="0" fontId="3" fillId="2" borderId="1" xfId="0" applyFont="1" applyFill="1" applyBorder="1" applyAlignment="1">
      <alignment horizontal="right" vertical="center"/>
    </xf>
    <xf numFmtId="0" fontId="3" fillId="2" borderId="1" xfId="0" applyFont="1" applyFill="1" applyBorder="1" applyAlignment="1">
      <alignment vertical="center"/>
    </xf>
    <xf numFmtId="3" fontId="3" fillId="2" borderId="1" xfId="0" applyNumberFormat="1" applyFont="1" applyFill="1" applyBorder="1" applyAlignment="1">
      <alignment vertical="center"/>
    </xf>
    <xf numFmtId="3"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65" fontId="3" fillId="2" borderId="3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0" fontId="3" fillId="2" borderId="10" xfId="0" applyFont="1" applyFill="1" applyBorder="1" applyAlignment="1">
      <alignment horizontal="right" vertical="center"/>
    </xf>
    <xf numFmtId="2" fontId="3" fillId="2" borderId="1" xfId="0" applyNumberFormat="1" applyFont="1" applyFill="1" applyBorder="1" applyAlignment="1">
      <alignment horizontal="center" vertical="center"/>
    </xf>
    <xf numFmtId="168" fontId="3" fillId="2" borderId="1" xfId="0" applyNumberFormat="1" applyFont="1" applyFill="1" applyBorder="1" applyAlignment="1">
      <alignment horizontal="center" vertical="center"/>
    </xf>
    <xf numFmtId="169" fontId="3" fillId="2" borderId="1" xfId="0" applyNumberFormat="1" applyFont="1" applyFill="1" applyBorder="1" applyAlignment="1">
      <alignment horizontal="center" vertical="center"/>
    </xf>
    <xf numFmtId="169" fontId="3" fillId="2" borderId="5"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164" fontId="3" fillId="9" borderId="1" xfId="0" applyNumberFormat="1" applyFont="1" applyFill="1" applyBorder="1" applyAlignment="1">
      <alignment horizontal="center" vertical="center"/>
    </xf>
    <xf numFmtId="164" fontId="3" fillId="2" borderId="10" xfId="0" applyNumberFormat="1"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164" fontId="3" fillId="12" borderId="1"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xf>
    <xf numFmtId="164" fontId="3" fillId="11" borderId="1" xfId="0" applyNumberFormat="1" applyFont="1" applyFill="1" applyBorder="1" applyAlignment="1">
      <alignment horizontal="center" vertical="center"/>
    </xf>
    <xf numFmtId="0" fontId="10" fillId="13" borderId="32" xfId="0" applyFont="1" applyFill="1" applyBorder="1" applyAlignment="1">
      <alignment vertical="center" wrapText="1"/>
    </xf>
    <xf numFmtId="164" fontId="11" fillId="2" borderId="1" xfId="0" applyNumberFormat="1" applyFont="1" applyFill="1" applyBorder="1" applyAlignment="1">
      <alignment vertical="center"/>
    </xf>
    <xf numFmtId="0" fontId="3" fillId="0" borderId="0" xfId="0" applyFont="1" applyAlignment="1">
      <alignment vertical="center"/>
    </xf>
    <xf numFmtId="164" fontId="3" fillId="2" borderId="0" xfId="0" applyNumberFormat="1" applyFont="1" applyFill="1" applyAlignment="1">
      <alignment horizontal="center" vertical="center"/>
    </xf>
    <xf numFmtId="0" fontId="11" fillId="2" borderId="1" xfId="0" applyFont="1" applyFill="1" applyBorder="1" applyAlignment="1">
      <alignment vertical="center"/>
    </xf>
    <xf numFmtId="0" fontId="11" fillId="0" borderId="0" xfId="0" applyFont="1" applyAlignment="1">
      <alignment vertical="center"/>
    </xf>
    <xf numFmtId="3" fontId="11" fillId="2" borderId="1" xfId="0" applyNumberFormat="1" applyFont="1" applyFill="1" applyBorder="1" applyAlignment="1">
      <alignment vertical="center"/>
    </xf>
    <xf numFmtId="165" fontId="11" fillId="2" borderId="1" xfId="0" applyNumberFormat="1" applyFont="1" applyFill="1" applyBorder="1" applyAlignment="1">
      <alignment vertical="center"/>
    </xf>
    <xf numFmtId="0" fontId="11" fillId="2" borderId="5" xfId="0" applyFont="1" applyFill="1" applyBorder="1" applyAlignment="1">
      <alignment vertical="center"/>
    </xf>
    <xf numFmtId="0" fontId="11" fillId="2" borderId="10" xfId="0" applyFont="1" applyFill="1" applyBorder="1" applyAlignment="1">
      <alignment vertical="center"/>
    </xf>
    <xf numFmtId="2" fontId="11" fillId="2" borderId="1" xfId="0" applyNumberFormat="1" applyFont="1" applyFill="1" applyBorder="1" applyAlignment="1">
      <alignment vertical="center"/>
    </xf>
    <xf numFmtId="170" fontId="11" fillId="2" borderId="0" xfId="0" applyNumberFormat="1" applyFont="1" applyFill="1" applyAlignment="1">
      <alignment vertical="center"/>
    </xf>
    <xf numFmtId="164" fontId="11" fillId="2" borderId="0" xfId="0" applyNumberFormat="1" applyFont="1" applyFill="1" applyAlignment="1">
      <alignment vertical="center"/>
    </xf>
    <xf numFmtId="164" fontId="11" fillId="2" borderId="11" xfId="0" applyNumberFormat="1" applyFont="1" applyFill="1" applyBorder="1" applyAlignment="1">
      <alignment vertical="center"/>
    </xf>
    <xf numFmtId="164" fontId="11" fillId="2" borderId="10" xfId="0" applyNumberFormat="1" applyFont="1" applyFill="1" applyBorder="1" applyAlignment="1">
      <alignment vertical="center"/>
    </xf>
    <xf numFmtId="165" fontId="3" fillId="2" borderId="1" xfId="0" applyNumberFormat="1" applyFont="1" applyFill="1" applyBorder="1" applyAlignment="1">
      <alignment horizontal="center" vertical="center"/>
    </xf>
    <xf numFmtId="0" fontId="3" fillId="0" borderId="0" xfId="0" applyFont="1" applyAlignment="1">
      <alignment horizontal="right" vertical="center"/>
    </xf>
    <xf numFmtId="164" fontId="3" fillId="14" borderId="1" xfId="0" applyNumberFormat="1" applyFont="1" applyFill="1" applyBorder="1" applyAlignment="1">
      <alignment horizontal="center" vertical="center"/>
    </xf>
    <xf numFmtId="164" fontId="3" fillId="15" borderId="1" xfId="0" applyNumberFormat="1" applyFont="1" applyFill="1" applyBorder="1" applyAlignment="1">
      <alignment horizontal="center" vertical="center"/>
    </xf>
    <xf numFmtId="0" fontId="3" fillId="16" borderId="1" xfId="0" applyFont="1" applyFill="1" applyBorder="1" applyAlignment="1">
      <alignment horizontal="center" vertical="center"/>
    </xf>
    <xf numFmtId="0" fontId="10" fillId="17" borderId="32" xfId="0" applyFont="1" applyFill="1" applyBorder="1" applyAlignment="1">
      <alignment horizontal="left" vertical="center" wrapText="1"/>
    </xf>
    <xf numFmtId="0" fontId="12" fillId="2" borderId="1" xfId="0" applyFont="1" applyFill="1" applyBorder="1" applyAlignment="1">
      <alignment horizontal="right" vertical="center"/>
    </xf>
    <xf numFmtId="0" fontId="9" fillId="2" borderId="1" xfId="0" applyFont="1" applyFill="1" applyBorder="1" applyAlignment="1">
      <alignment horizontal="right" vertical="center"/>
    </xf>
    <xf numFmtId="0" fontId="13" fillId="2" borderId="1" xfId="0" applyFont="1" applyFill="1" applyBorder="1" applyAlignment="1">
      <alignment vertical="center"/>
    </xf>
    <xf numFmtId="3" fontId="13" fillId="2" borderId="1" xfId="0" applyNumberFormat="1" applyFont="1" applyFill="1" applyBorder="1" applyAlignment="1">
      <alignment vertical="center"/>
    </xf>
    <xf numFmtId="165" fontId="13" fillId="2" borderId="1" xfId="0" applyNumberFormat="1" applyFont="1" applyFill="1" applyBorder="1" applyAlignment="1">
      <alignment vertical="center"/>
    </xf>
    <xf numFmtId="164" fontId="13" fillId="2" borderId="1" xfId="0" applyNumberFormat="1" applyFont="1" applyFill="1" applyBorder="1" applyAlignment="1">
      <alignment vertical="center"/>
    </xf>
    <xf numFmtId="0" fontId="13" fillId="2" borderId="5" xfId="0" applyFont="1" applyFill="1" applyBorder="1" applyAlignment="1">
      <alignment vertical="center"/>
    </xf>
    <xf numFmtId="0" fontId="13" fillId="2" borderId="10" xfId="0" applyFont="1" applyFill="1" applyBorder="1" applyAlignment="1">
      <alignment vertical="center"/>
    </xf>
    <xf numFmtId="2" fontId="13" fillId="2" borderId="1" xfId="0" applyNumberFormat="1" applyFont="1" applyFill="1" applyBorder="1" applyAlignment="1">
      <alignment vertical="center"/>
    </xf>
    <xf numFmtId="170" fontId="13" fillId="2" borderId="0" xfId="0" applyNumberFormat="1" applyFont="1" applyFill="1" applyAlignment="1">
      <alignment vertical="center"/>
    </xf>
    <xf numFmtId="164" fontId="13" fillId="2" borderId="0" xfId="0" applyNumberFormat="1" applyFont="1" applyFill="1" applyAlignment="1">
      <alignment vertical="center"/>
    </xf>
    <xf numFmtId="164" fontId="13" fillId="2" borderId="11" xfId="0" applyNumberFormat="1" applyFont="1" applyFill="1" applyBorder="1" applyAlignment="1">
      <alignment vertical="center"/>
    </xf>
    <xf numFmtId="164" fontId="13" fillId="2" borderId="10" xfId="0" applyNumberFormat="1" applyFont="1" applyFill="1" applyBorder="1" applyAlignment="1">
      <alignment vertical="center"/>
    </xf>
    <xf numFmtId="164" fontId="9" fillId="2" borderId="10"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0" fontId="9" fillId="2" borderId="10" xfId="0" applyFont="1" applyFill="1" applyBorder="1" applyAlignment="1">
      <alignment horizontal="center" vertical="center"/>
    </xf>
    <xf numFmtId="0" fontId="14" fillId="13" borderId="32" xfId="0" applyFont="1" applyFill="1" applyBorder="1" applyAlignment="1">
      <alignment vertical="center" wrapText="1"/>
    </xf>
    <xf numFmtId="165" fontId="9" fillId="2" borderId="1" xfId="0" applyNumberFormat="1" applyFont="1" applyFill="1" applyBorder="1" applyAlignment="1">
      <alignment horizontal="center" vertical="center"/>
    </xf>
    <xf numFmtId="0" fontId="9" fillId="0" borderId="0" xfId="0" applyFont="1" applyAlignment="1">
      <alignment horizontal="right" vertical="center"/>
    </xf>
    <xf numFmtId="0" fontId="13" fillId="0" borderId="0" xfId="0" applyFont="1" applyAlignment="1">
      <alignment vertical="center"/>
    </xf>
    <xf numFmtId="0" fontId="1" fillId="2" borderId="1" xfId="0" applyFont="1" applyFill="1" applyBorder="1" applyAlignment="1">
      <alignment vertical="center"/>
    </xf>
    <xf numFmtId="3" fontId="1" fillId="2" borderId="1" xfId="0" applyNumberFormat="1" applyFont="1" applyFill="1" applyBorder="1" applyAlignment="1">
      <alignment vertical="center"/>
    </xf>
    <xf numFmtId="3"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65" fontId="1" fillId="2" borderId="3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0" fontId="1" fillId="2" borderId="10" xfId="0" applyFont="1" applyFill="1" applyBorder="1" applyAlignment="1">
      <alignment horizontal="right" vertical="center"/>
    </xf>
    <xf numFmtId="2" fontId="1" fillId="2" borderId="1" xfId="0" applyNumberFormat="1" applyFont="1" applyFill="1" applyBorder="1" applyAlignment="1">
      <alignment horizontal="center" vertical="center"/>
    </xf>
    <xf numFmtId="168" fontId="1" fillId="2" borderId="1" xfId="0" applyNumberFormat="1" applyFont="1" applyFill="1" applyBorder="1" applyAlignment="1">
      <alignment horizontal="center" vertical="center"/>
    </xf>
    <xf numFmtId="169" fontId="1" fillId="2" borderId="1" xfId="0" applyNumberFormat="1" applyFont="1" applyFill="1" applyBorder="1" applyAlignment="1">
      <alignment horizontal="center" vertical="center"/>
    </xf>
    <xf numFmtId="169" fontId="1" fillId="2" borderId="5" xfId="0" applyNumberFormat="1" applyFont="1" applyFill="1" applyBorder="1" applyAlignment="1">
      <alignment horizontal="center" vertical="center"/>
    </xf>
    <xf numFmtId="169" fontId="15" fillId="2" borderId="5" xfId="0" applyNumberFormat="1" applyFont="1" applyFill="1" applyBorder="1" applyAlignment="1">
      <alignment horizontal="center" vertical="center"/>
    </xf>
    <xf numFmtId="164" fontId="15" fillId="2" borderId="1" xfId="0" applyNumberFormat="1" applyFont="1" applyFill="1" applyBorder="1" applyAlignment="1">
      <alignment horizontal="center" vertical="center"/>
    </xf>
    <xf numFmtId="164" fontId="15" fillId="2" borderId="10" xfId="0" applyNumberFormat="1" applyFont="1" applyFill="1" applyBorder="1" applyAlignment="1">
      <alignment horizontal="center" vertical="center"/>
    </xf>
    <xf numFmtId="0" fontId="1" fillId="16" borderId="10" xfId="0" applyFont="1" applyFill="1" applyBorder="1" applyAlignment="1">
      <alignment horizontal="center" vertical="center"/>
    </xf>
    <xf numFmtId="164" fontId="1" fillId="16" borderId="1" xfId="0" applyNumberFormat="1" applyFont="1" applyFill="1" applyBorder="1" applyAlignment="1">
      <alignment horizontal="center" vertical="center"/>
    </xf>
    <xf numFmtId="0" fontId="1" fillId="11" borderId="1" xfId="0" applyFont="1" applyFill="1" applyBorder="1" applyAlignment="1">
      <alignment horizontal="center" vertical="center"/>
    </xf>
    <xf numFmtId="164" fontId="1" fillId="12" borderId="1" xfId="0" applyNumberFormat="1" applyFont="1" applyFill="1" applyBorder="1" applyAlignment="1">
      <alignment horizontal="center" vertical="center"/>
    </xf>
    <xf numFmtId="164" fontId="5" fillId="2" borderId="1" xfId="0" applyNumberFormat="1" applyFont="1" applyFill="1" applyBorder="1" applyAlignment="1">
      <alignment vertical="center"/>
    </xf>
    <xf numFmtId="164" fontId="1" fillId="2" borderId="0" xfId="0" applyNumberFormat="1" applyFont="1" applyFill="1" applyAlignment="1">
      <alignment horizontal="center" vertical="center"/>
    </xf>
    <xf numFmtId="0" fontId="5" fillId="2" borderId="1" xfId="0" applyFont="1" applyFill="1" applyBorder="1" applyAlignment="1">
      <alignment vertical="center"/>
    </xf>
    <xf numFmtId="0" fontId="5" fillId="0" borderId="0" xfId="0" applyFont="1" applyAlignment="1">
      <alignment vertical="center"/>
    </xf>
    <xf numFmtId="0" fontId="1" fillId="2" borderId="1" xfId="0" applyFont="1" applyFill="1" applyBorder="1" applyAlignment="1">
      <alignment horizontal="right" vertical="center"/>
    </xf>
    <xf numFmtId="3" fontId="5" fillId="2" borderId="1" xfId="0" applyNumberFormat="1" applyFont="1" applyFill="1" applyBorder="1" applyAlignment="1">
      <alignment vertical="center"/>
    </xf>
    <xf numFmtId="165" fontId="5" fillId="2" borderId="1" xfId="0" applyNumberFormat="1" applyFont="1" applyFill="1" applyBorder="1" applyAlignment="1">
      <alignment vertical="center"/>
    </xf>
    <xf numFmtId="0" fontId="5" fillId="2" borderId="5" xfId="0" applyFont="1" applyFill="1" applyBorder="1" applyAlignment="1">
      <alignment vertical="center"/>
    </xf>
    <xf numFmtId="0" fontId="5" fillId="2" borderId="10" xfId="0" applyFont="1" applyFill="1" applyBorder="1" applyAlignment="1">
      <alignment vertical="center"/>
    </xf>
    <xf numFmtId="2" fontId="5" fillId="2" borderId="1" xfId="0" applyNumberFormat="1" applyFont="1" applyFill="1" applyBorder="1" applyAlignment="1">
      <alignment vertical="center"/>
    </xf>
    <xf numFmtId="170" fontId="5" fillId="2" borderId="0" xfId="0" applyNumberFormat="1" applyFont="1" applyFill="1" applyAlignment="1">
      <alignment vertical="center"/>
    </xf>
    <xf numFmtId="164" fontId="5" fillId="2" borderId="0" xfId="0" applyNumberFormat="1" applyFont="1" applyFill="1" applyAlignment="1">
      <alignment vertical="center"/>
    </xf>
    <xf numFmtId="164" fontId="5" fillId="2" borderId="11" xfId="0" applyNumberFormat="1" applyFont="1" applyFill="1" applyBorder="1" applyAlignment="1">
      <alignment vertical="center"/>
    </xf>
    <xf numFmtId="164" fontId="5" fillId="2" borderId="10" xfId="0" applyNumberFormat="1" applyFont="1" applyFill="1" applyBorder="1" applyAlignment="1">
      <alignment vertical="center"/>
    </xf>
    <xf numFmtId="164" fontId="1" fillId="2" borderId="10" xfId="0" applyNumberFormat="1" applyFont="1" applyFill="1" applyBorder="1" applyAlignment="1">
      <alignment horizontal="center" vertical="center"/>
    </xf>
    <xf numFmtId="0" fontId="1" fillId="18" borderId="10" xfId="0" applyFont="1" applyFill="1" applyBorder="1" applyAlignment="1">
      <alignment horizontal="center" vertical="center"/>
    </xf>
    <xf numFmtId="0" fontId="5" fillId="13" borderId="32" xfId="0" applyFont="1" applyFill="1" applyBorder="1" applyAlignment="1">
      <alignment vertical="center"/>
    </xf>
    <xf numFmtId="165" fontId="1" fillId="2" borderId="1" xfId="0" applyNumberFormat="1" applyFont="1" applyFill="1" applyBorder="1" applyAlignment="1">
      <alignment horizontal="center" vertical="center"/>
    </xf>
    <xf numFmtId="0" fontId="1" fillId="0" borderId="0" xfId="0" applyFont="1" applyAlignment="1">
      <alignment horizontal="right" vertical="center"/>
    </xf>
    <xf numFmtId="164" fontId="6" fillId="2" borderId="1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0" fontId="6" fillId="18" borderId="10" xfId="0" applyFont="1" applyFill="1" applyBorder="1" applyAlignment="1">
      <alignment horizontal="center" vertical="center"/>
    </xf>
    <xf numFmtId="165" fontId="6" fillId="2" borderId="1" xfId="0" applyNumberFormat="1" applyFont="1" applyFill="1" applyBorder="1" applyAlignment="1">
      <alignment horizontal="center" vertical="center"/>
    </xf>
    <xf numFmtId="0" fontId="6" fillId="0" borderId="0" xfId="0" applyFont="1" applyAlignment="1">
      <alignment horizontal="right" vertical="center"/>
    </xf>
    <xf numFmtId="0" fontId="10" fillId="6" borderId="32" xfId="0" applyFont="1" applyFill="1" applyBorder="1" applyAlignment="1">
      <alignment horizontal="left" vertical="center" wrapText="1"/>
    </xf>
    <xf numFmtId="3" fontId="3" fillId="2" borderId="1" xfId="0" applyNumberFormat="1" applyFont="1" applyFill="1" applyBorder="1" applyAlignment="1">
      <alignment horizontal="left" vertical="center"/>
    </xf>
    <xf numFmtId="0" fontId="16" fillId="2" borderId="1" xfId="0" applyFont="1" applyFill="1" applyBorder="1" applyAlignment="1">
      <alignment vertical="center"/>
    </xf>
    <xf numFmtId="0" fontId="17" fillId="0" borderId="0" xfId="0" applyFont="1" applyAlignment="1">
      <alignment vertical="center"/>
    </xf>
    <xf numFmtId="0" fontId="3" fillId="2" borderId="5" xfId="0" applyFont="1" applyFill="1" applyBorder="1" applyAlignment="1">
      <alignment horizontal="center" vertical="center"/>
    </xf>
    <xf numFmtId="0" fontId="3" fillId="2" borderId="5" xfId="0" applyFont="1" applyFill="1" applyBorder="1" applyAlignment="1">
      <alignment horizontal="right" vertical="center"/>
    </xf>
    <xf numFmtId="170" fontId="3" fillId="7" borderId="0" xfId="0" applyNumberFormat="1" applyFont="1" applyFill="1" applyAlignment="1">
      <alignment horizontal="center" vertical="center"/>
    </xf>
    <xf numFmtId="164" fontId="3" fillId="7" borderId="0" xfId="0" applyNumberFormat="1" applyFont="1" applyFill="1" applyAlignment="1">
      <alignment horizontal="center" vertical="center"/>
    </xf>
    <xf numFmtId="164" fontId="3" fillId="2" borderId="11" xfId="0" applyNumberFormat="1" applyFont="1" applyFill="1" applyBorder="1" applyAlignment="1">
      <alignment horizontal="center" vertical="center"/>
    </xf>
    <xf numFmtId="164" fontId="16" fillId="2" borderId="1" xfId="0" applyNumberFormat="1" applyFont="1" applyFill="1" applyBorder="1" applyAlignment="1">
      <alignment vertical="center"/>
    </xf>
    <xf numFmtId="0" fontId="11" fillId="2" borderId="0" xfId="0" applyFont="1" applyFill="1" applyAlignment="1">
      <alignment vertical="center"/>
    </xf>
    <xf numFmtId="3" fontId="11" fillId="2" borderId="0" xfId="0" applyNumberFormat="1" applyFont="1" applyFill="1" applyAlignment="1">
      <alignment vertical="center"/>
    </xf>
    <xf numFmtId="165" fontId="11" fillId="2" borderId="0" xfId="0" applyNumberFormat="1" applyFont="1" applyFill="1" applyAlignment="1">
      <alignment vertical="center"/>
    </xf>
    <xf numFmtId="0" fontId="11" fillId="2" borderId="33" xfId="0" applyFont="1" applyFill="1" applyBorder="1" applyAlignment="1">
      <alignment vertical="center"/>
    </xf>
    <xf numFmtId="2" fontId="11" fillId="2" borderId="0" xfId="0" applyNumberFormat="1" applyFont="1" applyFill="1" applyAlignment="1">
      <alignment vertical="center"/>
    </xf>
    <xf numFmtId="164" fontId="11" fillId="2" borderId="33" xfId="0" applyNumberFormat="1" applyFont="1" applyFill="1" applyBorder="1" applyAlignment="1">
      <alignment vertical="center"/>
    </xf>
    <xf numFmtId="164" fontId="3" fillId="2" borderId="33" xfId="0" applyNumberFormat="1" applyFont="1" applyFill="1" applyBorder="1" applyAlignment="1">
      <alignment horizontal="center" vertical="center"/>
    </xf>
    <xf numFmtId="165" fontId="3" fillId="2" borderId="0" xfId="0" applyNumberFormat="1" applyFont="1" applyFill="1" applyAlignment="1">
      <alignment horizontal="center" vertical="center"/>
    </xf>
    <xf numFmtId="0" fontId="13" fillId="2" borderId="0" xfId="0" applyFont="1" applyFill="1" applyAlignment="1">
      <alignment vertical="center"/>
    </xf>
    <xf numFmtId="3" fontId="13" fillId="2" borderId="0" xfId="0" applyNumberFormat="1" applyFont="1" applyFill="1" applyAlignment="1">
      <alignment vertical="center"/>
    </xf>
    <xf numFmtId="165" fontId="13" fillId="2" borderId="0" xfId="0" applyNumberFormat="1" applyFont="1" applyFill="1" applyAlignment="1">
      <alignment vertical="center"/>
    </xf>
    <xf numFmtId="0" fontId="13" fillId="2" borderId="33" xfId="0" applyFont="1" applyFill="1" applyBorder="1" applyAlignment="1">
      <alignment vertical="center"/>
    </xf>
    <xf numFmtId="2" fontId="13" fillId="2" borderId="0" xfId="0" applyNumberFormat="1" applyFont="1" applyFill="1" applyAlignment="1">
      <alignment vertical="center"/>
    </xf>
    <xf numFmtId="164" fontId="13" fillId="2" borderId="33" xfId="0" applyNumberFormat="1" applyFont="1" applyFill="1" applyBorder="1" applyAlignment="1">
      <alignment vertical="center"/>
    </xf>
    <xf numFmtId="164" fontId="9" fillId="2" borderId="0" xfId="0" applyNumberFormat="1" applyFont="1" applyFill="1" applyAlignment="1">
      <alignment horizontal="center" vertical="center"/>
    </xf>
    <xf numFmtId="164" fontId="9" fillId="2" borderId="33" xfId="0" applyNumberFormat="1" applyFont="1" applyFill="1" applyBorder="1" applyAlignment="1">
      <alignment horizontal="center" vertical="center"/>
    </xf>
    <xf numFmtId="0" fontId="14" fillId="17" borderId="32" xfId="0" applyFont="1" applyFill="1" applyBorder="1" applyAlignment="1">
      <alignment horizontal="left" vertical="center" wrapText="1"/>
    </xf>
    <xf numFmtId="165" fontId="9" fillId="2" borderId="0" xfId="0" applyNumberFormat="1" applyFont="1" applyFill="1" applyAlignment="1">
      <alignment horizontal="center" vertical="center"/>
    </xf>
    <xf numFmtId="0" fontId="18" fillId="2" borderId="0" xfId="0" applyFont="1" applyFill="1" applyAlignment="1">
      <alignment vertical="center"/>
    </xf>
    <xf numFmtId="0" fontId="9" fillId="2" borderId="10" xfId="0" applyFont="1" applyFill="1" applyBorder="1" applyAlignment="1">
      <alignment horizontal="right" vertical="center"/>
    </xf>
    <xf numFmtId="0" fontId="9" fillId="0" borderId="0" xfId="0" applyFont="1" applyAlignment="1">
      <alignment vertical="center"/>
    </xf>
    <xf numFmtId="0" fontId="10" fillId="13" borderId="32" xfId="0" applyFont="1" applyFill="1" applyBorder="1" applyAlignment="1">
      <alignment horizontal="left" vertical="center" wrapText="1"/>
    </xf>
    <xf numFmtId="164" fontId="16" fillId="2" borderId="0" xfId="0" applyNumberFormat="1" applyFont="1" applyFill="1" applyAlignment="1">
      <alignment vertical="center"/>
    </xf>
    <xf numFmtId="0" fontId="9" fillId="2" borderId="1" xfId="0" applyFont="1" applyFill="1" applyBorder="1" applyAlignment="1">
      <alignment vertical="center"/>
    </xf>
    <xf numFmtId="3" fontId="9" fillId="2" borderId="1" xfId="0" applyNumberFormat="1" applyFont="1" applyFill="1" applyBorder="1" applyAlignment="1">
      <alignment horizontal="left" vertical="center"/>
    </xf>
    <xf numFmtId="3"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5" xfId="0" applyFont="1" applyFill="1" applyBorder="1" applyAlignment="1">
      <alignment horizontal="right" vertical="center"/>
    </xf>
    <xf numFmtId="170" fontId="9" fillId="7" borderId="0" xfId="0" applyNumberFormat="1" applyFont="1" applyFill="1" applyAlignment="1">
      <alignment horizontal="center" vertical="center"/>
    </xf>
    <xf numFmtId="164" fontId="9" fillId="7" borderId="0" xfId="0" applyNumberFormat="1" applyFont="1" applyFill="1" applyAlignment="1">
      <alignment horizontal="center" vertical="center"/>
    </xf>
    <xf numFmtId="164" fontId="9" fillId="2" borderId="11" xfId="0" applyNumberFormat="1" applyFont="1" applyFill="1" applyBorder="1" applyAlignment="1">
      <alignment horizontal="center" vertical="center"/>
    </xf>
    <xf numFmtId="164" fontId="19" fillId="2" borderId="1" xfId="0" applyNumberFormat="1" applyFont="1" applyFill="1" applyBorder="1" applyAlignment="1">
      <alignment vertical="center"/>
    </xf>
    <xf numFmtId="164" fontId="19" fillId="2" borderId="0" xfId="0" applyNumberFormat="1" applyFont="1" applyFill="1" applyAlignment="1">
      <alignment vertical="center"/>
    </xf>
    <xf numFmtId="0" fontId="19" fillId="2" borderId="1" xfId="0" applyFont="1" applyFill="1" applyBorder="1" applyAlignment="1">
      <alignment vertical="center"/>
    </xf>
    <xf numFmtId="0" fontId="20" fillId="0" borderId="0" xfId="0" applyFont="1" applyAlignment="1">
      <alignment vertical="center"/>
    </xf>
    <xf numFmtId="0" fontId="3" fillId="2" borderId="0" xfId="0" applyFont="1" applyFill="1" applyAlignment="1">
      <alignment vertical="center"/>
    </xf>
    <xf numFmtId="3" fontId="3" fillId="2" borderId="0" xfId="0" applyNumberFormat="1" applyFont="1" applyFill="1" applyAlignment="1">
      <alignment vertical="center"/>
    </xf>
    <xf numFmtId="3"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169" fontId="3" fillId="2" borderId="0" xfId="0" applyNumberFormat="1" applyFont="1" applyFill="1" applyAlignment="1">
      <alignment horizontal="center" vertical="center"/>
    </xf>
    <xf numFmtId="164" fontId="3" fillId="19" borderId="33" xfId="0" applyNumberFormat="1" applyFont="1" applyFill="1" applyBorder="1" applyAlignment="1">
      <alignment horizontal="center" vertical="center"/>
    </xf>
    <xf numFmtId="0" fontId="3" fillId="11" borderId="0" xfId="0" applyFont="1" applyFill="1" applyAlignment="1">
      <alignment horizontal="center" vertical="center"/>
    </xf>
    <xf numFmtId="0" fontId="3" fillId="11" borderId="33" xfId="0" applyFont="1" applyFill="1" applyBorder="1" applyAlignment="1">
      <alignment horizontal="center" vertical="center"/>
    </xf>
    <xf numFmtId="168" fontId="11" fillId="2" borderId="0" xfId="0" applyNumberFormat="1" applyFont="1" applyFill="1" applyAlignment="1">
      <alignment vertical="center"/>
    </xf>
    <xf numFmtId="169" fontId="11" fillId="2" borderId="0" xfId="0" applyNumberFormat="1" applyFont="1" applyFill="1" applyAlignment="1">
      <alignment vertical="center"/>
    </xf>
    <xf numFmtId="0" fontId="5" fillId="2" borderId="0" xfId="0" applyFont="1" applyFill="1" applyAlignment="1">
      <alignment vertical="center"/>
    </xf>
    <xf numFmtId="3" fontId="5" fillId="2" borderId="0" xfId="0" applyNumberFormat="1" applyFont="1" applyFill="1" applyAlignment="1">
      <alignment vertical="center"/>
    </xf>
    <xf numFmtId="165" fontId="5" fillId="2" borderId="0" xfId="0" applyNumberFormat="1" applyFont="1" applyFill="1" applyAlignment="1">
      <alignment vertical="center"/>
    </xf>
    <xf numFmtId="164" fontId="5" fillId="2" borderId="33" xfId="0" applyNumberFormat="1" applyFont="1" applyFill="1" applyBorder="1" applyAlignment="1">
      <alignment vertical="center"/>
    </xf>
    <xf numFmtId="2" fontId="5" fillId="2" borderId="0" xfId="0" applyNumberFormat="1" applyFont="1" applyFill="1" applyAlignment="1">
      <alignment vertical="center"/>
    </xf>
    <xf numFmtId="168" fontId="5" fillId="2" borderId="0" xfId="0" applyNumberFormat="1" applyFont="1" applyFill="1" applyAlignment="1">
      <alignment vertical="center"/>
    </xf>
    <xf numFmtId="169" fontId="5" fillId="2" borderId="0" xfId="0" applyNumberFormat="1" applyFont="1" applyFill="1" applyAlignment="1">
      <alignment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165" fontId="1" fillId="2" borderId="0" xfId="0" applyNumberFormat="1" applyFont="1" applyFill="1" applyAlignment="1">
      <alignment horizontal="center" vertical="center"/>
    </xf>
    <xf numFmtId="0" fontId="5" fillId="2" borderId="0" xfId="0" applyFont="1" applyFill="1"/>
    <xf numFmtId="3" fontId="5" fillId="2" borderId="0" xfId="0" applyNumberFormat="1" applyFont="1" applyFill="1"/>
    <xf numFmtId="165" fontId="5" fillId="2" borderId="0" xfId="0" applyNumberFormat="1" applyFont="1" applyFill="1"/>
    <xf numFmtId="164" fontId="5" fillId="2" borderId="33" xfId="0" applyNumberFormat="1" applyFont="1" applyFill="1" applyBorder="1"/>
    <xf numFmtId="2" fontId="5" fillId="2" borderId="0" xfId="0" applyNumberFormat="1" applyFont="1" applyFill="1"/>
    <xf numFmtId="168" fontId="5" fillId="2" borderId="0" xfId="0" applyNumberFormat="1" applyFont="1" applyFill="1"/>
    <xf numFmtId="169" fontId="5" fillId="2" borderId="0" xfId="0" applyNumberFormat="1" applyFont="1" applyFill="1"/>
    <xf numFmtId="169" fontId="1" fillId="2" borderId="5" xfId="0" applyNumberFormat="1" applyFont="1" applyFill="1" applyBorder="1" applyAlignment="1">
      <alignment horizontal="center"/>
    </xf>
    <xf numFmtId="0" fontId="1" fillId="2" borderId="11" xfId="0" applyFont="1" applyFill="1" applyBorder="1" applyAlignment="1">
      <alignment horizontal="center"/>
    </xf>
    <xf numFmtId="0" fontId="1" fillId="2" borderId="10" xfId="0" applyFont="1" applyFill="1" applyBorder="1" applyAlignment="1">
      <alignment horizontal="center"/>
    </xf>
    <xf numFmtId="0" fontId="1" fillId="2" borderId="1" xfId="0" applyFont="1" applyFill="1" applyBorder="1" applyAlignment="1">
      <alignment horizontal="center"/>
    </xf>
    <xf numFmtId="165" fontId="1" fillId="2" borderId="0" xfId="0" applyNumberFormat="1" applyFont="1" applyFill="1" applyAlignment="1">
      <alignment horizontal="center"/>
    </xf>
    <xf numFmtId="0" fontId="1" fillId="0" borderId="0" xfId="0" applyFont="1" applyAlignment="1">
      <alignment horizontal="right"/>
    </xf>
    <xf numFmtId="0" fontId="5" fillId="0" borderId="0" xfId="0" applyFont="1"/>
    <xf numFmtId="3" fontId="1" fillId="2" borderId="1" xfId="0" applyNumberFormat="1" applyFont="1" applyFill="1" applyBorder="1" applyAlignment="1">
      <alignment horizontal="left"/>
    </xf>
    <xf numFmtId="3" fontId="1" fillId="2" borderId="1" xfId="0" applyNumberFormat="1" applyFont="1" applyFill="1" applyBorder="1" applyAlignment="1">
      <alignment horizontal="center"/>
    </xf>
    <xf numFmtId="165" fontId="1" fillId="2" borderId="1" xfId="0" applyNumberFormat="1" applyFont="1" applyFill="1" applyBorder="1" applyAlignment="1">
      <alignment horizontal="center"/>
    </xf>
    <xf numFmtId="0" fontId="1" fillId="2" borderId="10" xfId="0" applyFont="1" applyFill="1" applyBorder="1" applyAlignment="1">
      <alignment horizontal="right"/>
    </xf>
    <xf numFmtId="2" fontId="1" fillId="2" borderId="1" xfId="0" applyNumberFormat="1" applyFont="1" applyFill="1" applyBorder="1" applyAlignment="1">
      <alignment horizontal="center"/>
    </xf>
    <xf numFmtId="168" fontId="1" fillId="2" borderId="1" xfId="0" applyNumberFormat="1" applyFont="1" applyFill="1" applyBorder="1" applyAlignment="1">
      <alignment horizontal="center"/>
    </xf>
    <xf numFmtId="169" fontId="1" fillId="2" borderId="1" xfId="0" applyNumberFormat="1" applyFont="1" applyFill="1" applyBorder="1" applyAlignment="1">
      <alignment horizontal="center"/>
    </xf>
    <xf numFmtId="0" fontId="21" fillId="13" borderId="32" xfId="0" applyFont="1" applyFill="1" applyBorder="1" applyAlignment="1">
      <alignment horizontal="left" vertical="center" wrapText="1"/>
    </xf>
    <xf numFmtId="0" fontId="21" fillId="13" borderId="32" xfId="0" applyFont="1" applyFill="1" applyBorder="1" applyAlignment="1">
      <alignment horizontal="left" wrapText="1"/>
    </xf>
    <xf numFmtId="164" fontId="1" fillId="2" borderId="0" xfId="0" applyNumberFormat="1" applyFont="1" applyFill="1" applyAlignment="1">
      <alignment horizontal="center"/>
    </xf>
    <xf numFmtId="0" fontId="1" fillId="2" borderId="5" xfId="0" applyFont="1" applyFill="1" applyBorder="1" applyAlignment="1">
      <alignment horizontal="center"/>
    </xf>
    <xf numFmtId="0" fontId="1" fillId="2" borderId="5" xfId="0" applyFont="1" applyFill="1" applyBorder="1" applyAlignment="1">
      <alignment horizontal="right"/>
    </xf>
    <xf numFmtId="3" fontId="1" fillId="2" borderId="0" xfId="0" applyNumberFormat="1" applyFont="1" applyFill="1"/>
    <xf numFmtId="3" fontId="1" fillId="2" borderId="0" xfId="0" applyNumberFormat="1" applyFont="1" applyFill="1" applyAlignment="1">
      <alignment horizontal="center"/>
    </xf>
    <xf numFmtId="164" fontId="1" fillId="2" borderId="33" xfId="0" applyNumberFormat="1" applyFont="1" applyFill="1" applyBorder="1" applyAlignment="1">
      <alignment horizontal="center"/>
    </xf>
    <xf numFmtId="0" fontId="1" fillId="2" borderId="0" xfId="0" applyFont="1" applyFill="1" applyAlignment="1">
      <alignment horizontal="right"/>
    </xf>
    <xf numFmtId="169" fontId="1" fillId="2" borderId="0" xfId="0" applyNumberFormat="1" applyFont="1" applyFill="1" applyAlignment="1">
      <alignment horizontal="center"/>
    </xf>
    <xf numFmtId="164" fontId="1" fillId="19" borderId="33" xfId="0" applyNumberFormat="1" applyFont="1" applyFill="1" applyBorder="1" applyAlignment="1">
      <alignment horizontal="center"/>
    </xf>
    <xf numFmtId="0" fontId="1" fillId="20" borderId="0" xfId="0" applyFont="1" applyFill="1" applyAlignment="1">
      <alignment horizontal="center"/>
    </xf>
    <xf numFmtId="0" fontId="1" fillId="11" borderId="0" xfId="0" applyFont="1" applyFill="1" applyAlignment="1">
      <alignment horizontal="center"/>
    </xf>
    <xf numFmtId="0" fontId="1" fillId="11" borderId="33" xfId="0" applyFont="1" applyFill="1" applyBorder="1" applyAlignment="1">
      <alignment horizontal="center"/>
    </xf>
    <xf numFmtId="164" fontId="3" fillId="2" borderId="1" xfId="0" applyNumberFormat="1" applyFont="1" applyFill="1" applyBorder="1" applyAlignment="1">
      <alignment horizontal="center"/>
    </xf>
    <xf numFmtId="170" fontId="5" fillId="2" borderId="0" xfId="0" applyNumberFormat="1" applyFont="1" applyFill="1"/>
    <xf numFmtId="0" fontId="3" fillId="2" borderId="0" xfId="0" applyFont="1" applyFill="1" applyAlignment="1">
      <alignment horizontal="right"/>
    </xf>
    <xf numFmtId="0" fontId="11" fillId="2" borderId="0" xfId="0" applyFont="1" applyFill="1"/>
    <xf numFmtId="3" fontId="11" fillId="2" borderId="0" xfId="0" applyNumberFormat="1" applyFont="1" applyFill="1"/>
    <xf numFmtId="165" fontId="11" fillId="2" borderId="0" xfId="0" applyNumberFormat="1" applyFont="1" applyFill="1"/>
    <xf numFmtId="164" fontId="11" fillId="2" borderId="0" xfId="0" applyNumberFormat="1" applyFont="1" applyFill="1"/>
    <xf numFmtId="164" fontId="11" fillId="2" borderId="33" xfId="0" applyNumberFormat="1" applyFont="1" applyFill="1" applyBorder="1"/>
    <xf numFmtId="2" fontId="11" fillId="2" borderId="0" xfId="0" applyNumberFormat="1" applyFont="1" applyFill="1"/>
    <xf numFmtId="168" fontId="11" fillId="2" borderId="0" xfId="0" applyNumberFormat="1" applyFont="1" applyFill="1"/>
    <xf numFmtId="169" fontId="11" fillId="2" borderId="0" xfId="0" applyNumberFormat="1" applyFont="1" applyFill="1"/>
    <xf numFmtId="170" fontId="11" fillId="2" borderId="0" xfId="0" applyNumberFormat="1" applyFont="1" applyFill="1"/>
    <xf numFmtId="165" fontId="3" fillId="2" borderId="0" xfId="0" applyNumberFormat="1" applyFont="1" applyFill="1" applyAlignment="1">
      <alignment horizontal="center"/>
    </xf>
    <xf numFmtId="0" fontId="3" fillId="0" borderId="0" xfId="0" applyFont="1" applyAlignment="1">
      <alignment horizontal="right"/>
    </xf>
    <xf numFmtId="0" fontId="11" fillId="0" borderId="0" xfId="0" applyFont="1"/>
    <xf numFmtId="0" fontId="12" fillId="2" borderId="1" xfId="0" applyFont="1" applyFill="1" applyBorder="1" applyAlignment="1">
      <alignment horizontal="right"/>
    </xf>
    <xf numFmtId="0" fontId="12" fillId="2" borderId="1" xfId="0" applyFont="1" applyFill="1" applyBorder="1"/>
    <xf numFmtId="3" fontId="12" fillId="2" borderId="1" xfId="0" applyNumberFormat="1" applyFont="1" applyFill="1" applyBorder="1" applyAlignment="1">
      <alignment horizontal="left"/>
    </xf>
    <xf numFmtId="3" fontId="12" fillId="2" borderId="1" xfId="0" applyNumberFormat="1" applyFont="1" applyFill="1" applyBorder="1" applyAlignment="1">
      <alignment horizontal="center"/>
    </xf>
    <xf numFmtId="0" fontId="12" fillId="2" borderId="1" xfId="0" applyFont="1" applyFill="1" applyBorder="1" applyAlignment="1">
      <alignment horizontal="center"/>
    </xf>
    <xf numFmtId="165" fontId="12" fillId="2" borderId="1" xfId="0" applyNumberFormat="1" applyFont="1" applyFill="1" applyBorder="1" applyAlignment="1">
      <alignment horizontal="center"/>
    </xf>
    <xf numFmtId="164" fontId="12" fillId="2" borderId="1" xfId="0" applyNumberFormat="1" applyFont="1" applyFill="1" applyBorder="1" applyAlignment="1">
      <alignment horizontal="center"/>
    </xf>
    <xf numFmtId="164" fontId="12" fillId="2" borderId="5" xfId="0" applyNumberFormat="1" applyFont="1" applyFill="1" applyBorder="1" applyAlignment="1">
      <alignment horizontal="center"/>
    </xf>
    <xf numFmtId="0" fontId="12" fillId="2" borderId="10" xfId="0" applyFont="1" applyFill="1" applyBorder="1" applyAlignment="1">
      <alignment horizontal="right"/>
    </xf>
    <xf numFmtId="2" fontId="12" fillId="2" borderId="1" xfId="0" applyNumberFormat="1" applyFont="1" applyFill="1" applyBorder="1" applyAlignment="1">
      <alignment horizontal="center"/>
    </xf>
    <xf numFmtId="168" fontId="12" fillId="2" borderId="1" xfId="0" applyNumberFormat="1" applyFont="1" applyFill="1" applyBorder="1" applyAlignment="1">
      <alignment horizontal="center"/>
    </xf>
    <xf numFmtId="169" fontId="12" fillId="2" borderId="1" xfId="0" applyNumberFormat="1" applyFont="1" applyFill="1" applyBorder="1" applyAlignment="1">
      <alignment horizontal="center"/>
    </xf>
    <xf numFmtId="169" fontId="12" fillId="2" borderId="5" xfId="0" applyNumberFormat="1" applyFont="1" applyFill="1" applyBorder="1" applyAlignment="1">
      <alignment horizontal="center"/>
    </xf>
    <xf numFmtId="0" fontId="12" fillId="2" borderId="11" xfId="0" applyFont="1" applyFill="1" applyBorder="1" applyAlignment="1">
      <alignment horizontal="center"/>
    </xf>
    <xf numFmtId="0" fontId="12" fillId="2" borderId="10" xfId="0" applyFont="1" applyFill="1" applyBorder="1" applyAlignment="1">
      <alignment horizontal="center"/>
    </xf>
    <xf numFmtId="164" fontId="12" fillId="2" borderId="10" xfId="0" applyNumberFormat="1" applyFont="1" applyFill="1" applyBorder="1" applyAlignment="1">
      <alignment horizontal="center"/>
    </xf>
    <xf numFmtId="0" fontId="12" fillId="2" borderId="10" xfId="0" applyFont="1" applyFill="1" applyBorder="1" applyAlignment="1">
      <alignment horizontal="center" vertical="center"/>
    </xf>
    <xf numFmtId="0" fontId="12" fillId="11" borderId="1" xfId="0" applyFont="1" applyFill="1" applyBorder="1" applyAlignment="1">
      <alignment horizontal="center" vertical="center"/>
    </xf>
    <xf numFmtId="0" fontId="12" fillId="2" borderId="1" xfId="0" applyFont="1" applyFill="1" applyBorder="1" applyAlignment="1">
      <alignment horizontal="center" vertical="center"/>
    </xf>
    <xf numFmtId="0" fontId="22" fillId="2" borderId="32" xfId="0" applyFont="1" applyFill="1" applyBorder="1" applyAlignment="1">
      <alignment horizontal="left" wrapText="1"/>
    </xf>
    <xf numFmtId="0" fontId="22" fillId="18" borderId="32" xfId="0" applyFont="1" applyFill="1" applyBorder="1" applyAlignment="1">
      <alignment horizontal="left" vertical="center" wrapText="1"/>
    </xf>
    <xf numFmtId="0" fontId="12" fillId="0" borderId="0" xfId="0" applyFont="1"/>
    <xf numFmtId="164" fontId="12" fillId="2" borderId="0" xfId="0" applyNumberFormat="1" applyFont="1" applyFill="1" applyAlignment="1">
      <alignment horizontal="center"/>
    </xf>
    <xf numFmtId="0" fontId="23" fillId="2" borderId="1" xfId="0" applyFont="1" applyFill="1" applyBorder="1"/>
    <xf numFmtId="0" fontId="24" fillId="0" borderId="0" xfId="0" applyFont="1"/>
    <xf numFmtId="0" fontId="3" fillId="2" borderId="1" xfId="0" applyFont="1" applyFill="1" applyBorder="1" applyAlignment="1">
      <alignment horizontal="right"/>
    </xf>
    <xf numFmtId="0" fontId="6" fillId="2" borderId="10" xfId="0" applyFont="1" applyFill="1" applyBorder="1" applyAlignment="1">
      <alignment horizontal="right"/>
    </xf>
    <xf numFmtId="170" fontId="1" fillId="7" borderId="0" xfId="0" applyNumberFormat="1" applyFont="1" applyFill="1" applyAlignment="1">
      <alignment horizontal="center"/>
    </xf>
    <xf numFmtId="164" fontId="1" fillId="7" borderId="0" xfId="0" applyNumberFormat="1" applyFont="1" applyFill="1" applyAlignment="1">
      <alignment horizontal="center"/>
    </xf>
    <xf numFmtId="164" fontId="3" fillId="2" borderId="11" xfId="0" applyNumberFormat="1" applyFont="1" applyFill="1" applyBorder="1" applyAlignment="1">
      <alignment horizontal="center"/>
    </xf>
    <xf numFmtId="164" fontId="3" fillId="2" borderId="10" xfId="0" applyNumberFormat="1" applyFont="1" applyFill="1" applyBorder="1" applyAlignment="1">
      <alignment horizontal="center"/>
    </xf>
    <xf numFmtId="164" fontId="3" fillId="2" borderId="5" xfId="0" applyNumberFormat="1" applyFont="1" applyFill="1" applyBorder="1" applyAlignment="1">
      <alignment horizontal="center"/>
    </xf>
    <xf numFmtId="165" fontId="25" fillId="5" borderId="14" xfId="0" applyNumberFormat="1" applyFont="1" applyFill="1" applyBorder="1"/>
    <xf numFmtId="165" fontId="25" fillId="5" borderId="19" xfId="0" applyNumberFormat="1" applyFont="1" applyFill="1" applyBorder="1"/>
    <xf numFmtId="0" fontId="25" fillId="5" borderId="34" xfId="0" applyFont="1" applyFill="1" applyBorder="1"/>
    <xf numFmtId="0" fontId="25" fillId="5" borderId="35" xfId="0" applyFont="1" applyFill="1" applyBorder="1"/>
    <xf numFmtId="0" fontId="25" fillId="5" borderId="15" xfId="0" applyFont="1" applyFill="1" applyBorder="1"/>
    <xf numFmtId="0" fontId="25" fillId="5" borderId="14" xfId="0" applyFont="1" applyFill="1" applyBorder="1"/>
    <xf numFmtId="0" fontId="25" fillId="5" borderId="19" xfId="0" applyFont="1" applyFill="1" applyBorder="1"/>
    <xf numFmtId="164" fontId="25" fillId="5" borderId="14" xfId="0" applyNumberFormat="1" applyFont="1" applyFill="1" applyBorder="1"/>
    <xf numFmtId="164" fontId="2" fillId="5" borderId="15" xfId="0" applyNumberFormat="1" applyFont="1" applyFill="1" applyBorder="1"/>
    <xf numFmtId="164" fontId="2" fillId="5" borderId="14" xfId="0" applyNumberFormat="1" applyFont="1" applyFill="1" applyBorder="1"/>
    <xf numFmtId="0" fontId="6" fillId="2" borderId="0" xfId="0" applyFont="1" applyFill="1"/>
    <xf numFmtId="165" fontId="25" fillId="2" borderId="13" xfId="0" applyNumberFormat="1" applyFont="1" applyFill="1" applyBorder="1"/>
    <xf numFmtId="169" fontId="3" fillId="2" borderId="1" xfId="0" applyNumberFormat="1" applyFont="1" applyFill="1" applyBorder="1" applyAlignment="1">
      <alignment horizontal="center"/>
    </xf>
    <xf numFmtId="165" fontId="25" fillId="2" borderId="36" xfId="0" applyNumberFormat="1" applyFont="1" applyFill="1" applyBorder="1"/>
    <xf numFmtId="0" fontId="25" fillId="2" borderId="37" xfId="0" applyFont="1" applyFill="1" applyBorder="1"/>
    <xf numFmtId="0" fontId="25" fillId="2" borderId="20" xfId="0" applyFont="1" applyFill="1" applyBorder="1"/>
    <xf numFmtId="169" fontId="25" fillId="2" borderId="38" xfId="0" applyNumberFormat="1" applyFont="1" applyFill="1" applyBorder="1"/>
    <xf numFmtId="164" fontId="1" fillId="2" borderId="39" xfId="0" applyNumberFormat="1" applyFont="1" applyFill="1" applyBorder="1" applyAlignment="1">
      <alignment horizontal="center"/>
    </xf>
    <xf numFmtId="0" fontId="25" fillId="2" borderId="40" xfId="0" applyFont="1" applyFill="1" applyBorder="1"/>
    <xf numFmtId="0" fontId="25" fillId="2" borderId="13" xfId="0" applyFont="1" applyFill="1" applyBorder="1"/>
    <xf numFmtId="164" fontId="25" fillId="2" borderId="13" xfId="0" applyNumberFormat="1" applyFont="1" applyFill="1" applyBorder="1"/>
    <xf numFmtId="165" fontId="25" fillId="2" borderId="1" xfId="0" applyNumberFormat="1" applyFont="1" applyFill="1" applyBorder="1"/>
    <xf numFmtId="0" fontId="25" fillId="2" borderId="1" xfId="0" applyFont="1" applyFill="1" applyBorder="1"/>
    <xf numFmtId="2" fontId="3" fillId="2" borderId="1" xfId="0" applyNumberFormat="1" applyFont="1" applyFill="1" applyBorder="1" applyAlignment="1">
      <alignment horizontal="center"/>
    </xf>
    <xf numFmtId="165" fontId="25" fillId="2" borderId="5" xfId="0" applyNumberFormat="1" applyFont="1" applyFill="1" applyBorder="1"/>
    <xf numFmtId="0" fontId="25" fillId="2" borderId="16" xfId="0" applyFont="1" applyFill="1" applyBorder="1"/>
    <xf numFmtId="0" fontId="25" fillId="2" borderId="14" xfId="0" applyFont="1" applyFill="1" applyBorder="1"/>
    <xf numFmtId="169" fontId="25" fillId="2" borderId="19" xfId="0" applyNumberFormat="1" applyFont="1" applyFill="1" applyBorder="1"/>
    <xf numFmtId="164" fontId="1" fillId="2" borderId="41" xfId="0" applyNumberFormat="1" applyFont="1" applyFill="1" applyBorder="1" applyAlignment="1">
      <alignment horizontal="center"/>
    </xf>
    <xf numFmtId="0" fontId="25" fillId="2" borderId="9" xfId="0" applyFont="1" applyFill="1" applyBorder="1"/>
    <xf numFmtId="0" fontId="26" fillId="2" borderId="0" xfId="0" applyFont="1" applyFill="1"/>
    <xf numFmtId="164" fontId="25" fillId="2" borderId="1" xfId="0" applyNumberFormat="1" applyFont="1" applyFill="1" applyBorder="1"/>
    <xf numFmtId="10" fontId="9" fillId="2" borderId="1" xfId="0" applyNumberFormat="1" applyFont="1" applyFill="1" applyBorder="1" applyAlignment="1">
      <alignment horizontal="center"/>
    </xf>
    <xf numFmtId="169" fontId="25" fillId="2" borderId="42" xfId="0" applyNumberFormat="1" applyFont="1" applyFill="1" applyBorder="1"/>
    <xf numFmtId="0" fontId="27" fillId="2" borderId="1" xfId="0" applyFont="1" applyFill="1" applyBorder="1"/>
    <xf numFmtId="0" fontId="25" fillId="2" borderId="34" xfId="0" applyFont="1" applyFill="1" applyBorder="1"/>
    <xf numFmtId="0" fontId="25" fillId="2" borderId="35" xfId="0" applyFont="1" applyFill="1" applyBorder="1"/>
    <xf numFmtId="169" fontId="25" fillId="2" borderId="43" xfId="0" applyNumberFormat="1" applyFont="1" applyFill="1" applyBorder="1"/>
    <xf numFmtId="164" fontId="2" fillId="2" borderId="2" xfId="0" applyNumberFormat="1" applyFont="1" applyFill="1" applyBorder="1"/>
    <xf numFmtId="0" fontId="2" fillId="2" borderId="13" xfId="0" applyFont="1" applyFill="1" applyBorder="1"/>
    <xf numFmtId="4" fontId="25" fillId="2" borderId="1" xfId="0" applyNumberFormat="1" applyFont="1" applyFill="1" applyBorder="1"/>
    <xf numFmtId="165" fontId="25" fillId="2" borderId="1" xfId="0" applyNumberFormat="1" applyFont="1" applyFill="1" applyBorder="1" applyAlignment="1">
      <alignment horizontal="left"/>
    </xf>
    <xf numFmtId="0" fontId="4" fillId="4" borderId="32" xfId="0" applyFont="1" applyFill="1" applyBorder="1" applyAlignment="1">
      <alignment horizontal="center" vertical="center" wrapText="1"/>
    </xf>
    <xf numFmtId="171" fontId="4" fillId="4" borderId="32" xfId="0" applyNumberFormat="1" applyFont="1" applyFill="1" applyBorder="1" applyAlignment="1">
      <alignment horizontal="center" vertical="center" wrapText="1"/>
    </xf>
    <xf numFmtId="165" fontId="28" fillId="2" borderId="9" xfId="0" applyNumberFormat="1" applyFont="1" applyFill="1" applyBorder="1" applyAlignment="1">
      <alignment horizontal="center"/>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46" xfId="0" applyFont="1" applyFill="1" applyBorder="1" applyAlignment="1">
      <alignment horizontal="center" vertical="center" wrapText="1"/>
    </xf>
    <xf numFmtId="164" fontId="3" fillId="2" borderId="47" xfId="0" applyNumberFormat="1" applyFont="1" applyFill="1" applyBorder="1" applyAlignment="1">
      <alignment horizontal="center"/>
    </xf>
    <xf numFmtId="164" fontId="1" fillId="2" borderId="48" xfId="0" applyNumberFormat="1" applyFont="1" applyFill="1" applyBorder="1" applyAlignment="1">
      <alignment horizontal="center"/>
    </xf>
    <xf numFmtId="164" fontId="1" fillId="2" borderId="49" xfId="0" applyNumberFormat="1" applyFont="1" applyFill="1" applyBorder="1" applyAlignment="1">
      <alignment horizontal="center"/>
    </xf>
    <xf numFmtId="0" fontId="29" fillId="0" borderId="0" xfId="0" applyFont="1"/>
    <xf numFmtId="164" fontId="3" fillId="2" borderId="16" xfId="0" applyNumberFormat="1" applyFont="1" applyFill="1" applyBorder="1" applyAlignment="1">
      <alignment horizontal="center"/>
    </xf>
    <xf numFmtId="0" fontId="9" fillId="2" borderId="1" xfId="0" applyFont="1" applyFill="1" applyBorder="1"/>
    <xf numFmtId="0" fontId="7" fillId="0" borderId="0" xfId="0" applyFont="1" applyAlignment="1">
      <alignment horizontal="right"/>
    </xf>
    <xf numFmtId="4" fontId="25" fillId="2" borderId="6" xfId="0" applyNumberFormat="1" applyFont="1" applyFill="1" applyBorder="1"/>
    <xf numFmtId="164" fontId="3" fillId="2" borderId="32" xfId="0" applyNumberFormat="1" applyFont="1" applyFill="1" applyBorder="1" applyAlignment="1">
      <alignment horizontal="center"/>
    </xf>
    <xf numFmtId="172" fontId="25" fillId="2" borderId="1" xfId="0" applyNumberFormat="1" applyFont="1" applyFill="1" applyBorder="1"/>
    <xf numFmtId="173" fontId="28" fillId="4" borderId="32" xfId="0" applyNumberFormat="1" applyFont="1" applyFill="1" applyBorder="1" applyAlignment="1">
      <alignment horizontal="center" vertical="center" wrapText="1"/>
    </xf>
    <xf numFmtId="4" fontId="30" fillId="2" borderId="0" xfId="0" applyNumberFormat="1" applyFont="1" applyFill="1"/>
    <xf numFmtId="164" fontId="31" fillId="2" borderId="1" xfId="0" applyNumberFormat="1" applyFont="1" applyFill="1" applyBorder="1"/>
    <xf numFmtId="0" fontId="31" fillId="2" borderId="1" xfId="0" applyFont="1" applyFill="1" applyBorder="1"/>
    <xf numFmtId="0" fontId="7" fillId="0" borderId="21" xfId="0" applyFont="1" applyBorder="1"/>
    <xf numFmtId="0" fontId="1" fillId="2" borderId="19" xfId="0" applyFont="1" applyFill="1" applyBorder="1"/>
    <xf numFmtId="164" fontId="1" fillId="2" borderId="36" xfId="0" applyNumberFormat="1" applyFont="1" applyFill="1" applyBorder="1" applyAlignment="1">
      <alignment horizontal="center"/>
    </xf>
    <xf numFmtId="4" fontId="32" fillId="2" borderId="2" xfId="0" applyNumberFormat="1" applyFont="1" applyFill="1" applyBorder="1"/>
    <xf numFmtId="4" fontId="25" fillId="2" borderId="2" xfId="0" applyNumberFormat="1" applyFont="1" applyFill="1" applyBorder="1"/>
    <xf numFmtId="165" fontId="25" fillId="2" borderId="2" xfId="0" applyNumberFormat="1" applyFont="1" applyFill="1" applyBorder="1"/>
    <xf numFmtId="0" fontId="25" fillId="2" borderId="2" xfId="0" applyFont="1" applyFill="1" applyBorder="1"/>
    <xf numFmtId="173" fontId="28" fillId="4" borderId="32" xfId="0" applyNumberFormat="1" applyFont="1" applyFill="1" applyBorder="1" applyAlignment="1">
      <alignment horizontal="center"/>
    </xf>
    <xf numFmtId="0" fontId="28" fillId="4" borderId="53" xfId="0" applyFont="1" applyFill="1" applyBorder="1" applyAlignment="1">
      <alignment horizontal="center"/>
    </xf>
    <xf numFmtId="0" fontId="4" fillId="21" borderId="23" xfId="0" applyFont="1" applyFill="1" applyBorder="1" applyAlignment="1">
      <alignment horizontal="center" vertical="center"/>
    </xf>
    <xf numFmtId="0" fontId="28" fillId="21" borderId="27" xfId="0" applyFont="1" applyFill="1" applyBorder="1" applyAlignment="1">
      <alignment horizontal="center" vertical="center" wrapText="1"/>
    </xf>
    <xf numFmtId="0" fontId="4" fillId="21" borderId="27" xfId="0" applyFont="1" applyFill="1" applyBorder="1" applyAlignment="1">
      <alignment horizontal="center" vertical="center" wrapText="1"/>
    </xf>
    <xf numFmtId="0" fontId="4" fillId="21" borderId="54" xfId="0" applyFont="1" applyFill="1" applyBorder="1" applyAlignment="1">
      <alignment horizontal="left" vertical="center" wrapText="1"/>
    </xf>
    <xf numFmtId="173" fontId="28" fillId="4" borderId="53" xfId="0" applyNumberFormat="1" applyFont="1" applyFill="1" applyBorder="1" applyAlignment="1">
      <alignment horizontal="center"/>
    </xf>
    <xf numFmtId="3" fontId="3" fillId="2" borderId="1" xfId="0" applyNumberFormat="1" applyFont="1" applyFill="1" applyBorder="1" applyAlignment="1">
      <alignment horizontal="left"/>
    </xf>
    <xf numFmtId="3" fontId="3" fillId="2" borderId="1" xfId="0" applyNumberFormat="1" applyFont="1" applyFill="1" applyBorder="1" applyAlignment="1">
      <alignment horizontal="center"/>
    </xf>
    <xf numFmtId="0" fontId="3" fillId="2" borderId="1" xfId="0" applyFont="1" applyFill="1" applyBorder="1" applyAlignment="1">
      <alignment horizontal="center"/>
    </xf>
    <xf numFmtId="165" fontId="3"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0" fontId="3" fillId="2" borderId="10" xfId="0" applyFont="1" applyFill="1" applyBorder="1" applyAlignment="1">
      <alignment horizontal="right"/>
    </xf>
    <xf numFmtId="168" fontId="3" fillId="2" borderId="1" xfId="0" applyNumberFormat="1" applyFont="1" applyFill="1" applyBorder="1" applyAlignment="1">
      <alignment horizontal="center"/>
    </xf>
    <xf numFmtId="169" fontId="3" fillId="2" borderId="5" xfId="0" applyNumberFormat="1" applyFont="1" applyFill="1" applyBorder="1" applyAlignment="1">
      <alignment horizontal="center"/>
    </xf>
    <xf numFmtId="164" fontId="7" fillId="0" borderId="0" xfId="0" applyNumberFormat="1" applyFont="1" applyAlignment="1">
      <alignment horizontal="center"/>
    </xf>
    <xf numFmtId="0" fontId="25" fillId="0" borderId="0" xfId="0" applyFont="1"/>
    <xf numFmtId="0" fontId="3" fillId="22" borderId="1" xfId="0" applyFont="1" applyFill="1" applyBorder="1"/>
    <xf numFmtId="0" fontId="3" fillId="22" borderId="10" xfId="0" applyFont="1" applyFill="1" applyBorder="1" applyAlignment="1">
      <alignment horizontal="right"/>
    </xf>
    <xf numFmtId="0" fontId="3" fillId="0" borderId="0" xfId="0" applyFont="1"/>
    <xf numFmtId="0" fontId="3" fillId="2" borderId="0" xfId="0" applyFont="1" applyFill="1"/>
    <xf numFmtId="3" fontId="3" fillId="2" borderId="0" xfId="0" applyNumberFormat="1" applyFont="1" applyFill="1"/>
    <xf numFmtId="3" fontId="3" fillId="2" borderId="0" xfId="0" applyNumberFormat="1" applyFont="1" applyFill="1" applyAlignment="1">
      <alignment horizontal="center"/>
    </xf>
    <xf numFmtId="0" fontId="3" fillId="2" borderId="0" xfId="0" applyFont="1" applyFill="1" applyAlignment="1">
      <alignment horizontal="center"/>
    </xf>
    <xf numFmtId="164" fontId="3" fillId="2" borderId="33" xfId="0" applyNumberFormat="1" applyFont="1" applyFill="1" applyBorder="1" applyAlignment="1">
      <alignment horizontal="center"/>
    </xf>
    <xf numFmtId="169" fontId="3" fillId="2" borderId="0" xfId="0" applyNumberFormat="1" applyFont="1" applyFill="1" applyAlignment="1">
      <alignment horizontal="center"/>
    </xf>
    <xf numFmtId="164" fontId="3" fillId="2" borderId="0" xfId="0" applyNumberFormat="1" applyFont="1" applyFill="1" applyAlignment="1">
      <alignment horizontal="center"/>
    </xf>
    <xf numFmtId="165" fontId="3" fillId="2" borderId="31" xfId="0" applyNumberFormat="1" applyFont="1" applyFill="1" applyBorder="1" applyAlignment="1">
      <alignment horizontal="center"/>
    </xf>
    <xf numFmtId="164" fontId="3" fillId="2" borderId="56" xfId="0" applyNumberFormat="1" applyFont="1" applyFill="1" applyBorder="1" applyAlignment="1">
      <alignment horizontal="center"/>
    </xf>
    <xf numFmtId="0" fontId="3" fillId="2" borderId="31" xfId="0" applyFont="1" applyFill="1" applyBorder="1" applyAlignment="1">
      <alignment horizontal="right"/>
    </xf>
    <xf numFmtId="2" fontId="3" fillId="2" borderId="31" xfId="0" applyNumberFormat="1" applyFont="1" applyFill="1" applyBorder="1" applyAlignment="1">
      <alignment horizontal="center"/>
    </xf>
    <xf numFmtId="168" fontId="3" fillId="2" borderId="31" xfId="0" applyNumberFormat="1" applyFont="1" applyFill="1" applyBorder="1" applyAlignment="1">
      <alignment horizontal="center"/>
    </xf>
    <xf numFmtId="169" fontId="3" fillId="2" borderId="31" xfId="0" applyNumberFormat="1" applyFont="1" applyFill="1" applyBorder="1" applyAlignment="1">
      <alignment horizontal="center"/>
    </xf>
    <xf numFmtId="10" fontId="3" fillId="2" borderId="10" xfId="0" applyNumberFormat="1" applyFont="1" applyFill="1" applyBorder="1" applyAlignment="1">
      <alignment horizontal="center"/>
    </xf>
    <xf numFmtId="169" fontId="25" fillId="2" borderId="0" xfId="0" applyNumberFormat="1" applyFont="1" applyFill="1"/>
    <xf numFmtId="3" fontId="12" fillId="2" borderId="1" xfId="0" applyNumberFormat="1" applyFont="1" applyFill="1" applyBorder="1"/>
    <xf numFmtId="169" fontId="15" fillId="2" borderId="5" xfId="0" applyNumberFormat="1" applyFont="1" applyFill="1" applyBorder="1" applyAlignment="1">
      <alignment horizontal="center"/>
    </xf>
    <xf numFmtId="164" fontId="15" fillId="2" borderId="1" xfId="0" applyNumberFormat="1" applyFont="1" applyFill="1" applyBorder="1" applyAlignment="1">
      <alignment horizontal="center"/>
    </xf>
    <xf numFmtId="169" fontId="25" fillId="2" borderId="32" xfId="0" applyNumberFormat="1" applyFont="1" applyFill="1" applyBorder="1"/>
    <xf numFmtId="0" fontId="25" fillId="2" borderId="0" xfId="0" applyFont="1" applyFill="1"/>
    <xf numFmtId="0" fontId="9" fillId="2" borderId="0" xfId="0" applyFont="1" applyFill="1"/>
    <xf numFmtId="3" fontId="9" fillId="2" borderId="0" xfId="0" applyNumberFormat="1" applyFont="1" applyFill="1"/>
    <xf numFmtId="3" fontId="9" fillId="2" borderId="0" xfId="0" applyNumberFormat="1" applyFont="1" applyFill="1" applyAlignment="1">
      <alignment horizontal="center"/>
    </xf>
    <xf numFmtId="0" fontId="9" fillId="2" borderId="0" xfId="0" applyFont="1" applyFill="1" applyAlignment="1">
      <alignment horizontal="center"/>
    </xf>
    <xf numFmtId="165" fontId="9" fillId="2" borderId="1" xfId="0" applyNumberFormat="1" applyFont="1" applyFill="1" applyBorder="1" applyAlignment="1">
      <alignment horizontal="center"/>
    </xf>
    <xf numFmtId="164" fontId="9" fillId="2" borderId="33" xfId="0" applyNumberFormat="1" applyFont="1" applyFill="1" applyBorder="1" applyAlignment="1">
      <alignment horizontal="center"/>
    </xf>
    <xf numFmtId="0" fontId="9" fillId="2" borderId="0" xfId="0" applyFont="1" applyFill="1" applyAlignment="1">
      <alignment horizontal="right"/>
    </xf>
    <xf numFmtId="2" fontId="9" fillId="2" borderId="1" xfId="0" applyNumberFormat="1" applyFont="1" applyFill="1" applyBorder="1" applyAlignment="1">
      <alignment horizontal="center"/>
    </xf>
    <xf numFmtId="168" fontId="9" fillId="2" borderId="1" xfId="0" applyNumberFormat="1" applyFont="1" applyFill="1" applyBorder="1" applyAlignment="1">
      <alignment horizontal="center"/>
    </xf>
    <xf numFmtId="169" fontId="9" fillId="2" borderId="1" xfId="0" applyNumberFormat="1" applyFont="1" applyFill="1" applyBorder="1" applyAlignment="1">
      <alignment horizontal="center"/>
    </xf>
    <xf numFmtId="169" fontId="9" fillId="2" borderId="0" xfId="0" applyNumberFormat="1" applyFont="1" applyFill="1" applyAlignment="1">
      <alignment horizontal="center"/>
    </xf>
    <xf numFmtId="169" fontId="9" fillId="2" borderId="5" xfId="0" applyNumberFormat="1" applyFont="1" applyFill="1" applyBorder="1" applyAlignment="1">
      <alignment horizontal="center"/>
    </xf>
    <xf numFmtId="164" fontId="9" fillId="2" borderId="1" xfId="0" applyNumberFormat="1" applyFont="1" applyFill="1" applyBorder="1" applyAlignment="1">
      <alignment horizontal="center"/>
    </xf>
    <xf numFmtId="0" fontId="33" fillId="2" borderId="0" xfId="0" applyFont="1" applyFill="1"/>
    <xf numFmtId="3" fontId="33" fillId="2" borderId="0" xfId="0" applyNumberFormat="1" applyFont="1" applyFill="1"/>
    <xf numFmtId="3" fontId="33" fillId="2" borderId="0" xfId="0" applyNumberFormat="1" applyFont="1" applyFill="1" applyAlignment="1">
      <alignment horizontal="center"/>
    </xf>
    <xf numFmtId="0" fontId="33" fillId="2" borderId="0" xfId="0" applyFont="1" applyFill="1" applyAlignment="1">
      <alignment horizontal="center"/>
    </xf>
    <xf numFmtId="165" fontId="33" fillId="2" borderId="1" xfId="0" applyNumberFormat="1" applyFont="1" applyFill="1" applyBorder="1" applyAlignment="1">
      <alignment horizontal="center"/>
    </xf>
    <xf numFmtId="164" fontId="33" fillId="2" borderId="33" xfId="0" applyNumberFormat="1" applyFont="1" applyFill="1" applyBorder="1" applyAlignment="1">
      <alignment horizontal="center"/>
    </xf>
    <xf numFmtId="0" fontId="33" fillId="2" borderId="0" xfId="0" applyFont="1" applyFill="1" applyAlignment="1">
      <alignment horizontal="right"/>
    </xf>
    <xf numFmtId="2" fontId="33" fillId="2" borderId="1" xfId="0" applyNumberFormat="1" applyFont="1" applyFill="1" applyBorder="1" applyAlignment="1">
      <alignment horizontal="center"/>
    </xf>
    <xf numFmtId="168" fontId="33" fillId="2" borderId="1" xfId="0" applyNumberFormat="1" applyFont="1" applyFill="1" applyBorder="1" applyAlignment="1">
      <alignment horizontal="center"/>
    </xf>
    <xf numFmtId="169" fontId="33" fillId="2" borderId="1" xfId="0" applyNumberFormat="1" applyFont="1" applyFill="1" applyBorder="1" applyAlignment="1">
      <alignment horizontal="center"/>
    </xf>
    <xf numFmtId="169" fontId="33" fillId="2" borderId="0" xfId="0" applyNumberFormat="1" applyFont="1" applyFill="1" applyAlignment="1">
      <alignment horizontal="center"/>
    </xf>
    <xf numFmtId="169" fontId="33" fillId="2" borderId="5" xfId="0" applyNumberFormat="1" applyFont="1" applyFill="1" applyBorder="1" applyAlignment="1">
      <alignment horizontal="center"/>
    </xf>
    <xf numFmtId="164" fontId="33" fillId="2" borderId="1" xfId="0" applyNumberFormat="1" applyFont="1" applyFill="1" applyBorder="1" applyAlignment="1">
      <alignment horizontal="center"/>
    </xf>
    <xf numFmtId="0" fontId="33" fillId="2" borderId="1" xfId="0" applyFont="1" applyFill="1" applyBorder="1" applyAlignment="1">
      <alignment horizontal="center"/>
    </xf>
    <xf numFmtId="0" fontId="34" fillId="2" borderId="0" xfId="0" applyFont="1" applyFill="1"/>
    <xf numFmtId="3" fontId="1" fillId="2" borderId="1" xfId="0" applyNumberFormat="1" applyFont="1" applyFill="1" applyBorder="1"/>
    <xf numFmtId="165" fontId="1" fillId="2" borderId="31" xfId="0" applyNumberFormat="1" applyFont="1" applyFill="1" applyBorder="1" applyAlignment="1">
      <alignment horizontal="center"/>
    </xf>
    <xf numFmtId="169" fontId="35" fillId="2" borderId="5" xfId="0" applyNumberFormat="1" applyFont="1" applyFill="1" applyBorder="1" applyAlignment="1">
      <alignment horizontal="center"/>
    </xf>
    <xf numFmtId="164" fontId="35" fillId="2" borderId="1" xfId="0" applyNumberFormat="1" applyFont="1" applyFill="1" applyBorder="1" applyAlignment="1">
      <alignment horizontal="center"/>
    </xf>
    <xf numFmtId="165" fontId="12" fillId="2" borderId="31" xfId="0" applyNumberFormat="1" applyFont="1" applyFill="1" applyBorder="1" applyAlignment="1">
      <alignment horizontal="center"/>
    </xf>
    <xf numFmtId="0" fontId="12" fillId="2" borderId="0" xfId="0" applyFont="1" applyFill="1"/>
    <xf numFmtId="3" fontId="12" fillId="2" borderId="0" xfId="0" applyNumberFormat="1" applyFont="1" applyFill="1"/>
    <xf numFmtId="3" fontId="12" fillId="2" borderId="0" xfId="0" applyNumberFormat="1" applyFont="1" applyFill="1" applyAlignment="1">
      <alignment horizontal="center"/>
    </xf>
    <xf numFmtId="0" fontId="12" fillId="2" borderId="0" xfId="0" applyFont="1" applyFill="1" applyAlignment="1">
      <alignment horizontal="center"/>
    </xf>
    <xf numFmtId="164" fontId="12" fillId="2" borderId="33" xfId="0" applyNumberFormat="1" applyFont="1" applyFill="1" applyBorder="1" applyAlignment="1">
      <alignment horizontal="center"/>
    </xf>
    <xf numFmtId="0" fontId="12" fillId="2" borderId="0" xfId="0" applyFont="1" applyFill="1" applyAlignment="1">
      <alignment horizontal="right"/>
    </xf>
    <xf numFmtId="169" fontId="12" fillId="2" borderId="0" xfId="0" applyNumberFormat="1" applyFont="1" applyFill="1" applyAlignment="1">
      <alignment horizontal="center"/>
    </xf>
    <xf numFmtId="0" fontId="33" fillId="2" borderId="1" xfId="0" applyFont="1" applyFill="1" applyBorder="1"/>
    <xf numFmtId="3" fontId="33" fillId="2" borderId="1" xfId="0" applyNumberFormat="1" applyFont="1" applyFill="1" applyBorder="1"/>
    <xf numFmtId="3" fontId="33" fillId="2" borderId="1" xfId="0" applyNumberFormat="1" applyFont="1" applyFill="1" applyBorder="1" applyAlignment="1">
      <alignment horizontal="center"/>
    </xf>
    <xf numFmtId="165" fontId="33" fillId="2" borderId="31" xfId="0" applyNumberFormat="1" applyFont="1" applyFill="1" applyBorder="1" applyAlignment="1">
      <alignment horizontal="center"/>
    </xf>
    <xf numFmtId="164" fontId="33" fillId="2" borderId="5" xfId="0" applyNumberFormat="1" applyFont="1" applyFill="1" applyBorder="1" applyAlignment="1">
      <alignment horizontal="center"/>
    </xf>
    <xf numFmtId="0" fontId="33" fillId="2" borderId="10" xfId="0" applyFont="1" applyFill="1" applyBorder="1" applyAlignment="1">
      <alignment horizontal="right"/>
    </xf>
    <xf numFmtId="164" fontId="25" fillId="2" borderId="0" xfId="0" applyNumberFormat="1" applyFont="1" applyFill="1"/>
    <xf numFmtId="0" fontId="6" fillId="0" borderId="0" xfId="0" applyFont="1"/>
    <xf numFmtId="3" fontId="33" fillId="2" borderId="1" xfId="0" applyNumberFormat="1" applyFont="1" applyFill="1" applyBorder="1" applyAlignment="1">
      <alignment horizontal="left"/>
    </xf>
    <xf numFmtId="169" fontId="36" fillId="2" borderId="5" xfId="0" applyNumberFormat="1" applyFont="1" applyFill="1" applyBorder="1" applyAlignment="1">
      <alignment horizontal="center"/>
    </xf>
    <xf numFmtId="164" fontId="36" fillId="2" borderId="1" xfId="0" applyNumberFormat="1" applyFont="1" applyFill="1" applyBorder="1" applyAlignment="1">
      <alignment horizontal="center"/>
    </xf>
    <xf numFmtId="0" fontId="27" fillId="2" borderId="0" xfId="0" applyFont="1" applyFill="1"/>
    <xf numFmtId="164" fontId="23" fillId="2" borderId="0" xfId="0" applyNumberFormat="1" applyFont="1" applyFill="1"/>
    <xf numFmtId="164" fontId="23" fillId="2" borderId="1" xfId="0" applyNumberFormat="1" applyFont="1" applyFill="1" applyBorder="1"/>
    <xf numFmtId="164" fontId="27" fillId="2" borderId="1" xfId="0" applyNumberFormat="1" applyFont="1" applyFill="1" applyBorder="1"/>
    <xf numFmtId="0" fontId="37" fillId="2" borderId="0" xfId="0" applyFont="1" applyFill="1"/>
    <xf numFmtId="3" fontId="3" fillId="2" borderId="1" xfId="0" applyNumberFormat="1" applyFont="1" applyFill="1" applyBorder="1"/>
    <xf numFmtId="0" fontId="12" fillId="2" borderId="0" xfId="0" applyFont="1" applyFill="1" applyAlignment="1">
      <alignment vertical="center"/>
    </xf>
    <xf numFmtId="3" fontId="12" fillId="2" borderId="0" xfId="0" applyNumberFormat="1" applyFont="1" applyFill="1" applyAlignment="1">
      <alignment vertical="center"/>
    </xf>
    <xf numFmtId="3" fontId="12" fillId="2" borderId="0" xfId="0" applyNumberFormat="1" applyFont="1" applyFill="1" applyAlignment="1">
      <alignment horizontal="center" vertical="center"/>
    </xf>
    <xf numFmtId="0" fontId="12" fillId="2" borderId="0" xfId="0" applyFont="1" applyFill="1" applyAlignment="1">
      <alignment horizontal="center" vertical="center"/>
    </xf>
    <xf numFmtId="165" fontId="12" fillId="2" borderId="1" xfId="0" applyNumberFormat="1" applyFont="1" applyFill="1" applyBorder="1" applyAlignment="1">
      <alignment horizontal="center" vertical="center"/>
    </xf>
    <xf numFmtId="164" fontId="12" fillId="2" borderId="33" xfId="0" applyNumberFormat="1" applyFont="1" applyFill="1" applyBorder="1" applyAlignment="1">
      <alignment horizontal="center" vertical="center"/>
    </xf>
    <xf numFmtId="0" fontId="12" fillId="2" borderId="0" xfId="0" applyFont="1" applyFill="1" applyAlignment="1">
      <alignment horizontal="right" vertical="center"/>
    </xf>
    <xf numFmtId="2" fontId="12" fillId="2" borderId="1" xfId="0" applyNumberFormat="1" applyFont="1" applyFill="1" applyBorder="1" applyAlignment="1">
      <alignment horizontal="center" vertical="center"/>
    </xf>
    <xf numFmtId="168" fontId="12" fillId="2" borderId="1" xfId="0" applyNumberFormat="1" applyFont="1" applyFill="1" applyBorder="1" applyAlignment="1">
      <alignment horizontal="center" vertical="center"/>
    </xf>
    <xf numFmtId="169" fontId="12" fillId="2" borderId="1" xfId="0" applyNumberFormat="1" applyFont="1" applyFill="1" applyBorder="1" applyAlignment="1">
      <alignment horizontal="center" vertical="center"/>
    </xf>
    <xf numFmtId="169" fontId="12" fillId="2" borderId="0" xfId="0" applyNumberFormat="1" applyFont="1" applyFill="1" applyAlignment="1">
      <alignment horizontal="center" vertical="center"/>
    </xf>
    <xf numFmtId="169" fontId="12" fillId="2" borderId="5" xfId="0" applyNumberFormat="1" applyFont="1" applyFill="1" applyBorder="1" applyAlignment="1">
      <alignment horizontal="center" vertical="center"/>
    </xf>
    <xf numFmtId="164" fontId="12" fillId="2" borderId="1" xfId="0" applyNumberFormat="1" applyFont="1" applyFill="1" applyBorder="1" applyAlignment="1">
      <alignment horizontal="center" vertical="center"/>
    </xf>
    <xf numFmtId="0" fontId="12" fillId="2" borderId="1" xfId="0" applyFont="1" applyFill="1" applyBorder="1" applyAlignment="1">
      <alignment vertical="center"/>
    </xf>
    <xf numFmtId="3"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center" vertical="center"/>
    </xf>
    <xf numFmtId="164" fontId="12" fillId="2" borderId="5" xfId="0" applyNumberFormat="1" applyFont="1" applyFill="1" applyBorder="1" applyAlignment="1">
      <alignment horizontal="center" vertical="center"/>
    </xf>
    <xf numFmtId="0" fontId="12" fillId="2" borderId="10" xfId="0" applyFont="1" applyFill="1" applyBorder="1" applyAlignment="1">
      <alignment horizontal="right" vertical="center"/>
    </xf>
    <xf numFmtId="165" fontId="25" fillId="2" borderId="57" xfId="0" applyNumberFormat="1" applyFont="1" applyFill="1" applyBorder="1"/>
    <xf numFmtId="164" fontId="2" fillId="2" borderId="58" xfId="0" applyNumberFormat="1" applyFont="1" applyFill="1" applyBorder="1"/>
    <xf numFmtId="164" fontId="2" fillId="2" borderId="57" xfId="0" applyNumberFormat="1" applyFont="1" applyFill="1" applyBorder="1"/>
    <xf numFmtId="164" fontId="2" fillId="2" borderId="59" xfId="0" applyNumberFormat="1" applyFont="1" applyFill="1" applyBorder="1"/>
    <xf numFmtId="2" fontId="12" fillId="2" borderId="0" xfId="0" applyNumberFormat="1" applyFont="1" applyFill="1" applyAlignment="1">
      <alignment horizontal="center"/>
    </xf>
    <xf numFmtId="2" fontId="3" fillId="2" borderId="0" xfId="0" applyNumberFormat="1" applyFont="1" applyFill="1" applyAlignment="1">
      <alignment horizontal="center"/>
    </xf>
    <xf numFmtId="164" fontId="1" fillId="2" borderId="31" xfId="0" applyNumberFormat="1" applyFont="1" applyFill="1" applyBorder="1"/>
    <xf numFmtId="3" fontId="1" fillId="2" borderId="31" xfId="0" applyNumberFormat="1" applyFont="1" applyFill="1" applyBorder="1"/>
    <xf numFmtId="3" fontId="1" fillId="2" borderId="31" xfId="0" applyNumberFormat="1" applyFont="1" applyFill="1" applyBorder="1" applyAlignment="1">
      <alignment horizontal="center"/>
    </xf>
    <xf numFmtId="164" fontId="1" fillId="2" borderId="31" xfId="0" applyNumberFormat="1" applyFont="1" applyFill="1" applyBorder="1" applyAlignment="1">
      <alignment horizontal="center"/>
    </xf>
    <xf numFmtId="164" fontId="1" fillId="2" borderId="56" xfId="0" applyNumberFormat="1" applyFont="1" applyFill="1" applyBorder="1" applyAlignment="1">
      <alignment horizontal="center"/>
    </xf>
    <xf numFmtId="0" fontId="1" fillId="2" borderId="31" xfId="0" applyFont="1" applyFill="1" applyBorder="1"/>
    <xf numFmtId="0" fontId="1" fillId="2" borderId="31" xfId="0" applyFont="1" applyFill="1" applyBorder="1" applyAlignment="1">
      <alignment horizontal="center"/>
    </xf>
    <xf numFmtId="0" fontId="1" fillId="2" borderId="31" xfId="0" applyFont="1" applyFill="1" applyBorder="1" applyAlignment="1">
      <alignment horizontal="right"/>
    </xf>
    <xf numFmtId="2" fontId="1" fillId="2" borderId="31" xfId="0" applyNumberFormat="1" applyFont="1" applyFill="1" applyBorder="1" applyAlignment="1">
      <alignment horizontal="center"/>
    </xf>
    <xf numFmtId="168" fontId="1" fillId="2" borderId="31" xfId="0" applyNumberFormat="1" applyFont="1" applyFill="1" applyBorder="1" applyAlignment="1">
      <alignment horizontal="center"/>
    </xf>
    <xf numFmtId="169" fontId="1" fillId="2" borderId="31" xfId="0" applyNumberFormat="1" applyFont="1" applyFill="1" applyBorder="1" applyAlignment="1">
      <alignment horizontal="center"/>
    </xf>
    <xf numFmtId="169" fontId="35" fillId="2" borderId="31" xfId="0" applyNumberFormat="1" applyFont="1" applyFill="1" applyBorder="1" applyAlignment="1">
      <alignment horizontal="center"/>
    </xf>
    <xf numFmtId="164" fontId="35" fillId="2" borderId="31" xfId="0" applyNumberFormat="1" applyFont="1" applyFill="1" applyBorder="1" applyAlignment="1">
      <alignment horizontal="center"/>
    </xf>
    <xf numFmtId="164" fontId="2" fillId="2" borderId="14" xfId="0" applyNumberFormat="1" applyFont="1" applyFill="1" applyBorder="1"/>
    <xf numFmtId="0" fontId="1" fillId="0" borderId="22" xfId="0" applyFont="1" applyBorder="1"/>
    <xf numFmtId="2" fontId="1" fillId="2" borderId="0" xfId="0" applyNumberFormat="1" applyFont="1" applyFill="1" applyAlignment="1">
      <alignment horizontal="center"/>
    </xf>
    <xf numFmtId="168" fontId="1" fillId="2" borderId="0" xfId="0" applyNumberFormat="1" applyFont="1" applyFill="1" applyAlignment="1">
      <alignment horizontal="center"/>
    </xf>
    <xf numFmtId="169" fontId="35" fillId="2" borderId="0" xfId="0" applyNumberFormat="1" applyFont="1" applyFill="1" applyAlignment="1">
      <alignment horizontal="center"/>
    </xf>
    <xf numFmtId="164" fontId="35" fillId="2" borderId="0" xfId="0" applyNumberFormat="1" applyFont="1" applyFill="1" applyAlignment="1">
      <alignment horizontal="center"/>
    </xf>
    <xf numFmtId="3" fontId="6" fillId="2" borderId="1" xfId="0" applyNumberFormat="1" applyFont="1" applyFill="1" applyBorder="1" applyAlignment="1">
      <alignment horizontal="left"/>
    </xf>
    <xf numFmtId="3" fontId="6" fillId="2" borderId="1" xfId="0" applyNumberFormat="1" applyFont="1" applyFill="1" applyBorder="1" applyAlignment="1">
      <alignment horizontal="center"/>
    </xf>
    <xf numFmtId="0" fontId="6" fillId="2" borderId="1" xfId="0" applyFont="1" applyFill="1" applyBorder="1" applyAlignment="1">
      <alignment horizontal="center"/>
    </xf>
    <xf numFmtId="164" fontId="6" fillId="2" borderId="5" xfId="0" applyNumberFormat="1" applyFont="1" applyFill="1" applyBorder="1" applyAlignment="1">
      <alignment horizontal="center"/>
    </xf>
    <xf numFmtId="2" fontId="6" fillId="2" borderId="1" xfId="0" applyNumberFormat="1" applyFont="1" applyFill="1" applyBorder="1" applyAlignment="1">
      <alignment horizontal="center"/>
    </xf>
    <xf numFmtId="168" fontId="6" fillId="2" borderId="1" xfId="0" applyNumberFormat="1" applyFont="1" applyFill="1" applyBorder="1" applyAlignment="1">
      <alignment horizontal="center"/>
    </xf>
    <xf numFmtId="169" fontId="6" fillId="2" borderId="1" xfId="0" applyNumberFormat="1" applyFont="1" applyFill="1" applyBorder="1" applyAlignment="1">
      <alignment horizontal="center"/>
    </xf>
    <xf numFmtId="169" fontId="6" fillId="2" borderId="5" xfId="0" applyNumberFormat="1" applyFont="1" applyFill="1" applyBorder="1" applyAlignment="1">
      <alignment horizontal="center"/>
    </xf>
    <xf numFmtId="0" fontId="3" fillId="2" borderId="14" xfId="0" applyFont="1" applyFill="1" applyBorder="1"/>
    <xf numFmtId="3" fontId="3" fillId="2" borderId="14" xfId="0" applyNumberFormat="1" applyFont="1" applyFill="1" applyBorder="1" applyAlignment="1">
      <alignment horizontal="left"/>
    </xf>
    <xf numFmtId="3" fontId="3" fillId="2" borderId="14" xfId="0" applyNumberFormat="1"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165" fontId="6" fillId="2" borderId="14" xfId="0" applyNumberFormat="1" applyFont="1" applyFill="1" applyBorder="1" applyAlignment="1">
      <alignment horizontal="center"/>
    </xf>
    <xf numFmtId="164" fontId="3" fillId="2" borderId="19" xfId="0" applyNumberFormat="1" applyFont="1" applyFill="1" applyBorder="1" applyAlignment="1">
      <alignment horizontal="center"/>
    </xf>
    <xf numFmtId="0" fontId="3" fillId="2" borderId="16" xfId="0" applyFont="1" applyFill="1" applyBorder="1" applyAlignment="1">
      <alignment horizontal="right"/>
    </xf>
    <xf numFmtId="2" fontId="3" fillId="2" borderId="14" xfId="0" applyNumberFormat="1" applyFont="1" applyFill="1" applyBorder="1" applyAlignment="1">
      <alignment horizontal="center"/>
    </xf>
    <xf numFmtId="168" fontId="3" fillId="2" borderId="14" xfId="0" applyNumberFormat="1" applyFont="1" applyFill="1" applyBorder="1" applyAlignment="1">
      <alignment horizontal="center"/>
    </xf>
    <xf numFmtId="169" fontId="3" fillId="2" borderId="14" xfId="0" applyNumberFormat="1" applyFont="1" applyFill="1" applyBorder="1" applyAlignment="1">
      <alignment horizontal="center"/>
    </xf>
    <xf numFmtId="169" fontId="3" fillId="2" borderId="19" xfId="0" applyNumberFormat="1" applyFont="1" applyFill="1" applyBorder="1" applyAlignment="1">
      <alignment horizontal="center"/>
    </xf>
    <xf numFmtId="164" fontId="3" fillId="2" borderId="14" xfId="0" applyNumberFormat="1" applyFont="1" applyFill="1" applyBorder="1" applyAlignment="1">
      <alignment horizontal="center"/>
    </xf>
    <xf numFmtId="0" fontId="12" fillId="2" borderId="17" xfId="0" applyFont="1" applyFill="1" applyBorder="1" applyAlignment="1">
      <alignment horizontal="center"/>
    </xf>
    <xf numFmtId="0" fontId="2" fillId="2" borderId="14" xfId="0" applyFont="1" applyFill="1" applyBorder="1"/>
    <xf numFmtId="3" fontId="1" fillId="2" borderId="13" xfId="0" applyNumberFormat="1" applyFont="1" applyFill="1" applyBorder="1" applyAlignment="1">
      <alignment horizontal="left"/>
    </xf>
    <xf numFmtId="3" fontId="1" fillId="2" borderId="13" xfId="0" applyNumberFormat="1" applyFont="1" applyFill="1" applyBorder="1" applyAlignment="1">
      <alignment horizontal="center"/>
    </xf>
    <xf numFmtId="0" fontId="1" fillId="2" borderId="13" xfId="0" applyFont="1" applyFill="1" applyBorder="1" applyAlignment="1">
      <alignment horizontal="center"/>
    </xf>
    <xf numFmtId="165" fontId="1" fillId="2" borderId="13" xfId="0" applyNumberFormat="1" applyFont="1" applyFill="1" applyBorder="1" applyAlignment="1">
      <alignment horizontal="center"/>
    </xf>
    <xf numFmtId="165" fontId="6" fillId="2" borderId="13" xfId="0" applyNumberFormat="1" applyFont="1" applyFill="1" applyBorder="1" applyAlignment="1">
      <alignment horizontal="center"/>
    </xf>
    <xf numFmtId="0" fontId="1" fillId="2" borderId="48" xfId="0" applyFont="1" applyFill="1" applyBorder="1" applyAlignment="1">
      <alignment horizontal="right"/>
    </xf>
    <xf numFmtId="2" fontId="1" fillId="2" borderId="13" xfId="0" applyNumberFormat="1" applyFont="1" applyFill="1" applyBorder="1" applyAlignment="1">
      <alignment horizontal="center"/>
    </xf>
    <xf numFmtId="168" fontId="1" fillId="2" borderId="13" xfId="0" applyNumberFormat="1" applyFont="1" applyFill="1" applyBorder="1" applyAlignment="1">
      <alignment horizontal="center"/>
    </xf>
    <xf numFmtId="169" fontId="1" fillId="2" borderId="13" xfId="0" applyNumberFormat="1" applyFont="1" applyFill="1" applyBorder="1" applyAlignment="1">
      <alignment horizontal="center"/>
    </xf>
    <xf numFmtId="169" fontId="1" fillId="2" borderId="36" xfId="0" applyNumberFormat="1" applyFont="1" applyFill="1" applyBorder="1" applyAlignment="1">
      <alignment horizontal="center"/>
    </xf>
    <xf numFmtId="164" fontId="3" fillId="2" borderId="13" xfId="0" applyNumberFormat="1" applyFont="1" applyFill="1" applyBorder="1" applyAlignment="1">
      <alignment horizontal="center"/>
    </xf>
    <xf numFmtId="0" fontId="12" fillId="2" borderId="55" xfId="0" applyFont="1" applyFill="1" applyBorder="1" applyAlignment="1">
      <alignment horizontal="center"/>
    </xf>
    <xf numFmtId="0" fontId="3" fillId="2" borderId="31" xfId="0" applyFont="1" applyFill="1" applyBorder="1"/>
    <xf numFmtId="3" fontId="3" fillId="2" borderId="31" xfId="0" applyNumberFormat="1" applyFont="1" applyFill="1" applyBorder="1"/>
    <xf numFmtId="3" fontId="3" fillId="2" borderId="31" xfId="0" applyNumberFormat="1" applyFont="1" applyFill="1" applyBorder="1" applyAlignment="1">
      <alignment horizontal="center"/>
    </xf>
    <xf numFmtId="0" fontId="3" fillId="2" borderId="31" xfId="0" applyFont="1" applyFill="1" applyBorder="1" applyAlignment="1">
      <alignment horizontal="center"/>
    </xf>
    <xf numFmtId="0" fontId="2" fillId="0" borderId="0" xfId="0" applyFont="1" applyAlignment="1">
      <alignment horizontal="left"/>
    </xf>
    <xf numFmtId="0" fontId="6" fillId="8" borderId="24" xfId="0" applyFont="1" applyFill="1" applyBorder="1"/>
    <xf numFmtId="3" fontId="1" fillId="8" borderId="24" xfId="0" applyNumberFormat="1" applyFont="1" applyFill="1" applyBorder="1" applyAlignment="1">
      <alignment horizontal="left"/>
    </xf>
    <xf numFmtId="3" fontId="1" fillId="8" borderId="24" xfId="0" applyNumberFormat="1" applyFont="1" applyFill="1" applyBorder="1" applyAlignment="1">
      <alignment horizontal="center"/>
    </xf>
    <xf numFmtId="0" fontId="1" fillId="8" borderId="24" xfId="0" applyFont="1" applyFill="1" applyBorder="1" applyAlignment="1">
      <alignment horizontal="center"/>
    </xf>
    <xf numFmtId="165" fontId="1" fillId="8" borderId="24" xfId="0" applyNumberFormat="1" applyFont="1" applyFill="1" applyBorder="1" applyAlignment="1">
      <alignment horizontal="center"/>
    </xf>
    <xf numFmtId="0" fontId="38" fillId="2" borderId="1" xfId="0" applyFont="1" applyFill="1" applyBorder="1" applyAlignment="1">
      <alignment horizontal="right"/>
    </xf>
    <xf numFmtId="0" fontId="38" fillId="2" borderId="1" xfId="0" applyFont="1" applyFill="1" applyBorder="1"/>
    <xf numFmtId="3" fontId="38" fillId="2" borderId="1" xfId="0" applyNumberFormat="1" applyFont="1" applyFill="1" applyBorder="1" applyAlignment="1">
      <alignment horizontal="left"/>
    </xf>
    <xf numFmtId="3" fontId="38" fillId="2" borderId="1" xfId="0" applyNumberFormat="1" applyFont="1" applyFill="1" applyBorder="1" applyAlignment="1">
      <alignment horizontal="center"/>
    </xf>
    <xf numFmtId="3" fontId="39" fillId="2" borderId="0" xfId="0" applyNumberFormat="1" applyFont="1" applyFill="1" applyAlignment="1">
      <alignment horizontal="center"/>
    </xf>
    <xf numFmtId="165" fontId="38" fillId="2" borderId="0" xfId="0" applyNumberFormat="1" applyFont="1" applyFill="1" applyAlignment="1">
      <alignment horizontal="center"/>
    </xf>
    <xf numFmtId="0" fontId="38" fillId="2" borderId="10" xfId="0" applyFont="1" applyFill="1" applyBorder="1" applyAlignment="1">
      <alignment horizontal="center"/>
    </xf>
    <xf numFmtId="2" fontId="38" fillId="2" borderId="0" xfId="0" applyNumberFormat="1" applyFont="1" applyFill="1" applyAlignment="1">
      <alignment horizontal="center"/>
    </xf>
    <xf numFmtId="168" fontId="38" fillId="2" borderId="0" xfId="0" applyNumberFormat="1" applyFont="1" applyFill="1" applyAlignment="1">
      <alignment horizontal="center"/>
    </xf>
    <xf numFmtId="169" fontId="38" fillId="2" borderId="0" xfId="0" applyNumberFormat="1" applyFont="1" applyFill="1" applyAlignment="1">
      <alignment horizontal="center"/>
    </xf>
    <xf numFmtId="164" fontId="38" fillId="2" borderId="0" xfId="0" applyNumberFormat="1" applyFont="1" applyFill="1" applyAlignment="1">
      <alignment horizontal="center"/>
    </xf>
    <xf numFmtId="0" fontId="38" fillId="2" borderId="33" xfId="0" applyFont="1" applyFill="1" applyBorder="1" applyAlignment="1">
      <alignment horizontal="center"/>
    </xf>
    <xf numFmtId="164" fontId="38" fillId="2" borderId="33" xfId="0" applyNumberFormat="1" applyFont="1" applyFill="1" applyBorder="1" applyAlignment="1">
      <alignment horizontal="center"/>
    </xf>
    <xf numFmtId="0" fontId="38" fillId="2" borderId="0" xfId="0" applyFont="1" applyFill="1" applyAlignment="1">
      <alignment horizontal="center"/>
    </xf>
    <xf numFmtId="164" fontId="38" fillId="2" borderId="10" xfId="0" applyNumberFormat="1" applyFont="1" applyFill="1" applyBorder="1" applyAlignment="1">
      <alignment horizontal="center"/>
    </xf>
    <xf numFmtId="164" fontId="38" fillId="23" borderId="33" xfId="0" applyNumberFormat="1" applyFont="1" applyFill="1" applyBorder="1" applyAlignment="1">
      <alignment horizontal="center"/>
    </xf>
    <xf numFmtId="0" fontId="3" fillId="2" borderId="33" xfId="0" applyFont="1" applyFill="1" applyBorder="1" applyAlignment="1">
      <alignment horizontal="center"/>
    </xf>
    <xf numFmtId="0" fontId="38" fillId="11" borderId="1" xfId="0" applyFont="1" applyFill="1" applyBorder="1" applyAlignment="1">
      <alignment horizontal="center" vertical="center"/>
    </xf>
    <xf numFmtId="0" fontId="38" fillId="16" borderId="0" xfId="0" applyFont="1" applyFill="1" applyAlignment="1">
      <alignment horizontal="center"/>
    </xf>
    <xf numFmtId="0" fontId="40" fillId="2" borderId="0" xfId="0" applyFont="1" applyFill="1" applyAlignment="1">
      <alignment horizontal="left"/>
    </xf>
    <xf numFmtId="164" fontId="38" fillId="2" borderId="1" xfId="0" applyNumberFormat="1" applyFont="1" applyFill="1" applyBorder="1" applyAlignment="1">
      <alignment horizontal="center"/>
    </xf>
    <xf numFmtId="0" fontId="38" fillId="0" borderId="0" xfId="0" applyFont="1"/>
    <xf numFmtId="0" fontId="41" fillId="2" borderId="0" xfId="0" applyFont="1" applyFill="1"/>
    <xf numFmtId="0" fontId="41" fillId="0" borderId="0" xfId="0" applyFont="1"/>
    <xf numFmtId="0" fontId="28" fillId="2" borderId="24" xfId="0" applyFont="1" applyFill="1" applyBorder="1" applyAlignment="1">
      <alignment horizontal="center" vertical="center"/>
    </xf>
    <xf numFmtId="0" fontId="28" fillId="2" borderId="24" xfId="0" applyFont="1" applyFill="1" applyBorder="1" applyAlignment="1">
      <alignment horizontal="left" vertical="center"/>
    </xf>
    <xf numFmtId="0" fontId="28" fillId="2" borderId="0" xfId="0" applyFont="1" applyFill="1" applyAlignment="1">
      <alignment horizontal="center" vertical="center" wrapText="1"/>
    </xf>
    <xf numFmtId="164" fontId="3" fillId="2" borderId="2" xfId="0" applyNumberFormat="1" applyFont="1" applyFill="1" applyBorder="1" applyAlignment="1">
      <alignment horizontal="center"/>
    </xf>
    <xf numFmtId="0" fontId="28" fillId="2" borderId="60" xfId="0" applyFont="1" applyFill="1" applyBorder="1" applyAlignment="1">
      <alignment horizontal="center" vertical="center" wrapText="1"/>
    </xf>
    <xf numFmtId="0" fontId="28" fillId="2" borderId="61" xfId="0" applyFont="1" applyFill="1" applyBorder="1" applyAlignment="1">
      <alignment horizontal="center" vertical="center"/>
    </xf>
    <xf numFmtId="0" fontId="28" fillId="2" borderId="55" xfId="0" applyFont="1" applyFill="1" applyBorder="1" applyAlignment="1">
      <alignment horizontal="center" vertical="center" wrapText="1"/>
    </xf>
    <xf numFmtId="0" fontId="28" fillId="2" borderId="0" xfId="0" applyFont="1" applyFill="1" applyAlignment="1">
      <alignment horizontal="left" vertical="center" wrapText="1"/>
    </xf>
    <xf numFmtId="0" fontId="7" fillId="2" borderId="0" xfId="0" applyFont="1" applyFill="1"/>
    <xf numFmtId="0" fontId="3" fillId="2" borderId="10" xfId="0" applyFont="1" applyFill="1" applyBorder="1" applyAlignment="1">
      <alignment horizontal="center"/>
    </xf>
    <xf numFmtId="168" fontId="3" fillId="2" borderId="0" xfId="0" applyNumberFormat="1" applyFont="1" applyFill="1" applyAlignment="1">
      <alignment horizontal="center"/>
    </xf>
    <xf numFmtId="164" fontId="3" fillId="23" borderId="33" xfId="0" applyNumberFormat="1" applyFont="1" applyFill="1" applyBorder="1" applyAlignment="1">
      <alignment horizontal="center"/>
    </xf>
    <xf numFmtId="0" fontId="3" fillId="16" borderId="0" xfId="0" applyFont="1" applyFill="1" applyAlignment="1">
      <alignment horizontal="center"/>
    </xf>
    <xf numFmtId="0" fontId="10" fillId="2" borderId="0" xfId="0" applyFont="1" applyFill="1" applyAlignment="1">
      <alignment horizontal="left"/>
    </xf>
    <xf numFmtId="0" fontId="9" fillId="2" borderId="1" xfId="0" applyFont="1" applyFill="1" applyBorder="1" applyAlignment="1">
      <alignment horizontal="right"/>
    </xf>
    <xf numFmtId="0" fontId="4" fillId="2" borderId="24" xfId="0" applyFont="1" applyFill="1" applyBorder="1" applyAlignment="1">
      <alignment horizontal="center" vertical="center"/>
    </xf>
    <xf numFmtId="0" fontId="4" fillId="2" borderId="24" xfId="0" applyFont="1" applyFill="1" applyBorder="1" applyAlignment="1">
      <alignment horizontal="left" vertical="center"/>
    </xf>
    <xf numFmtId="0" fontId="4" fillId="2" borderId="0" xfId="0" applyFont="1" applyFill="1" applyAlignment="1">
      <alignment horizontal="center" vertical="center" wrapText="1"/>
    </xf>
    <xf numFmtId="164" fontId="9" fillId="2" borderId="2" xfId="0" applyNumberFormat="1" applyFont="1" applyFill="1" applyBorder="1" applyAlignment="1">
      <alignment horizontal="center"/>
    </xf>
    <xf numFmtId="0" fontId="4" fillId="2" borderId="60" xfId="0" applyFont="1" applyFill="1" applyBorder="1" applyAlignment="1">
      <alignment horizontal="center" vertical="center" wrapText="1"/>
    </xf>
    <xf numFmtId="0" fontId="4" fillId="2" borderId="61" xfId="0" applyFont="1" applyFill="1" applyBorder="1" applyAlignment="1">
      <alignment horizontal="center" vertical="center"/>
    </xf>
    <xf numFmtId="0" fontId="9" fillId="2" borderId="33" xfId="0" applyFont="1" applyFill="1" applyBorder="1" applyAlignment="1">
      <alignment horizontal="center"/>
    </xf>
    <xf numFmtId="0" fontId="9" fillId="11" borderId="1" xfId="0" applyFont="1" applyFill="1" applyBorder="1" applyAlignment="1">
      <alignment horizontal="center" vertical="center"/>
    </xf>
    <xf numFmtId="0" fontId="4" fillId="2" borderId="55" xfId="0" applyFont="1" applyFill="1" applyBorder="1" applyAlignment="1">
      <alignment horizontal="center" vertical="center" wrapText="1"/>
    </xf>
    <xf numFmtId="0" fontId="4" fillId="2" borderId="0" xfId="0" applyFont="1" applyFill="1" applyAlignment="1">
      <alignment horizontal="left" vertical="center" wrapText="1"/>
    </xf>
    <xf numFmtId="164" fontId="6" fillId="2" borderId="0" xfId="0" applyNumberFormat="1" applyFont="1" applyFill="1" applyAlignment="1">
      <alignment horizontal="center"/>
    </xf>
    <xf numFmtId="0" fontId="29" fillId="2" borderId="0" xfId="0" applyFont="1" applyFill="1"/>
    <xf numFmtId="0" fontId="3" fillId="2" borderId="24"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0" xfId="0" applyFont="1" applyFill="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xf>
    <xf numFmtId="0" fontId="3" fillId="2" borderId="55" xfId="0" applyFont="1" applyFill="1" applyBorder="1" applyAlignment="1">
      <alignment horizontal="center" vertical="center" wrapText="1"/>
    </xf>
    <xf numFmtId="0" fontId="3" fillId="2" borderId="0" xfId="0" applyFont="1" applyFill="1" applyAlignment="1">
      <alignment horizontal="left" vertical="center" wrapText="1"/>
    </xf>
    <xf numFmtId="0" fontId="16" fillId="2" borderId="0" xfId="0" applyFont="1" applyFill="1"/>
    <xf numFmtId="0" fontId="17" fillId="2" borderId="0" xfId="0" applyFont="1" applyFill="1"/>
    <xf numFmtId="0" fontId="9" fillId="2" borderId="24" xfId="0" applyFont="1" applyFill="1" applyBorder="1" applyAlignment="1">
      <alignment horizontal="center" vertical="center"/>
    </xf>
    <xf numFmtId="0" fontId="9" fillId="2" borderId="24" xfId="0" applyFont="1" applyFill="1" applyBorder="1" applyAlignment="1">
      <alignment horizontal="left" vertical="center"/>
    </xf>
    <xf numFmtId="0" fontId="9" fillId="2" borderId="0" xfId="0" applyFont="1" applyFill="1" applyAlignment="1">
      <alignment horizontal="center" vertical="center" wrapText="1"/>
    </xf>
    <xf numFmtId="0" fontId="9" fillId="2" borderId="60" xfId="0" applyFont="1" applyFill="1" applyBorder="1" applyAlignment="1">
      <alignment horizontal="center" vertical="center" wrapText="1"/>
    </xf>
    <xf numFmtId="0" fontId="9" fillId="2" borderId="61" xfId="0" applyFont="1" applyFill="1" applyBorder="1" applyAlignment="1">
      <alignment horizontal="center" vertical="center"/>
    </xf>
    <xf numFmtId="0" fontId="9" fillId="2" borderId="55" xfId="0" applyFont="1" applyFill="1" applyBorder="1" applyAlignment="1">
      <alignment horizontal="center" vertical="center" wrapText="1"/>
    </xf>
    <xf numFmtId="0" fontId="9" fillId="2" borderId="0" xfId="0" applyFont="1" applyFill="1" applyAlignment="1">
      <alignment horizontal="left" vertical="center" wrapText="1"/>
    </xf>
    <xf numFmtId="164" fontId="9" fillId="2" borderId="0" xfId="0" applyNumberFormat="1" applyFont="1" applyFill="1" applyAlignment="1">
      <alignment horizontal="center"/>
    </xf>
    <xf numFmtId="0" fontId="9" fillId="0" borderId="0" xfId="0" applyFont="1"/>
    <xf numFmtId="0" fontId="19" fillId="2" borderId="0" xfId="0" applyFont="1" applyFill="1"/>
    <xf numFmtId="0" fontId="20" fillId="2" borderId="0" xfId="0" applyFont="1" applyFill="1"/>
    <xf numFmtId="0" fontId="1" fillId="2" borderId="33" xfId="0" applyFont="1" applyFill="1" applyBorder="1" applyAlignment="1">
      <alignment horizontal="center"/>
    </xf>
    <xf numFmtId="164" fontId="1" fillId="24" borderId="33" xfId="0" applyNumberFormat="1" applyFont="1" applyFill="1" applyBorder="1" applyAlignment="1">
      <alignment horizontal="center"/>
    </xf>
    <xf numFmtId="164" fontId="1" fillId="25" borderId="0" xfId="0" applyNumberFormat="1" applyFont="1" applyFill="1" applyAlignment="1">
      <alignment horizontal="center"/>
    </xf>
    <xf numFmtId="0" fontId="39" fillId="16" borderId="33" xfId="0" applyFont="1" applyFill="1" applyBorder="1" applyAlignment="1">
      <alignment horizontal="center"/>
    </xf>
    <xf numFmtId="0" fontId="1" fillId="16" borderId="1" xfId="0" applyFont="1" applyFill="1" applyBorder="1" applyAlignment="1">
      <alignment horizontal="center"/>
    </xf>
    <xf numFmtId="0" fontId="1" fillId="16" borderId="0" xfId="0" applyFont="1" applyFill="1" applyAlignment="1">
      <alignment horizontal="center"/>
    </xf>
    <xf numFmtId="0" fontId="1" fillId="10" borderId="0" xfId="0" applyFont="1" applyFill="1" applyAlignment="1">
      <alignment horizontal="center"/>
    </xf>
    <xf numFmtId="0" fontId="5" fillId="2" borderId="24" xfId="0" applyFont="1" applyFill="1" applyBorder="1"/>
    <xf numFmtId="3" fontId="5" fillId="2" borderId="24" xfId="0" applyNumberFormat="1" applyFont="1" applyFill="1" applyBorder="1"/>
    <xf numFmtId="164" fontId="5" fillId="2" borderId="61" xfId="0" applyNumberFormat="1" applyFont="1" applyFill="1" applyBorder="1"/>
    <xf numFmtId="164" fontId="5" fillId="23" borderId="0" xfId="0" applyNumberFormat="1" applyFont="1" applyFill="1"/>
    <xf numFmtId="0" fontId="5" fillId="2" borderId="33" xfId="0" applyFont="1" applyFill="1" applyBorder="1"/>
    <xf numFmtId="0" fontId="5" fillId="11" borderId="1" xfId="0" applyFont="1" applyFill="1" applyBorder="1"/>
    <xf numFmtId="0" fontId="5" fillId="16" borderId="0" xfId="0" applyFont="1" applyFill="1"/>
    <xf numFmtId="164" fontId="39" fillId="2" borderId="1" xfId="0" applyNumberFormat="1" applyFont="1" applyFill="1" applyBorder="1" applyAlignment="1">
      <alignment horizontal="center"/>
    </xf>
    <xf numFmtId="0" fontId="39" fillId="0" borderId="0" xfId="0" applyFont="1" applyAlignment="1">
      <alignment horizontal="right"/>
    </xf>
    <xf numFmtId="0" fontId="42" fillId="2" borderId="24" xfId="0" applyFont="1" applyFill="1" applyBorder="1"/>
    <xf numFmtId="3" fontId="42" fillId="2" borderId="24" xfId="0" applyNumberFormat="1" applyFont="1" applyFill="1" applyBorder="1"/>
    <xf numFmtId="3" fontId="42" fillId="2" borderId="0" xfId="0" applyNumberFormat="1" applyFont="1" applyFill="1"/>
    <xf numFmtId="165" fontId="42" fillId="2" borderId="0" xfId="0" applyNumberFormat="1" applyFont="1" applyFill="1"/>
    <xf numFmtId="0" fontId="42" fillId="2" borderId="0" xfId="0" applyFont="1" applyFill="1"/>
    <xf numFmtId="2" fontId="42" fillId="2" borderId="0" xfId="0" applyNumberFormat="1" applyFont="1" applyFill="1"/>
    <xf numFmtId="168" fontId="42" fillId="2" borderId="0" xfId="0" applyNumberFormat="1" applyFont="1" applyFill="1"/>
    <xf numFmtId="169" fontId="42" fillId="2" borderId="0" xfId="0" applyNumberFormat="1" applyFont="1" applyFill="1"/>
    <xf numFmtId="164" fontId="42" fillId="2" borderId="0" xfId="0" applyNumberFormat="1" applyFont="1" applyFill="1"/>
    <xf numFmtId="164" fontId="42" fillId="2" borderId="61" xfId="0" applyNumberFormat="1" applyFont="1" applyFill="1" applyBorder="1"/>
    <xf numFmtId="164" fontId="42" fillId="23" borderId="0" xfId="0" applyNumberFormat="1" applyFont="1" applyFill="1"/>
    <xf numFmtId="0" fontId="42" fillId="2" borderId="33" xfId="0" applyFont="1" applyFill="1" applyBorder="1"/>
    <xf numFmtId="0" fontId="42" fillId="11" borderId="1" xfId="0" applyFont="1" applyFill="1" applyBorder="1"/>
    <xf numFmtId="0" fontId="42" fillId="16" borderId="0" xfId="0" applyFont="1" applyFill="1"/>
    <xf numFmtId="164" fontId="43" fillId="2" borderId="1" xfId="0" applyNumberFormat="1" applyFont="1" applyFill="1" applyBorder="1" applyAlignment="1">
      <alignment horizontal="center"/>
    </xf>
    <xf numFmtId="0" fontId="43" fillId="0" borderId="0" xfId="0" applyFont="1" applyAlignment="1">
      <alignment horizontal="right"/>
    </xf>
    <xf numFmtId="0" fontId="6" fillId="0" borderId="0" xfId="0" applyFont="1" applyAlignment="1">
      <alignment horizontal="right"/>
    </xf>
    <xf numFmtId="164" fontId="6" fillId="2" borderId="1" xfId="0" applyNumberFormat="1" applyFont="1" applyFill="1" applyBorder="1" applyAlignment="1">
      <alignment horizontal="center"/>
    </xf>
    <xf numFmtId="0" fontId="42" fillId="0" borderId="0" xfId="0" applyFont="1"/>
    <xf numFmtId="0" fontId="6" fillId="2" borderId="1" xfId="0" applyFont="1" applyFill="1" applyBorder="1" applyAlignment="1">
      <alignment horizontal="right"/>
    </xf>
    <xf numFmtId="0" fontId="4" fillId="5" borderId="24" xfId="0" applyFont="1" applyFill="1" applyBorder="1" applyAlignment="1">
      <alignment horizontal="center" vertical="center"/>
    </xf>
    <xf numFmtId="0" fontId="4" fillId="5" borderId="24" xfId="0" applyFont="1" applyFill="1" applyBorder="1" applyAlignment="1">
      <alignment horizontal="left" vertical="center"/>
    </xf>
    <xf numFmtId="0" fontId="4" fillId="5" borderId="60" xfId="0" applyFont="1" applyFill="1" applyBorder="1" applyAlignment="1">
      <alignment horizontal="center" vertical="center"/>
    </xf>
    <xf numFmtId="0" fontId="4" fillId="5" borderId="0" xfId="0" applyFont="1" applyFill="1" applyAlignment="1">
      <alignment horizontal="center" vertical="center"/>
    </xf>
    <xf numFmtId="0" fontId="4" fillId="5" borderId="61" xfId="0" applyFont="1" applyFill="1" applyBorder="1" applyAlignment="1">
      <alignment horizontal="center" vertical="center"/>
    </xf>
    <xf numFmtId="0" fontId="4" fillId="5" borderId="60"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0" xfId="0" applyFont="1" applyFill="1" applyAlignment="1">
      <alignment horizontal="left" vertical="center" wrapText="1"/>
    </xf>
    <xf numFmtId="0" fontId="6" fillId="22" borderId="24" xfId="0" applyFont="1" applyFill="1" applyBorder="1"/>
    <xf numFmtId="3" fontId="1" fillId="22" borderId="24" xfId="0" applyNumberFormat="1" applyFont="1" applyFill="1" applyBorder="1" applyAlignment="1">
      <alignment horizontal="left"/>
    </xf>
    <xf numFmtId="3" fontId="1" fillId="22" borderId="24" xfId="0" applyNumberFormat="1" applyFont="1" applyFill="1" applyBorder="1" applyAlignment="1">
      <alignment horizontal="center"/>
    </xf>
    <xf numFmtId="0" fontId="1" fillId="22" borderId="24" xfId="0" applyFont="1" applyFill="1" applyBorder="1" applyAlignment="1">
      <alignment horizontal="center"/>
    </xf>
    <xf numFmtId="165" fontId="1" fillId="22" borderId="24" xfId="0" applyNumberFormat="1" applyFont="1" applyFill="1" applyBorder="1" applyAlignment="1">
      <alignment horizontal="center"/>
    </xf>
    <xf numFmtId="164" fontId="1" fillId="23" borderId="33" xfId="0" applyNumberFormat="1" applyFont="1" applyFill="1" applyBorder="1" applyAlignment="1">
      <alignment horizontal="center"/>
    </xf>
    <xf numFmtId="164" fontId="35" fillId="2" borderId="33" xfId="0" applyNumberFormat="1" applyFont="1" applyFill="1" applyBorder="1" applyAlignment="1">
      <alignment horizontal="center"/>
    </xf>
    <xf numFmtId="165" fontId="1" fillId="2" borderId="33" xfId="0" applyNumberFormat="1" applyFont="1" applyFill="1" applyBorder="1" applyAlignment="1">
      <alignment horizontal="center"/>
    </xf>
    <xf numFmtId="0" fontId="5" fillId="11" borderId="0" xfId="0" applyFont="1" applyFill="1"/>
    <xf numFmtId="0" fontId="5" fillId="26" borderId="62" xfId="0" applyFont="1" applyFill="1" applyBorder="1"/>
    <xf numFmtId="0" fontId="5" fillId="2" borderId="0" xfId="0" applyFont="1" applyFill="1" applyAlignment="1">
      <alignment horizontal="right"/>
    </xf>
    <xf numFmtId="0" fontId="5" fillId="0" borderId="0" xfId="0" applyFont="1" applyAlignment="1">
      <alignment horizontal="right"/>
    </xf>
    <xf numFmtId="0" fontId="2" fillId="27" borderId="14" xfId="0" applyFont="1" applyFill="1" applyBorder="1"/>
    <xf numFmtId="4" fontId="2" fillId="27" borderId="14" xfId="0" applyNumberFormat="1" applyFont="1" applyFill="1" applyBorder="1" applyAlignment="1">
      <alignment horizontal="left"/>
    </xf>
    <xf numFmtId="4" fontId="2" fillId="27" borderId="14" xfId="0" applyNumberFormat="1" applyFont="1" applyFill="1" applyBorder="1"/>
    <xf numFmtId="165" fontId="2" fillId="27" borderId="14" xfId="0" applyNumberFormat="1" applyFont="1" applyFill="1" applyBorder="1" applyAlignment="1">
      <alignment horizontal="center"/>
    </xf>
    <xf numFmtId="165" fontId="1" fillId="27" borderId="14" xfId="0" applyNumberFormat="1" applyFont="1" applyFill="1" applyBorder="1" applyAlignment="1">
      <alignment horizontal="center"/>
    </xf>
    <xf numFmtId="0" fontId="2" fillId="27" borderId="16" xfId="0" applyFont="1" applyFill="1" applyBorder="1"/>
    <xf numFmtId="0" fontId="2" fillId="27" borderId="19" xfId="0" applyFont="1" applyFill="1" applyBorder="1"/>
    <xf numFmtId="164" fontId="2" fillId="27" borderId="19" xfId="0" applyNumberFormat="1" applyFont="1" applyFill="1" applyBorder="1"/>
    <xf numFmtId="164" fontId="2" fillId="27" borderId="16" xfId="0" applyNumberFormat="1" applyFont="1" applyFill="1" applyBorder="1"/>
    <xf numFmtId="164" fontId="2" fillId="27" borderId="14" xfId="0" applyNumberFormat="1" applyFont="1" applyFill="1" applyBorder="1"/>
    <xf numFmtId="0" fontId="1" fillId="27" borderId="16" xfId="0" applyFont="1" applyFill="1" applyBorder="1" applyAlignment="1">
      <alignment horizontal="center"/>
    </xf>
    <xf numFmtId="0" fontId="1" fillId="27" borderId="14" xfId="0" applyFont="1" applyFill="1" applyBorder="1" applyAlignment="1">
      <alignment horizontal="center"/>
    </xf>
    <xf numFmtId="0" fontId="25" fillId="2" borderId="63" xfId="0" applyFont="1" applyFill="1" applyBorder="1"/>
    <xf numFmtId="0" fontId="25" fillId="2" borderId="64" xfId="0" applyFont="1" applyFill="1" applyBorder="1"/>
    <xf numFmtId="169" fontId="25" fillId="2" borderId="65" xfId="0" applyNumberFormat="1" applyFont="1" applyFill="1" applyBorder="1"/>
    <xf numFmtId="169" fontId="1" fillId="2" borderId="65" xfId="0" applyNumberFormat="1" applyFont="1" applyFill="1" applyBorder="1" applyAlignment="1">
      <alignment horizontal="center"/>
    </xf>
    <xf numFmtId="168" fontId="1" fillId="2" borderId="8" xfId="0" applyNumberFormat="1" applyFont="1" applyFill="1" applyBorder="1" applyAlignment="1">
      <alignment horizontal="center"/>
    </xf>
    <xf numFmtId="0" fontId="44" fillId="2" borderId="1" xfId="0" applyFont="1" applyFill="1" applyBorder="1"/>
    <xf numFmtId="164" fontId="1" fillId="7" borderId="14" xfId="0" applyNumberFormat="1" applyFont="1" applyFill="1" applyBorder="1" applyAlignment="1">
      <alignment horizontal="center"/>
    </xf>
    <xf numFmtId="0" fontId="9" fillId="2" borderId="64" xfId="0" applyFont="1" applyFill="1" applyBorder="1"/>
    <xf numFmtId="164" fontId="25" fillId="2" borderId="2" xfId="0" applyNumberFormat="1" applyFont="1" applyFill="1" applyBorder="1"/>
    <xf numFmtId="164" fontId="25" fillId="2" borderId="9" xfId="0" applyNumberFormat="1" applyFont="1" applyFill="1" applyBorder="1"/>
    <xf numFmtId="0" fontId="45" fillId="4" borderId="3" xfId="0" applyFont="1" applyFill="1" applyBorder="1"/>
    <xf numFmtId="0" fontId="46" fillId="2" borderId="14" xfId="0" applyFont="1" applyFill="1" applyBorder="1" applyAlignment="1">
      <alignment horizontal="center"/>
    </xf>
    <xf numFmtId="0" fontId="47" fillId="2" borderId="1" xfId="0" applyFont="1" applyFill="1" applyBorder="1" applyAlignment="1">
      <alignment horizontal="center"/>
    </xf>
    <xf numFmtId="0" fontId="16" fillId="0" borderId="0" xfId="0" applyFont="1"/>
    <xf numFmtId="0" fontId="4" fillId="4" borderId="27" xfId="0" applyFont="1" applyFill="1" applyBorder="1" applyAlignment="1">
      <alignment horizontal="center"/>
    </xf>
    <xf numFmtId="0" fontId="4" fillId="4" borderId="28" xfId="0" applyFont="1" applyFill="1" applyBorder="1" applyAlignment="1">
      <alignment horizontal="center"/>
    </xf>
    <xf numFmtId="0" fontId="3" fillId="2" borderId="4" xfId="0" applyFont="1" applyFill="1" applyBorder="1"/>
    <xf numFmtId="0" fontId="3" fillId="2" borderId="37" xfId="0" applyFont="1" applyFill="1" applyBorder="1"/>
    <xf numFmtId="164" fontId="1" fillId="7" borderId="20" xfId="0" applyNumberFormat="1" applyFont="1" applyFill="1" applyBorder="1" applyAlignment="1">
      <alignment horizontal="center"/>
    </xf>
    <xf numFmtId="164" fontId="1" fillId="7" borderId="42" xfId="0" applyNumberFormat="1" applyFont="1" applyFill="1" applyBorder="1" applyAlignment="1">
      <alignment horizontal="center"/>
    </xf>
    <xf numFmtId="0" fontId="4" fillId="4" borderId="3" xfId="0" applyFont="1" applyFill="1" applyBorder="1" applyAlignment="1">
      <alignment horizontal="right"/>
    </xf>
    <xf numFmtId="10" fontId="3" fillId="2" borderId="1" xfId="0" applyNumberFormat="1" applyFont="1" applyFill="1" applyBorder="1" applyAlignment="1">
      <alignment horizontal="right"/>
    </xf>
    <xf numFmtId="9" fontId="3" fillId="2" borderId="1" xfId="0" applyNumberFormat="1" applyFont="1" applyFill="1" applyBorder="1" applyAlignment="1">
      <alignment horizontal="right"/>
    </xf>
    <xf numFmtId="0" fontId="3" fillId="2" borderId="16" xfId="0" applyFont="1" applyFill="1" applyBorder="1"/>
    <xf numFmtId="164" fontId="1" fillId="7" borderId="66" xfId="0" applyNumberFormat="1" applyFont="1" applyFill="1" applyBorder="1" applyAlignment="1">
      <alignment horizontal="center"/>
    </xf>
    <xf numFmtId="0" fontId="48" fillId="4" borderId="4" xfId="0" applyFont="1" applyFill="1" applyBorder="1"/>
    <xf numFmtId="0" fontId="3" fillId="2" borderId="9" xfId="0" applyFont="1" applyFill="1" applyBorder="1"/>
    <xf numFmtId="0" fontId="9" fillId="2" borderId="1" xfId="0" applyFont="1" applyFill="1" applyBorder="1" applyAlignment="1">
      <alignment horizontal="center"/>
    </xf>
    <xf numFmtId="0" fontId="3" fillId="2" borderId="3" xfId="0" applyFont="1" applyFill="1" applyBorder="1"/>
    <xf numFmtId="0" fontId="49" fillId="4" borderId="3" xfId="0" applyFont="1" applyFill="1" applyBorder="1"/>
    <xf numFmtId="0" fontId="4" fillId="4" borderId="67" xfId="0" applyFont="1" applyFill="1" applyBorder="1" applyAlignment="1">
      <alignment horizontal="right"/>
    </xf>
    <xf numFmtId="0" fontId="9" fillId="2" borderId="20" xfId="0" applyFont="1" applyFill="1" applyBorder="1" applyAlignment="1">
      <alignment horizontal="center"/>
    </xf>
    <xf numFmtId="0" fontId="9" fillId="2" borderId="42" xfId="0" applyFont="1" applyFill="1" applyBorder="1" applyAlignment="1">
      <alignment horizontal="center"/>
    </xf>
    <xf numFmtId="0" fontId="9" fillId="2" borderId="10" xfId="0" applyFont="1" applyFill="1" applyBorder="1" applyAlignment="1">
      <alignment horizontal="left"/>
    </xf>
    <xf numFmtId="0" fontId="3" fillId="2" borderId="68" xfId="0" applyFont="1" applyFill="1" applyBorder="1"/>
    <xf numFmtId="0" fontId="9" fillId="2" borderId="14" xfId="0" applyFont="1" applyFill="1" applyBorder="1" applyAlignment="1">
      <alignment horizontal="center"/>
    </xf>
    <xf numFmtId="0" fontId="9" fillId="2" borderId="66" xfId="0" applyFont="1" applyFill="1" applyBorder="1" applyAlignment="1">
      <alignment horizontal="center"/>
    </xf>
    <xf numFmtId="0" fontId="9" fillId="2" borderId="32" xfId="0" applyFont="1" applyFill="1" applyBorder="1" applyAlignment="1">
      <alignment horizontal="left"/>
    </xf>
    <xf numFmtId="0" fontId="3" fillId="7" borderId="4" xfId="0" applyFont="1" applyFill="1" applyBorder="1"/>
    <xf numFmtId="0" fontId="3" fillId="7" borderId="37" xfId="0" applyFont="1" applyFill="1" applyBorder="1"/>
    <xf numFmtId="9" fontId="9" fillId="7" borderId="20" xfId="0" applyNumberFormat="1" applyFont="1" applyFill="1" applyBorder="1" applyAlignment="1">
      <alignment horizontal="center"/>
    </xf>
    <xf numFmtId="9" fontId="9" fillId="7" borderId="42" xfId="0" applyNumberFormat="1" applyFont="1" applyFill="1" applyBorder="1" applyAlignment="1">
      <alignment horizontal="center"/>
    </xf>
    <xf numFmtId="9" fontId="9" fillId="7" borderId="10" xfId="0" applyNumberFormat="1" applyFont="1" applyFill="1" applyBorder="1" applyAlignment="1">
      <alignment horizontal="left"/>
    </xf>
    <xf numFmtId="9" fontId="9" fillId="7" borderId="14" xfId="0" applyNumberFormat="1" applyFont="1" applyFill="1" applyBorder="1" applyAlignment="1">
      <alignment horizontal="center"/>
    </xf>
    <xf numFmtId="9" fontId="9" fillId="7" borderId="66" xfId="0" applyNumberFormat="1" applyFont="1" applyFill="1" applyBorder="1" applyAlignment="1">
      <alignment horizontal="center"/>
    </xf>
    <xf numFmtId="0" fontId="3" fillId="7" borderId="1" xfId="0" applyFont="1" applyFill="1" applyBorder="1"/>
    <xf numFmtId="9" fontId="9" fillId="7" borderId="1" xfId="0" applyNumberFormat="1" applyFont="1" applyFill="1" applyBorder="1" applyAlignment="1">
      <alignment horizontal="center"/>
    </xf>
    <xf numFmtId="0" fontId="4" fillId="21" borderId="55" xfId="0" applyFont="1" applyFill="1" applyBorder="1" applyAlignment="1">
      <alignment horizontal="left" vertical="center" wrapText="1"/>
    </xf>
    <xf numFmtId="0" fontId="4" fillId="21" borderId="40" xfId="0" applyFont="1" applyFill="1" applyBorder="1" applyAlignment="1">
      <alignment horizontal="left" vertical="center" wrapText="1"/>
    </xf>
    <xf numFmtId="3" fontId="6" fillId="2" borderId="0" xfId="0" applyNumberFormat="1" applyFont="1" applyFill="1" applyAlignment="1">
      <alignment horizontal="center"/>
    </xf>
    <xf numFmtId="165" fontId="6" fillId="2" borderId="0" xfId="0" applyNumberFormat="1" applyFont="1" applyFill="1" applyAlignment="1">
      <alignment horizontal="center"/>
    </xf>
    <xf numFmtId="0" fontId="9" fillId="2" borderId="10" xfId="0" applyFont="1" applyFill="1" applyBorder="1" applyAlignment="1">
      <alignment horizontal="center"/>
    </xf>
    <xf numFmtId="2" fontId="6" fillId="2" borderId="0" xfId="0" applyNumberFormat="1" applyFont="1" applyFill="1" applyAlignment="1">
      <alignment horizontal="center"/>
    </xf>
    <xf numFmtId="168" fontId="6" fillId="2" borderId="0" xfId="0" applyNumberFormat="1" applyFont="1" applyFill="1" applyAlignment="1">
      <alignment horizontal="center"/>
    </xf>
    <xf numFmtId="169" fontId="6" fillId="2" borderId="0" xfId="0" applyNumberFormat="1" applyFont="1" applyFill="1" applyAlignment="1">
      <alignment horizontal="center"/>
    </xf>
    <xf numFmtId="169" fontId="36" fillId="2" borderId="0" xfId="0" applyNumberFormat="1" applyFont="1" applyFill="1" applyAlignment="1">
      <alignment horizontal="center"/>
    </xf>
    <xf numFmtId="164" fontId="36" fillId="2" borderId="0" xfId="0" applyNumberFormat="1" applyFont="1" applyFill="1" applyAlignment="1">
      <alignment horizontal="center"/>
    </xf>
    <xf numFmtId="0" fontId="6" fillId="2" borderId="33" xfId="0" applyFont="1" applyFill="1" applyBorder="1" applyAlignment="1">
      <alignment horizontal="center"/>
    </xf>
    <xf numFmtId="0" fontId="1" fillId="0" borderId="21" xfId="0" applyFont="1" applyBorder="1"/>
    <xf numFmtId="0" fontId="50" fillId="2" borderId="1" xfId="0" applyFont="1" applyFill="1" applyBorder="1"/>
    <xf numFmtId="3" fontId="50" fillId="2" borderId="1" xfId="0" applyNumberFormat="1" applyFont="1" applyFill="1" applyBorder="1" applyAlignment="1">
      <alignment horizontal="left"/>
    </xf>
    <xf numFmtId="3" fontId="50" fillId="2" borderId="1" xfId="0" applyNumberFormat="1" applyFont="1" applyFill="1" applyBorder="1" applyAlignment="1">
      <alignment horizontal="center"/>
    </xf>
    <xf numFmtId="3" fontId="50" fillId="2" borderId="0" xfId="0" applyNumberFormat="1" applyFont="1" applyFill="1" applyAlignment="1">
      <alignment horizontal="center"/>
    </xf>
    <xf numFmtId="165" fontId="50" fillId="2" borderId="5" xfId="0" applyNumberFormat="1" applyFont="1" applyFill="1" applyBorder="1" applyAlignment="1">
      <alignment horizontal="center"/>
    </xf>
    <xf numFmtId="0" fontId="50" fillId="2" borderId="10" xfId="0" applyFont="1" applyFill="1" applyBorder="1" applyAlignment="1">
      <alignment horizontal="center"/>
    </xf>
    <xf numFmtId="2" fontId="50" fillId="2" borderId="0" xfId="0" applyNumberFormat="1" applyFont="1" applyFill="1" applyAlignment="1">
      <alignment horizontal="center"/>
    </xf>
    <xf numFmtId="168" fontId="50" fillId="2" borderId="0" xfId="0" applyNumberFormat="1" applyFont="1" applyFill="1" applyAlignment="1">
      <alignment horizontal="center"/>
    </xf>
    <xf numFmtId="169" fontId="50" fillId="2" borderId="0" xfId="0" applyNumberFormat="1" applyFont="1" applyFill="1" applyAlignment="1">
      <alignment horizontal="center"/>
    </xf>
    <xf numFmtId="164" fontId="50" fillId="2" borderId="0" xfId="0" applyNumberFormat="1" applyFont="1" applyFill="1" applyAlignment="1">
      <alignment horizontal="center"/>
    </xf>
    <xf numFmtId="165" fontId="50" fillId="2" borderId="0" xfId="0" applyNumberFormat="1" applyFont="1" applyFill="1" applyAlignment="1">
      <alignment horizontal="center"/>
    </xf>
    <xf numFmtId="4" fontId="1" fillId="2" borderId="1" xfId="0" applyNumberFormat="1" applyFont="1" applyFill="1" applyBorder="1"/>
    <xf numFmtId="0" fontId="39" fillId="2" borderId="1" xfId="0" applyFont="1" applyFill="1" applyBorder="1"/>
    <xf numFmtId="3" fontId="39" fillId="2" borderId="1" xfId="0" applyNumberFormat="1" applyFont="1" applyFill="1" applyBorder="1" applyAlignment="1">
      <alignment horizontal="left"/>
    </xf>
    <xf numFmtId="3" fontId="39" fillId="2" borderId="1" xfId="0" applyNumberFormat="1" applyFont="1" applyFill="1" applyBorder="1" applyAlignment="1">
      <alignment horizontal="center"/>
    </xf>
    <xf numFmtId="165" fontId="39" fillId="2" borderId="0" xfId="0" applyNumberFormat="1" applyFont="1" applyFill="1" applyAlignment="1">
      <alignment horizontal="center"/>
    </xf>
    <xf numFmtId="2" fontId="39" fillId="2" borderId="0" xfId="0" applyNumberFormat="1" applyFont="1" applyFill="1" applyAlignment="1">
      <alignment horizontal="center"/>
    </xf>
    <xf numFmtId="168" fontId="39" fillId="2" borderId="0" xfId="0" applyNumberFormat="1" applyFont="1" applyFill="1" applyAlignment="1">
      <alignment horizontal="center"/>
    </xf>
    <xf numFmtId="169" fontId="39" fillId="2" borderId="0" xfId="0" applyNumberFormat="1" applyFont="1" applyFill="1" applyAlignment="1">
      <alignment horizontal="center"/>
    </xf>
    <xf numFmtId="169" fontId="38" fillId="17" borderId="0" xfId="0" applyNumberFormat="1" applyFont="1" applyFill="1" applyAlignment="1">
      <alignment horizontal="center"/>
    </xf>
    <xf numFmtId="169" fontId="51" fillId="2" borderId="0" xfId="0" applyNumberFormat="1" applyFont="1" applyFill="1" applyAlignment="1">
      <alignment horizontal="center"/>
    </xf>
    <xf numFmtId="164" fontId="51" fillId="2" borderId="0" xfId="0" applyNumberFormat="1" applyFont="1" applyFill="1" applyAlignment="1">
      <alignment horizontal="center"/>
    </xf>
    <xf numFmtId="165" fontId="12" fillId="2" borderId="0" xfId="0" applyNumberFormat="1" applyFont="1" applyFill="1" applyAlignment="1">
      <alignment horizontal="center"/>
    </xf>
    <xf numFmtId="168" fontId="12" fillId="2" borderId="0" xfId="0" applyNumberFormat="1" applyFont="1" applyFill="1" applyAlignment="1">
      <alignment horizontal="center"/>
    </xf>
    <xf numFmtId="4" fontId="50" fillId="2" borderId="1" xfId="0" applyNumberFormat="1" applyFont="1" applyFill="1" applyBorder="1"/>
    <xf numFmtId="3" fontId="50" fillId="2" borderId="1" xfId="0" applyNumberFormat="1" applyFont="1" applyFill="1" applyBorder="1"/>
    <xf numFmtId="3" fontId="38" fillId="2" borderId="0" xfId="0" applyNumberFormat="1" applyFont="1" applyFill="1" applyAlignment="1">
      <alignment horizontal="center"/>
    </xf>
    <xf numFmtId="3" fontId="9" fillId="2" borderId="1" xfId="0" applyNumberFormat="1" applyFont="1" applyFill="1" applyBorder="1" applyAlignment="1">
      <alignment horizontal="left"/>
    </xf>
    <xf numFmtId="3" fontId="9" fillId="2" borderId="1" xfId="0" applyNumberFormat="1" applyFont="1" applyFill="1" applyBorder="1" applyAlignment="1">
      <alignment horizontal="center"/>
    </xf>
    <xf numFmtId="165" fontId="9" fillId="2" borderId="0" xfId="0" applyNumberFormat="1" applyFont="1" applyFill="1" applyAlignment="1">
      <alignment horizontal="center"/>
    </xf>
    <xf numFmtId="2" fontId="9" fillId="2" borderId="0" xfId="0" applyNumberFormat="1" applyFont="1" applyFill="1" applyAlignment="1">
      <alignment horizontal="center"/>
    </xf>
    <xf numFmtId="168" fontId="9" fillId="2" borderId="0" xfId="0" applyNumberFormat="1" applyFont="1" applyFill="1" applyAlignment="1">
      <alignment horizontal="center"/>
    </xf>
    <xf numFmtId="165" fontId="38" fillId="2" borderId="5" xfId="0" applyNumberFormat="1" applyFont="1" applyFill="1" applyBorder="1" applyAlignment="1">
      <alignment horizontal="center"/>
    </xf>
    <xf numFmtId="165" fontId="1" fillId="2" borderId="5" xfId="0" applyNumberFormat="1" applyFont="1" applyFill="1" applyBorder="1" applyAlignment="1">
      <alignment horizontal="center"/>
    </xf>
    <xf numFmtId="3" fontId="52" fillId="2" borderId="0" xfId="0" applyNumberFormat="1" applyFont="1" applyFill="1" applyAlignment="1">
      <alignment horizontal="center"/>
    </xf>
    <xf numFmtId="0" fontId="3" fillId="2" borderId="21" xfId="0" applyFont="1" applyFill="1" applyBorder="1" applyAlignment="1">
      <alignment horizontal="center"/>
    </xf>
    <xf numFmtId="169" fontId="15" fillId="2" borderId="0" xfId="0" applyNumberFormat="1" applyFont="1" applyFill="1" applyAlignment="1">
      <alignment horizontal="center"/>
    </xf>
    <xf numFmtId="164" fontId="15" fillId="2" borderId="0" xfId="0" applyNumberFormat="1" applyFont="1" applyFill="1" applyAlignment="1">
      <alignment horizontal="center"/>
    </xf>
    <xf numFmtId="3" fontId="53" fillId="2" borderId="0" xfId="0" applyNumberFormat="1" applyFont="1" applyFill="1" applyAlignment="1">
      <alignment horizontal="center"/>
    </xf>
    <xf numFmtId="165" fontId="33" fillId="2" borderId="0" xfId="0" applyNumberFormat="1" applyFont="1" applyFill="1" applyAlignment="1">
      <alignment horizontal="center"/>
    </xf>
    <xf numFmtId="0" fontId="33" fillId="2" borderId="10" xfId="0" applyFont="1" applyFill="1" applyBorder="1" applyAlignment="1">
      <alignment horizontal="center"/>
    </xf>
    <xf numFmtId="2" fontId="33" fillId="2" borderId="0" xfId="0" applyNumberFormat="1" applyFont="1" applyFill="1" applyAlignment="1">
      <alignment horizontal="center"/>
    </xf>
    <xf numFmtId="168" fontId="33" fillId="2" borderId="0" xfId="0" applyNumberFormat="1" applyFont="1" applyFill="1" applyAlignment="1">
      <alignment horizontal="center"/>
    </xf>
    <xf numFmtId="164" fontId="33" fillId="2" borderId="0" xfId="0" applyNumberFormat="1" applyFont="1" applyFill="1" applyAlignment="1">
      <alignment horizontal="center"/>
    </xf>
    <xf numFmtId="3" fontId="6" fillId="2" borderId="1" xfId="0" applyNumberFormat="1" applyFont="1" applyFill="1" applyBorder="1"/>
    <xf numFmtId="0" fontId="6" fillId="2" borderId="10" xfId="0" applyFont="1" applyFill="1" applyBorder="1" applyAlignment="1">
      <alignment horizontal="center"/>
    </xf>
    <xf numFmtId="0" fontId="54" fillId="2" borderId="1" xfId="0" applyFont="1" applyFill="1" applyBorder="1"/>
    <xf numFmtId="3" fontId="54" fillId="2" borderId="1" xfId="0" applyNumberFormat="1" applyFont="1" applyFill="1" applyBorder="1" applyAlignment="1">
      <alignment horizontal="left"/>
    </xf>
    <xf numFmtId="3" fontId="54" fillId="2" borderId="1" xfId="0" applyNumberFormat="1" applyFont="1" applyFill="1" applyBorder="1" applyAlignment="1">
      <alignment horizontal="center"/>
    </xf>
    <xf numFmtId="3" fontId="54" fillId="2" borderId="0" xfId="0" applyNumberFormat="1" applyFont="1" applyFill="1" applyAlignment="1">
      <alignment horizontal="center"/>
    </xf>
    <xf numFmtId="165" fontId="54" fillId="2" borderId="0" xfId="0" applyNumberFormat="1" applyFont="1" applyFill="1" applyAlignment="1">
      <alignment horizontal="center"/>
    </xf>
    <xf numFmtId="0" fontId="54" fillId="2" borderId="10" xfId="0" applyFont="1" applyFill="1" applyBorder="1" applyAlignment="1">
      <alignment horizontal="center"/>
    </xf>
    <xf numFmtId="2" fontId="54" fillId="2" borderId="0" xfId="0" applyNumberFormat="1" applyFont="1" applyFill="1" applyAlignment="1">
      <alignment horizontal="center"/>
    </xf>
    <xf numFmtId="168" fontId="54" fillId="2" borderId="0" xfId="0" applyNumberFormat="1" applyFont="1" applyFill="1" applyAlignment="1">
      <alignment horizontal="center"/>
    </xf>
    <xf numFmtId="169" fontId="54" fillId="2" borderId="0" xfId="0" applyNumberFormat="1" applyFont="1" applyFill="1" applyAlignment="1">
      <alignment horizontal="center"/>
    </xf>
    <xf numFmtId="164" fontId="54" fillId="2" borderId="0" xfId="0" applyNumberFormat="1" applyFont="1" applyFill="1" applyAlignment="1">
      <alignment horizontal="center"/>
    </xf>
    <xf numFmtId="164" fontId="39" fillId="2" borderId="0" xfId="0" applyNumberFormat="1" applyFont="1" applyFill="1" applyAlignment="1">
      <alignment horizontal="center"/>
    </xf>
    <xf numFmtId="0" fontId="1" fillId="5" borderId="0" xfId="0" applyFont="1" applyFill="1"/>
    <xf numFmtId="0" fontId="1" fillId="5" borderId="0" xfId="0" applyFont="1" applyFill="1" applyAlignment="1">
      <alignment horizontal="left"/>
    </xf>
    <xf numFmtId="0" fontId="1" fillId="5" borderId="0" xfId="0" applyFont="1" applyFill="1" applyAlignment="1">
      <alignment horizontal="center"/>
    </xf>
    <xf numFmtId="0" fontId="25" fillId="5" borderId="69" xfId="0" applyFont="1" applyFill="1" applyBorder="1"/>
    <xf numFmtId="0" fontId="25" fillId="5" borderId="0" xfId="0" applyFont="1" applyFill="1"/>
    <xf numFmtId="169" fontId="25" fillId="5" borderId="0" xfId="0" applyNumberFormat="1" applyFont="1" applyFill="1"/>
    <xf numFmtId="169" fontId="1" fillId="5" borderId="0" xfId="0" applyNumberFormat="1" applyFont="1" applyFill="1" applyAlignment="1">
      <alignment horizontal="center"/>
    </xf>
    <xf numFmtId="164" fontId="3" fillId="5" borderId="22" xfId="0" applyNumberFormat="1" applyFont="1" applyFill="1" applyBorder="1" applyAlignment="1">
      <alignment horizontal="center"/>
    </xf>
    <xf numFmtId="168" fontId="1" fillId="5" borderId="33" xfId="0" applyNumberFormat="1" applyFont="1" applyFill="1" applyBorder="1" applyAlignment="1">
      <alignment horizontal="center"/>
    </xf>
    <xf numFmtId="168" fontId="1" fillId="5" borderId="62" xfId="0" applyNumberFormat="1" applyFont="1" applyFill="1" applyBorder="1" applyAlignment="1">
      <alignment horizontal="center"/>
    </xf>
    <xf numFmtId="0" fontId="1" fillId="0" borderId="0" xfId="0" applyFont="1" applyAlignment="1">
      <alignment horizontal="left"/>
    </xf>
    <xf numFmtId="164" fontId="3" fillId="2" borderId="35" xfId="0" applyNumberFormat="1" applyFont="1" applyFill="1" applyBorder="1" applyAlignment="1">
      <alignment horizontal="center"/>
    </xf>
    <xf numFmtId="169" fontId="1" fillId="2" borderId="6" xfId="0" applyNumberFormat="1" applyFont="1" applyFill="1" applyBorder="1" applyAlignment="1">
      <alignment horizontal="center"/>
    </xf>
    <xf numFmtId="164" fontId="3" fillId="2" borderId="70" xfId="0" applyNumberFormat="1" applyFont="1" applyFill="1" applyBorder="1" applyAlignment="1">
      <alignment horizontal="center"/>
    </xf>
    <xf numFmtId="164" fontId="2" fillId="2" borderId="24" xfId="0" applyNumberFormat="1" applyFont="1" applyFill="1" applyBorder="1"/>
    <xf numFmtId="0" fontId="39" fillId="2" borderId="1" xfId="0" applyFont="1" applyFill="1" applyBorder="1" applyAlignment="1">
      <alignment horizontal="center"/>
    </xf>
    <xf numFmtId="165" fontId="39" fillId="2" borderId="1" xfId="0" applyNumberFormat="1" applyFont="1" applyFill="1" applyBorder="1" applyAlignment="1">
      <alignment horizontal="center"/>
    </xf>
    <xf numFmtId="0" fontId="39" fillId="2" borderId="10" xfId="0" applyFont="1" applyFill="1" applyBorder="1" applyAlignment="1">
      <alignment horizontal="right"/>
    </xf>
    <xf numFmtId="2" fontId="39" fillId="2" borderId="1" xfId="0" applyNumberFormat="1" applyFont="1" applyFill="1" applyBorder="1" applyAlignment="1">
      <alignment horizontal="center"/>
    </xf>
    <xf numFmtId="168" fontId="39" fillId="2" borderId="1" xfId="0" applyNumberFormat="1" applyFont="1" applyFill="1" applyBorder="1" applyAlignment="1">
      <alignment horizontal="center"/>
    </xf>
    <xf numFmtId="169" fontId="39" fillId="2" borderId="1" xfId="0" applyNumberFormat="1" applyFont="1" applyFill="1" applyBorder="1" applyAlignment="1">
      <alignment horizontal="center"/>
    </xf>
    <xf numFmtId="169" fontId="39" fillId="2" borderId="5" xfId="0" applyNumberFormat="1" applyFont="1" applyFill="1" applyBorder="1" applyAlignment="1">
      <alignment horizontal="center"/>
    </xf>
    <xf numFmtId="165" fontId="1" fillId="2" borderId="0" xfId="0" applyNumberFormat="1" applyFont="1" applyFill="1"/>
    <xf numFmtId="0" fontId="1" fillId="2" borderId="10" xfId="0" applyFont="1" applyFill="1" applyBorder="1"/>
    <xf numFmtId="0" fontId="3" fillId="2" borderId="10" xfId="0" applyFont="1" applyFill="1" applyBorder="1"/>
    <xf numFmtId="0" fontId="3" fillId="2" borderId="11" xfId="0" applyFont="1" applyFill="1" applyBorder="1" applyAlignment="1">
      <alignment horizontal="center"/>
    </xf>
    <xf numFmtId="0" fontId="3" fillId="0" borderId="21" xfId="0" applyFont="1" applyBorder="1"/>
    <xf numFmtId="164" fontId="16" fillId="2" borderId="1" xfId="0" applyNumberFormat="1" applyFont="1" applyFill="1" applyBorder="1"/>
    <xf numFmtId="164" fontId="16" fillId="2" borderId="0" xfId="0" applyNumberFormat="1" applyFont="1" applyFill="1"/>
    <xf numFmtId="164" fontId="19" fillId="2" borderId="0" xfId="0" applyNumberFormat="1" applyFont="1" applyFill="1"/>
    <xf numFmtId="0" fontId="6" fillId="2" borderId="10" xfId="0" applyFont="1" applyFill="1" applyBorder="1"/>
    <xf numFmtId="0" fontId="6" fillId="2" borderId="0" xfId="0" applyFont="1" applyFill="1" applyAlignment="1">
      <alignment horizontal="right"/>
    </xf>
    <xf numFmtId="165" fontId="39" fillId="2" borderId="5" xfId="0" applyNumberFormat="1" applyFont="1" applyFill="1" applyBorder="1" applyAlignment="1">
      <alignment horizontal="center"/>
    </xf>
    <xf numFmtId="0" fontId="12" fillId="0" borderId="21" xfId="0" applyFont="1" applyBorder="1"/>
    <xf numFmtId="164" fontId="27" fillId="2" borderId="0" xfId="0" applyNumberFormat="1" applyFont="1" applyFill="1"/>
    <xf numFmtId="0" fontId="1" fillId="2" borderId="0" xfId="0" applyFont="1" applyFill="1" applyAlignment="1">
      <alignment horizontal="left"/>
    </xf>
    <xf numFmtId="0" fontId="25" fillId="2" borderId="69" xfId="0" applyFont="1" applyFill="1" applyBorder="1"/>
    <xf numFmtId="168" fontId="1" fillId="2" borderId="33" xfId="0" applyNumberFormat="1" applyFont="1" applyFill="1" applyBorder="1" applyAlignment="1">
      <alignment horizontal="center"/>
    </xf>
    <xf numFmtId="0" fontId="6" fillId="2" borderId="24" xfId="0" applyFont="1" applyFill="1" applyBorder="1"/>
    <xf numFmtId="3" fontId="1" fillId="2" borderId="24" xfId="0" applyNumberFormat="1" applyFont="1" applyFill="1" applyBorder="1" applyAlignment="1">
      <alignment horizontal="left"/>
    </xf>
    <xf numFmtId="3" fontId="1" fillId="2" borderId="24" xfId="0" applyNumberFormat="1" applyFont="1" applyFill="1" applyBorder="1" applyAlignment="1">
      <alignment horizontal="center"/>
    </xf>
    <xf numFmtId="0" fontId="1" fillId="2" borderId="24" xfId="0" applyFont="1" applyFill="1" applyBorder="1" applyAlignment="1">
      <alignment horizontal="center"/>
    </xf>
    <xf numFmtId="165" fontId="1" fillId="2" borderId="60" xfId="0" applyNumberFormat="1" applyFont="1" applyFill="1" applyBorder="1" applyAlignment="1">
      <alignment horizontal="center"/>
    </xf>
    <xf numFmtId="165" fontId="1" fillId="2" borderId="61" xfId="0" applyNumberFormat="1" applyFont="1" applyFill="1" applyBorder="1" applyAlignment="1">
      <alignment horizontal="center"/>
    </xf>
    <xf numFmtId="165" fontId="1" fillId="2" borderId="24" xfId="0" applyNumberFormat="1" applyFont="1" applyFill="1" applyBorder="1" applyAlignment="1">
      <alignment horizontal="center"/>
    </xf>
    <xf numFmtId="0" fontId="4" fillId="5" borderId="0" xfId="0" applyFont="1" applyFill="1" applyAlignment="1">
      <alignment horizontal="center" vertical="center" wrapText="1"/>
    </xf>
    <xf numFmtId="164" fontId="1" fillId="28" borderId="0" xfId="0" applyNumberFormat="1" applyFont="1" applyFill="1" applyAlignment="1">
      <alignment horizontal="center"/>
    </xf>
    <xf numFmtId="164" fontId="1" fillId="29" borderId="33" xfId="0" applyNumberFormat="1" applyFont="1" applyFill="1" applyBorder="1" applyAlignment="1">
      <alignment horizontal="center"/>
    </xf>
    <xf numFmtId="165" fontId="1" fillId="30" borderId="1" xfId="0" applyNumberFormat="1" applyFont="1" applyFill="1" applyBorder="1" applyAlignment="1">
      <alignment horizontal="center"/>
    </xf>
    <xf numFmtId="165" fontId="1" fillId="11" borderId="1" xfId="0" applyNumberFormat="1" applyFont="1" applyFill="1" applyBorder="1" applyAlignment="1">
      <alignment horizontal="center"/>
    </xf>
    <xf numFmtId="165" fontId="1" fillId="31" borderId="1" xfId="0" applyNumberFormat="1" applyFont="1" applyFill="1" applyBorder="1" applyAlignment="1">
      <alignment horizontal="center"/>
    </xf>
    <xf numFmtId="10" fontId="1" fillId="2" borderId="1" xfId="0" applyNumberFormat="1" applyFont="1" applyFill="1" applyBorder="1" applyAlignment="1">
      <alignment horizontal="center"/>
    </xf>
    <xf numFmtId="0" fontId="8" fillId="0" borderId="7" xfId="0" applyFont="1" applyBorder="1"/>
    <xf numFmtId="0" fontId="8" fillId="0" borderId="8" xfId="0" applyFont="1" applyBorder="1"/>
    <xf numFmtId="0" fontId="9" fillId="8" borderId="6" xfId="0" applyFont="1" applyFill="1" applyBorder="1" applyAlignment="1">
      <alignment horizontal="center" wrapText="1"/>
    </xf>
    <xf numFmtId="0" fontId="6" fillId="8" borderId="50" xfId="0" applyFont="1" applyFill="1" applyBorder="1" applyAlignment="1">
      <alignment horizontal="center" wrapText="1"/>
    </xf>
    <xf numFmtId="0" fontId="8" fillId="0" borderId="51" xfId="0" applyFont="1" applyBorder="1"/>
    <xf numFmtId="0" fontId="8" fillId="0" borderId="52" xfId="0" applyFont="1" applyBorder="1"/>
    <xf numFmtId="0" fontId="4" fillId="21" borderId="54" xfId="0" applyFont="1" applyFill="1" applyBorder="1" applyAlignment="1">
      <alignment horizontal="left" vertical="center" wrapText="1"/>
    </xf>
    <xf numFmtId="0" fontId="8" fillId="0" borderId="55" xfId="0" applyFont="1" applyBorder="1"/>
    <xf numFmtId="0" fontId="8" fillId="0" borderId="40" xfId="0" applyFont="1" applyBorder="1"/>
    <xf numFmtId="0" fontId="9" fillId="8" borderId="7" xfId="0" applyFont="1" applyFill="1" applyBorder="1" applyAlignment="1">
      <alignment horizontal="center" wrapText="1"/>
    </xf>
    <xf numFmtId="0" fontId="9" fillId="8" borderId="25" xfId="0" applyFont="1" applyFill="1" applyBorder="1" applyAlignment="1">
      <alignment horizontal="center" wrapText="1"/>
    </xf>
    <xf numFmtId="0" fontId="8" fillId="0" borderId="25" xfId="0" applyFont="1" applyBorder="1"/>
    <xf numFmtId="0" fontId="8" fillId="0" borderId="26" xfId="0" applyFont="1" applyBorder="1"/>
  </cellXfs>
  <cellStyles count="1">
    <cellStyle name="Normal" xfId="0" builtinId="0"/>
  </cellStyles>
  <dxfs count="111">
    <dxf>
      <fill>
        <patternFill patternType="solid">
          <fgColor rgb="FFFFF2CC"/>
          <bgColor rgb="FFFFF2CC"/>
        </patternFill>
      </fill>
    </dxf>
    <dxf>
      <fill>
        <patternFill patternType="solid">
          <fgColor rgb="FFF8DBD9"/>
          <bgColor rgb="FFF8DBD9"/>
        </patternFill>
      </fill>
    </dxf>
    <dxf>
      <fill>
        <patternFill patternType="solid">
          <fgColor rgb="FFB7E1CD"/>
          <bgColor rgb="FFB7E1CD"/>
        </patternFill>
      </fill>
    </dxf>
    <dxf>
      <font>
        <color rgb="FFFF0000"/>
      </font>
      <fill>
        <patternFill patternType="solid">
          <fgColor rgb="FFFFFFFF"/>
          <bgColor rgb="FFFFFFFF"/>
        </patternFill>
      </fill>
    </dxf>
    <dxf>
      <font>
        <color rgb="FF0B8043"/>
      </font>
      <fill>
        <patternFill patternType="solid">
          <fgColor rgb="FFFFFFFF"/>
          <bgColor rgb="FFFFFFFF"/>
        </patternFill>
      </fill>
    </dxf>
    <dxf>
      <font>
        <color rgb="FFC53929"/>
      </font>
      <fill>
        <patternFill patternType="none"/>
      </fill>
    </dxf>
    <dxf>
      <font>
        <color rgb="FF0B8043"/>
      </font>
      <fill>
        <patternFill patternType="none"/>
      </fill>
    </dxf>
    <dxf>
      <font>
        <color rgb="FF000000"/>
      </font>
      <fill>
        <patternFill patternType="solid">
          <fgColor rgb="FFFCE8B2"/>
          <bgColor rgb="FFFCE8B2"/>
        </patternFill>
      </fill>
    </dxf>
    <dxf>
      <fill>
        <patternFill patternType="solid">
          <fgColor rgb="FFBF9000"/>
          <bgColor rgb="FFBF9000"/>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ont>
        <color rgb="FF000000"/>
      </font>
      <fill>
        <patternFill patternType="solid">
          <fgColor rgb="FFFBE8E7"/>
          <bgColor rgb="FFFBE8E7"/>
        </patternFill>
      </fill>
    </dxf>
    <dxf>
      <font>
        <color rgb="FF000000"/>
      </font>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ont>
        <color rgb="FFFF0000"/>
      </font>
      <fill>
        <patternFill patternType="solid">
          <fgColor rgb="FFFFFFFF"/>
          <bgColor rgb="FFFFFFFF"/>
        </patternFill>
      </fill>
    </dxf>
    <dxf>
      <font>
        <color rgb="FF0B8043"/>
      </font>
      <fill>
        <patternFill patternType="solid">
          <fgColor rgb="FFFFFFFF"/>
          <bgColor rgb="FFFFFFFF"/>
        </patternFill>
      </fill>
    </dxf>
    <dxf>
      <font>
        <color rgb="FF0B8043"/>
      </font>
      <fill>
        <patternFill patternType="none"/>
      </fill>
    </dxf>
    <dxf>
      <font>
        <color rgb="FFC53929"/>
      </font>
      <fill>
        <patternFill patternType="none"/>
      </fill>
    </dxf>
    <dxf>
      <font>
        <color rgb="FF0B8043"/>
      </font>
      <fill>
        <patternFill patternType="solid">
          <fgColor rgb="FFFFFFFF"/>
          <bgColor rgb="FFFFFFFF"/>
        </patternFill>
      </fill>
    </dxf>
    <dxf>
      <font>
        <color rgb="FFC53929"/>
      </font>
      <fill>
        <patternFill patternType="none"/>
      </fill>
    </dxf>
    <dxf>
      <font>
        <color rgb="FF0B8043"/>
      </font>
      <fill>
        <patternFill patternType="none"/>
      </fill>
    </dxf>
    <dxf>
      <font>
        <color rgb="FFC53929"/>
      </font>
      <fill>
        <patternFill patternType="none"/>
      </fill>
    </dxf>
    <dxf>
      <font>
        <color rgb="FF0B8043"/>
      </font>
      <fill>
        <patternFill patternType="none"/>
      </fill>
    </dxf>
    <dxf>
      <font>
        <color rgb="FFC53929"/>
      </font>
      <fill>
        <patternFill patternType="none"/>
      </fill>
    </dxf>
    <dxf>
      <font>
        <b/>
        <color rgb="FF0B8043"/>
      </font>
      <fill>
        <patternFill patternType="none"/>
      </fill>
    </dxf>
    <dxf>
      <font>
        <b/>
        <color rgb="FFC53929"/>
      </font>
      <fill>
        <patternFill patternType="none"/>
      </fill>
    </dxf>
    <dxf>
      <font>
        <b/>
        <color rgb="FFC53929"/>
      </font>
      <fill>
        <patternFill patternType="none"/>
      </fill>
    </dxf>
    <dxf>
      <font>
        <b/>
        <color rgb="FF0B8043"/>
      </font>
      <fill>
        <patternFill patternType="none"/>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
      <font>
        <color rgb="FF000000"/>
      </font>
      <fill>
        <patternFill patternType="solid">
          <fgColor rgb="FFFCE8B2"/>
          <bgColor rgb="FFFCE8B2"/>
        </patternFill>
      </fill>
    </dxf>
    <dxf>
      <fill>
        <patternFill patternType="solid">
          <fgColor rgb="FFBF9000"/>
          <bgColor rgb="FFBF9000"/>
        </patternFill>
      </fill>
    </dxf>
    <dxf>
      <font>
        <color rgb="FF000000"/>
      </font>
      <fill>
        <patternFill patternType="solid">
          <fgColor rgb="FFCFE2F3"/>
          <bgColor rgb="FFCFE2F3"/>
        </patternFill>
      </fill>
    </dxf>
    <dxf>
      <font>
        <color rgb="FF000000"/>
      </font>
      <fill>
        <patternFill patternType="solid">
          <fgColor rgb="FF93C47D"/>
          <bgColor rgb="FF93C47D"/>
        </patternFill>
      </fill>
    </dxf>
    <dxf>
      <font>
        <color rgb="FF000000"/>
      </font>
      <fill>
        <patternFill patternType="solid">
          <fgColor rgb="FFA64D79"/>
          <bgColor rgb="FFA64D79"/>
        </patternFill>
      </fill>
    </dxf>
    <dxf>
      <font>
        <color rgb="FF000000"/>
      </font>
      <fill>
        <patternFill patternType="solid">
          <fgColor rgb="FF9FC5E8"/>
          <bgColor rgb="FF9FC5E8"/>
        </patternFill>
      </fill>
    </dxf>
    <dxf>
      <font>
        <color rgb="FF000000"/>
      </font>
      <fill>
        <patternFill patternType="solid">
          <fgColor rgb="FFCCCCCC"/>
          <bgColor rgb="FFCCCCCC"/>
        </patternFill>
      </fill>
    </dxf>
    <dxf>
      <font>
        <color rgb="FF000000"/>
      </font>
      <fill>
        <patternFill patternType="solid">
          <fgColor rgb="FFFCE8B2"/>
          <bgColor rgb="FFFCE8B2"/>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B7E1CD"/>
          <bgColor rgb="FFB7E1CD"/>
        </patternFill>
      </fill>
    </dxf>
    <dxf>
      <font>
        <color rgb="FF000000"/>
      </font>
      <fill>
        <patternFill patternType="solid">
          <fgColor rgb="FFFCE8B2"/>
          <bgColor rgb="FFFCE8B2"/>
        </patternFill>
      </fill>
    </dxf>
    <dxf>
      <font>
        <color rgb="FF000000"/>
      </font>
      <fill>
        <patternFill patternType="solid">
          <fgColor rgb="FFFBE8E7"/>
          <bgColor rgb="FFFBE8E7"/>
        </patternFill>
      </fill>
    </dxf>
    <dxf>
      <font>
        <color rgb="FF0B8043"/>
      </font>
      <fill>
        <patternFill patternType="none"/>
      </fill>
    </dxf>
    <dxf>
      <font>
        <color rgb="FFC53929"/>
      </font>
      <fill>
        <patternFill patternType="none"/>
      </fill>
    </dxf>
    <dxf>
      <font>
        <color rgb="FF0B8043"/>
      </font>
      <fill>
        <patternFill patternType="none"/>
      </fill>
    </dxf>
    <dxf>
      <font>
        <color rgb="FFC53929"/>
      </font>
      <fill>
        <patternFill patternType="none"/>
      </fill>
    </dxf>
    <dxf>
      <font>
        <color rgb="FF0B8043"/>
      </font>
      <fill>
        <patternFill patternType="none"/>
      </fill>
    </dxf>
    <dxf>
      <font>
        <color rgb="FF0B8043"/>
      </font>
      <fill>
        <patternFill patternType="solid">
          <fgColor rgb="FFFFFFFF"/>
          <bgColor rgb="FFFFFFFF"/>
        </patternFill>
      </fill>
    </dxf>
    <dxf>
      <font>
        <color rgb="FFC53929"/>
      </font>
      <fill>
        <patternFill patternType="none"/>
      </fill>
    </dxf>
    <dxf>
      <font>
        <color rgb="FFC53929"/>
      </font>
      <fill>
        <patternFill patternType="none"/>
      </fill>
    </dxf>
    <dxf>
      <font>
        <color rgb="FF0B8043"/>
      </font>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s>
  <tableStyles count="22">
    <tableStyle name="ETFs-style" pivot="0" count="2" xr9:uid="{00000000-0011-0000-FFFF-FFFF00000000}">
      <tableStyleElement type="firstRowStripe" dxfId="110"/>
      <tableStyleElement type="secondRowStripe" dxfId="109"/>
    </tableStyle>
    <tableStyle name="ETFs-style 2" pivot="0" count="2" xr9:uid="{00000000-0011-0000-FFFF-FFFF01000000}">
      <tableStyleElement type="firstRowStripe" dxfId="108"/>
      <tableStyleElement type="secondRowStripe" dxfId="107"/>
    </tableStyle>
    <tableStyle name="ETFs-style 3" pivot="0" count="2" xr9:uid="{00000000-0011-0000-FFFF-FFFF02000000}">
      <tableStyleElement type="firstRowStripe" dxfId="106"/>
      <tableStyleElement type="secondRowStripe" dxfId="105"/>
    </tableStyle>
    <tableStyle name="ETFs-style 4" pivot="0" count="3" xr9:uid="{00000000-0011-0000-FFFF-FFFF03000000}">
      <tableStyleElement type="headerRow" dxfId="104"/>
      <tableStyleElement type="firstRowStripe" dxfId="103"/>
      <tableStyleElement type="secondRowStripe" dxfId="102"/>
    </tableStyle>
    <tableStyle name="ETFs-style 5" pivot="0" count="2" xr9:uid="{00000000-0011-0000-FFFF-FFFF04000000}">
      <tableStyleElement type="firstRowStripe" dxfId="101"/>
      <tableStyleElement type="secondRowStripe" dxfId="100"/>
    </tableStyle>
    <tableStyle name="ETFs-style 6" pivot="0" count="2" xr9:uid="{00000000-0011-0000-FFFF-FFFF05000000}">
      <tableStyleElement type="firstRowStripe" dxfId="99"/>
      <tableStyleElement type="secondRowStripe" dxfId="98"/>
    </tableStyle>
    <tableStyle name="ETFs-style 7" pivot="0" count="2" xr9:uid="{00000000-0011-0000-FFFF-FFFF06000000}">
      <tableStyleElement type="firstRowStripe" dxfId="97"/>
      <tableStyleElement type="secondRowStripe" dxfId="96"/>
    </tableStyle>
    <tableStyle name="ETFs-style 8" pivot="0" count="2" xr9:uid="{00000000-0011-0000-FFFF-FFFF07000000}">
      <tableStyleElement type="firstRowStripe" dxfId="95"/>
      <tableStyleElement type="secondRowStripe" dxfId="94"/>
    </tableStyle>
    <tableStyle name="ETFs-style 9" pivot="0" count="2" xr9:uid="{00000000-0011-0000-FFFF-FFFF08000000}">
      <tableStyleElement type="firstRowStripe" dxfId="93"/>
      <tableStyleElement type="secondRowStripe" dxfId="92"/>
    </tableStyle>
    <tableStyle name="ETFs-style 10" pivot="0" count="2" xr9:uid="{00000000-0011-0000-FFFF-FFFF09000000}">
      <tableStyleElement type="firstRowStripe" dxfId="91"/>
      <tableStyleElement type="secondRowStripe" dxfId="90"/>
    </tableStyle>
    <tableStyle name="ETFs-style 11" pivot="0" count="2" xr9:uid="{00000000-0011-0000-FFFF-FFFF0A000000}">
      <tableStyleElement type="firstRowStripe" dxfId="89"/>
      <tableStyleElement type="secondRowStripe" dxfId="88"/>
    </tableStyle>
    <tableStyle name="ETFs-style 12" pivot="0" count="2" xr9:uid="{00000000-0011-0000-FFFF-FFFF0B000000}">
      <tableStyleElement type="firstRowStripe" dxfId="87"/>
      <tableStyleElement type="secondRowStripe" dxfId="86"/>
    </tableStyle>
    <tableStyle name="ETF resumido-style" pivot="0" count="2" xr9:uid="{00000000-0011-0000-FFFF-FFFF0C000000}">
      <tableStyleElement type="firstRowStripe" dxfId="85"/>
      <tableStyleElement type="secondRowStripe" dxfId="84"/>
    </tableStyle>
    <tableStyle name="ETF resumido-style 2" pivot="0" count="2" xr9:uid="{00000000-0011-0000-FFFF-FFFF0D000000}">
      <tableStyleElement type="firstRowStripe" dxfId="83"/>
      <tableStyleElement type="secondRowStripe" dxfId="82"/>
    </tableStyle>
    <tableStyle name="ETF resumido-style 3" pivot="0" count="2" xr9:uid="{00000000-0011-0000-FFFF-FFFF0E000000}">
      <tableStyleElement type="firstRowStripe" dxfId="81"/>
      <tableStyleElement type="secondRowStripe" dxfId="80"/>
    </tableStyle>
    <tableStyle name="ETF resumido-style 4" pivot="0" count="3" xr9:uid="{00000000-0011-0000-FFFF-FFFF0F000000}">
      <tableStyleElement type="headerRow" dxfId="79"/>
      <tableStyleElement type="firstRowStripe" dxfId="78"/>
      <tableStyleElement type="secondRowStripe" dxfId="77"/>
    </tableStyle>
    <tableStyle name="ETF resumido-style 5" pivot="0" count="2" xr9:uid="{00000000-0011-0000-FFFF-FFFF10000000}">
      <tableStyleElement type="firstRowStripe" dxfId="76"/>
      <tableStyleElement type="secondRowStripe" dxfId="75"/>
    </tableStyle>
    <tableStyle name="ETF resumido-style 6" pivot="0" count="2" xr9:uid="{00000000-0011-0000-FFFF-FFFF11000000}">
      <tableStyleElement type="firstRowStripe" dxfId="74"/>
      <tableStyleElement type="secondRowStripe" dxfId="73"/>
    </tableStyle>
    <tableStyle name="ETF resumido-style 7" pivot="0" count="2" xr9:uid="{00000000-0011-0000-FFFF-FFFF12000000}">
      <tableStyleElement type="firstRowStripe" dxfId="72"/>
      <tableStyleElement type="secondRowStripe" dxfId="71"/>
    </tableStyle>
    <tableStyle name="ETF resumido-style 8" pivot="0" count="2" xr9:uid="{00000000-0011-0000-FFFF-FFFF13000000}">
      <tableStyleElement type="firstRowStripe" dxfId="70"/>
      <tableStyleElement type="secondRowStripe" dxfId="69"/>
    </tableStyle>
    <tableStyle name="Portafolio Discrecional-style" pivot="0" count="2" xr9:uid="{00000000-0011-0000-FFFF-FFFF14000000}">
      <tableStyleElement type="firstRowStripe" dxfId="68"/>
      <tableStyleElement type="secondRowStripe" dxfId="67"/>
    </tableStyle>
    <tableStyle name="Portafolio Discrecional-style 2" pivot="0" count="3" xr9:uid="{00000000-0011-0000-FFFF-FFFF15000000}">
      <tableStyleElement type="headerRow" dxfId="66"/>
      <tableStyleElement type="firstRowStripe" dxfId="65"/>
      <tableStyleElement type="secondRowStripe" dxfId="6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a:solidFill>
                  <a:srgbClr val="757575"/>
                </a:solidFill>
                <a:latin typeface="+mn-lt"/>
              </a:defRPr>
            </a:pPr>
            <a:r>
              <a:rPr lang="es-UY" sz="1200" b="1">
                <a:solidFill>
                  <a:srgbClr val="757575"/>
                </a:solidFill>
                <a:latin typeface="+mn-lt"/>
              </a:rPr>
              <a:t>Tipo de empresa</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rgbClr val="3D85C6"/>
              </a:solidFill>
            </c:spPr>
            <c:extLst>
              <c:ext xmlns:c16="http://schemas.microsoft.com/office/drawing/2014/chart" uri="{C3380CC4-5D6E-409C-BE32-E72D297353CC}">
                <c16:uniqueId val="{00000001-3FC9-4031-B534-C396D5BB887A}"/>
              </c:ext>
            </c:extLst>
          </c:dPt>
          <c:dPt>
            <c:idx val="1"/>
            <c:bubble3D val="0"/>
            <c:spPr>
              <a:solidFill>
                <a:srgbClr val="9FC5E8"/>
              </a:solidFill>
            </c:spPr>
            <c:extLst>
              <c:ext xmlns:c16="http://schemas.microsoft.com/office/drawing/2014/chart" uri="{C3380CC4-5D6E-409C-BE32-E72D297353CC}">
                <c16:uniqueId val="{00000003-3FC9-4031-B534-C396D5BB887A}"/>
              </c:ext>
            </c:extLst>
          </c:dPt>
          <c:dPt>
            <c:idx val="2"/>
            <c:bubble3D val="0"/>
            <c:spPr>
              <a:solidFill>
                <a:srgbClr val="F1C232"/>
              </a:solidFill>
            </c:spPr>
            <c:extLst>
              <c:ext xmlns:c16="http://schemas.microsoft.com/office/drawing/2014/chart" uri="{C3380CC4-5D6E-409C-BE32-E72D297353CC}">
                <c16:uniqueId val="{00000005-3FC9-4031-B534-C396D5BB887A}"/>
              </c:ext>
            </c:extLst>
          </c:dPt>
          <c:dPt>
            <c:idx val="3"/>
            <c:bubble3D val="0"/>
            <c:spPr>
              <a:solidFill>
                <a:srgbClr val="57BB8A"/>
              </a:solidFill>
            </c:spPr>
            <c:extLst>
              <c:ext xmlns:c16="http://schemas.microsoft.com/office/drawing/2014/chart" uri="{C3380CC4-5D6E-409C-BE32-E72D297353CC}">
                <c16:uniqueId val="{00000007-3FC9-4031-B534-C396D5BB887A}"/>
              </c:ext>
            </c:extLst>
          </c:dPt>
          <c:dPt>
            <c:idx val="4"/>
            <c:bubble3D val="0"/>
            <c:spPr>
              <a:solidFill>
                <a:srgbClr val="BDBDBD"/>
              </a:solidFill>
            </c:spPr>
            <c:extLst>
              <c:ext xmlns:c16="http://schemas.microsoft.com/office/drawing/2014/chart" uri="{C3380CC4-5D6E-409C-BE32-E72D297353CC}">
                <c16:uniqueId val="{00000009-3FC9-4031-B534-C396D5BB887A}"/>
              </c:ext>
            </c:extLst>
          </c:dPt>
          <c:dLbls>
            <c:dLbl>
              <c:idx val="0"/>
              <c:spPr/>
              <c:txPr>
                <a:bodyPr/>
                <a:lstStyle/>
                <a:p>
                  <a:pPr lvl="0">
                    <a:defRPr sz="1000"/>
                  </a:pPr>
                  <a:endParaRPr lang="es-UY"/>
                </a:p>
              </c:txPr>
              <c:showLegendKey val="0"/>
              <c:showVal val="1"/>
              <c:showCatName val="0"/>
              <c:showSerName val="0"/>
              <c:showPercent val="0"/>
              <c:showBubbleSize val="0"/>
              <c:extLst>
                <c:ext xmlns:c16="http://schemas.microsoft.com/office/drawing/2014/chart" uri="{C3380CC4-5D6E-409C-BE32-E72D297353CC}">
                  <c16:uniqueId val="{00000001-3FC9-4031-B534-C396D5BB887A}"/>
                </c:ext>
              </c:extLst>
            </c:dLbl>
            <c:dLbl>
              <c:idx val="1"/>
              <c:spPr/>
              <c:txPr>
                <a:bodyPr/>
                <a:lstStyle/>
                <a:p>
                  <a:pPr lvl="0">
                    <a:defRPr sz="1000">
                      <a:solidFill>
                        <a:srgbClr val="000000"/>
                      </a:solidFill>
                    </a:defRPr>
                  </a:pPr>
                  <a:endParaRPr lang="es-UY"/>
                </a:p>
              </c:txPr>
              <c:showLegendKey val="0"/>
              <c:showVal val="1"/>
              <c:showCatName val="0"/>
              <c:showSerName val="0"/>
              <c:showPercent val="0"/>
              <c:showBubbleSize val="0"/>
              <c:extLst>
                <c:ext xmlns:c16="http://schemas.microsoft.com/office/drawing/2014/chart" uri="{C3380CC4-5D6E-409C-BE32-E72D297353CC}">
                  <c16:uniqueId val="{00000003-3FC9-4031-B534-C396D5BB887A}"/>
                </c:ext>
              </c:extLst>
            </c:dLbl>
            <c:dLbl>
              <c:idx val="2"/>
              <c:spPr/>
              <c:txPr>
                <a:bodyPr/>
                <a:lstStyle/>
                <a:p>
                  <a:pPr lvl="0">
                    <a:defRPr sz="1000"/>
                  </a:pPr>
                  <a:endParaRPr lang="es-UY"/>
                </a:p>
              </c:txPr>
              <c:showLegendKey val="0"/>
              <c:showVal val="1"/>
              <c:showCatName val="0"/>
              <c:showSerName val="0"/>
              <c:showPercent val="0"/>
              <c:showBubbleSize val="0"/>
              <c:extLst>
                <c:ext xmlns:c16="http://schemas.microsoft.com/office/drawing/2014/chart" uri="{C3380CC4-5D6E-409C-BE32-E72D297353CC}">
                  <c16:uniqueId val="{00000005-3FC9-4031-B534-C396D5BB887A}"/>
                </c:ext>
              </c:extLst>
            </c:dLbl>
            <c:dLbl>
              <c:idx val="3"/>
              <c:spPr/>
              <c:txPr>
                <a:bodyPr/>
                <a:lstStyle/>
                <a:p>
                  <a:pPr lvl="0">
                    <a:defRPr sz="1000"/>
                  </a:pPr>
                  <a:endParaRPr lang="es-UY"/>
                </a:p>
              </c:txPr>
              <c:showLegendKey val="0"/>
              <c:showVal val="1"/>
              <c:showCatName val="0"/>
              <c:showSerName val="0"/>
              <c:showPercent val="0"/>
              <c:showBubbleSize val="0"/>
              <c:extLst>
                <c:ext xmlns:c16="http://schemas.microsoft.com/office/drawing/2014/chart" uri="{C3380CC4-5D6E-409C-BE32-E72D297353CC}">
                  <c16:uniqueId val="{00000007-3FC9-4031-B534-C396D5BB887A}"/>
                </c:ext>
              </c:extLst>
            </c:dLbl>
            <c:dLbl>
              <c:idx val="4"/>
              <c:spPr/>
              <c:txPr>
                <a:bodyPr/>
                <a:lstStyle/>
                <a:p>
                  <a:pPr lvl="0">
                    <a:defRPr sz="1000"/>
                  </a:pPr>
                  <a:endParaRPr lang="es-UY"/>
                </a:p>
              </c:txPr>
              <c:showLegendKey val="0"/>
              <c:showVal val="1"/>
              <c:showCatName val="0"/>
              <c:showSerName val="0"/>
              <c:showPercent val="0"/>
              <c:showBubbleSize val="0"/>
              <c:extLst>
                <c:ext xmlns:c16="http://schemas.microsoft.com/office/drawing/2014/chart" uri="{C3380CC4-5D6E-409C-BE32-E72D297353CC}">
                  <c16:uniqueId val="{00000009-3FC9-4031-B534-C396D5BB887A}"/>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'Portafolio Discrecional'!$X$95:$X$99</c:f>
              <c:strCache>
                <c:ptCount val="5"/>
                <c:pt idx="0">
                  <c:v>Líder global</c:v>
                </c:pt>
                <c:pt idx="1">
                  <c:v>Atractivas Mediano plazo</c:v>
                </c:pt>
                <c:pt idx="2">
                  <c:v>Futuro Líder</c:v>
                </c:pt>
                <c:pt idx="3">
                  <c:v>Oportunidades corto plazo</c:v>
                </c:pt>
                <c:pt idx="4">
                  <c:v>Cash</c:v>
                </c:pt>
              </c:strCache>
            </c:strRef>
          </c:cat>
          <c:val>
            <c:numRef>
              <c:f>'Portafolio Discrecional'!$Y$95:$Y$99</c:f>
              <c:numCache>
                <c:formatCode>0.0%</c:formatCode>
                <c:ptCount val="5"/>
                <c:pt idx="0">
                  <c:v>0.41072615349137997</c:v>
                </c:pt>
                <c:pt idx="1">
                  <c:v>0.51204242943578571</c:v>
                </c:pt>
                <c:pt idx="2">
                  <c:v>4.967251180305423E-2</c:v>
                </c:pt>
                <c:pt idx="3">
                  <c:v>0</c:v>
                </c:pt>
                <c:pt idx="4">
                  <c:v>2.7558905269780009E-2</c:v>
                </c:pt>
              </c:numCache>
            </c:numRef>
          </c:val>
          <c:extLst>
            <c:ext xmlns:c16="http://schemas.microsoft.com/office/drawing/2014/chart" uri="{C3380CC4-5D6E-409C-BE32-E72D297353CC}">
              <c16:uniqueId val="{0000000A-3FC9-4031-B534-C396D5BB887A}"/>
            </c:ext>
          </c:extLst>
        </c:ser>
        <c:dLbls>
          <c:showLegendKey val="0"/>
          <c:showVal val="0"/>
          <c:showCatName val="0"/>
          <c:showSerName val="0"/>
          <c:showPercent val="0"/>
          <c:showBubbleSize val="0"/>
          <c:showLeaderLines val="1"/>
        </c:dLbls>
      </c:pie3DChart>
    </c:plotArea>
    <c:legend>
      <c:legendPos val="r"/>
      <c:layout>
        <c:manualLayout>
          <c:xMode val="edge"/>
          <c:yMode val="edge"/>
          <c:x val="0.63179790026246729"/>
          <c:y val="0.23348264800233304"/>
          <c:w val="0.34042432195975508"/>
          <c:h val="0.70196092155147272"/>
        </c:manualLayout>
      </c:layout>
      <c:overlay val="0"/>
      <c:txPr>
        <a:bodyPr/>
        <a:lstStyle/>
        <a:p>
          <a:pPr>
            <a:defRPr sz="800"/>
          </a:pPr>
          <a:endParaRPr lang="es-UY"/>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000" b="1">
                <a:solidFill>
                  <a:srgbClr val="757575"/>
                </a:solidFill>
                <a:latin typeface="+mn-lt"/>
              </a:defRPr>
            </a:pPr>
            <a:r>
              <a:rPr lang="es-UY" sz="1000" b="1">
                <a:solidFill>
                  <a:srgbClr val="757575"/>
                </a:solidFill>
                <a:latin typeface="+mn-lt"/>
              </a:rPr>
              <a:t>Rendimiento Portafolio vs S&amp;P 500 (26-set-2025)</a:t>
            </a:r>
          </a:p>
        </c:rich>
      </c:tx>
      <c:overlay val="0"/>
    </c:title>
    <c:autoTitleDeleted val="0"/>
    <c:plotArea>
      <c:layout/>
      <c:barChart>
        <c:barDir val="col"/>
        <c:grouping val="clustered"/>
        <c:varyColors val="1"/>
        <c:ser>
          <c:idx val="0"/>
          <c:order val="0"/>
          <c:tx>
            <c:strRef>
              <c:f>'Portafolio Discrecional'!$C$88</c:f>
              <c:strCache>
                <c:ptCount val="1"/>
                <c:pt idx="0">
                  <c:v>Rendimiento PORTAFOLIO</c:v>
                </c:pt>
              </c:strCache>
            </c:strRef>
          </c:tx>
          <c:spPr>
            <a:solidFill>
              <a:srgbClr val="4285F4"/>
            </a:solidFill>
            <a:ln cmpd="sng">
              <a:solidFill>
                <a:srgbClr val="000000"/>
              </a:solidFill>
            </a:ln>
          </c:spPr>
          <c:invertIfNegative val="1"/>
          <c:dLbls>
            <c:spPr>
              <a:noFill/>
              <a:ln>
                <a:noFill/>
              </a:ln>
              <a:effectLst/>
            </c:spPr>
            <c:txPr>
              <a:bodyPr/>
              <a:lstStyle/>
              <a:p>
                <a:pPr lvl="0">
                  <a:defRPr/>
                </a:pPr>
                <a:endParaRPr lang="es-UY"/>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'Portafolio Discrecional'!$D$87:$T$87</c:f>
              <c:strCache>
                <c:ptCount val="17"/>
                <c:pt idx="0">
                  <c:v>Hoy</c:v>
                </c:pt>
                <c:pt idx="1">
                  <c:v>Semanal</c:v>
                </c:pt>
                <c:pt idx="2">
                  <c:v>set25</c:v>
                </c:pt>
                <c:pt idx="3">
                  <c:v>3 meses</c:v>
                </c:pt>
                <c:pt idx="4">
                  <c:v>6 meses</c:v>
                </c:pt>
                <c:pt idx="5">
                  <c:v>YTD</c:v>
                </c:pt>
                <c:pt idx="6">
                  <c:v>1 año</c:v>
                </c:pt>
                <c:pt idx="7">
                  <c:v>2 años (an)</c:v>
                </c:pt>
                <c:pt idx="8">
                  <c:v>3 años (an)</c:v>
                </c:pt>
                <c:pt idx="9">
                  <c:v>4 años (an)</c:v>
                </c:pt>
                <c:pt idx="10">
                  <c:v>2024</c:v>
                </c:pt>
                <c:pt idx="11">
                  <c:v>2023</c:v>
                </c:pt>
                <c:pt idx="12">
                  <c:v>2022</c:v>
                </c:pt>
                <c:pt idx="13">
                  <c:v>2021</c:v>
                </c:pt>
                <c:pt idx="14">
                  <c:v>2020</c:v>
                </c:pt>
                <c:pt idx="15">
                  <c:v>Desde el inicio</c:v>
                </c:pt>
                <c:pt idx="16">
                  <c:v>Desde el inicio (an)</c:v>
                </c:pt>
              </c:strCache>
            </c:strRef>
          </c:cat>
          <c:val>
            <c:numRef>
              <c:f>'Portafolio Discrecional'!$D$88:$T$88</c:f>
              <c:numCache>
                <c:formatCode>0.0%</c:formatCode>
                <c:ptCount val="17"/>
                <c:pt idx="0">
                  <c:v>6.0820736812333877E-3</c:v>
                </c:pt>
                <c:pt idx="1">
                  <c:v>7.7896965246345654E-4</c:v>
                </c:pt>
                <c:pt idx="2">
                  <c:v>1.6778969652463456E-2</c:v>
                </c:pt>
                <c:pt idx="3">
                  <c:v>9.0669314156077263E-2</c:v>
                </c:pt>
                <c:pt idx="4">
                  <c:v>0.27076084944339174</c:v>
                </c:pt>
                <c:pt idx="5">
                  <c:v>0.26121489394237307</c:v>
                </c:pt>
                <c:pt idx="6">
                  <c:v>0.27389128664606432</c:v>
                </c:pt>
                <c:pt idx="7">
                  <c:v>0.27562859147495455</c:v>
                </c:pt>
                <c:pt idx="8">
                  <c:v>0.2254778061288456</c:v>
                </c:pt>
                <c:pt idx="9">
                  <c:v>0.14866737188705992</c:v>
                </c:pt>
                <c:pt idx="10">
                  <c:v>0.24</c:v>
                </c:pt>
                <c:pt idx="11">
                  <c:v>0.13100000000000001</c:v>
                </c:pt>
                <c:pt idx="12">
                  <c:v>-0.126</c:v>
                </c:pt>
                <c:pt idx="13">
                  <c:v>0.104</c:v>
                </c:pt>
                <c:pt idx="14">
                  <c:v>0.77100000000000002</c:v>
                </c:pt>
                <c:pt idx="15">
                  <c:v>2.0225427219319938</c:v>
                </c:pt>
                <c:pt idx="16">
                  <c:v>0.21208502066130075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2D9-4B9C-AAF0-6F9F18118ED0}"/>
            </c:ext>
          </c:extLst>
        </c:ser>
        <c:ser>
          <c:idx val="1"/>
          <c:order val="1"/>
          <c:tx>
            <c:strRef>
              <c:f>'Portafolio Discrecional'!$C$89</c:f>
              <c:strCache>
                <c:ptCount val="1"/>
                <c:pt idx="0">
                  <c:v>Rendimiento S&amp;P 500</c:v>
                </c:pt>
              </c:strCache>
            </c:strRef>
          </c:tx>
          <c:spPr>
            <a:solidFill>
              <a:srgbClr val="EA4335"/>
            </a:solidFill>
            <a:ln cmpd="sng">
              <a:solidFill>
                <a:srgbClr val="000000"/>
              </a:solidFill>
            </a:ln>
          </c:spPr>
          <c:invertIfNegative val="1"/>
          <c:dLbls>
            <c:spPr>
              <a:noFill/>
              <a:ln>
                <a:noFill/>
              </a:ln>
              <a:effectLst/>
            </c:spPr>
            <c:txPr>
              <a:bodyPr/>
              <a:lstStyle/>
              <a:p>
                <a:pPr lvl="0">
                  <a:defRPr/>
                </a:pPr>
                <a:endParaRPr lang="es-UY"/>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'Portafolio Discrecional'!$D$87:$T$87</c:f>
              <c:strCache>
                <c:ptCount val="17"/>
                <c:pt idx="0">
                  <c:v>Hoy</c:v>
                </c:pt>
                <c:pt idx="1">
                  <c:v>Semanal</c:v>
                </c:pt>
                <c:pt idx="2">
                  <c:v>set25</c:v>
                </c:pt>
                <c:pt idx="3">
                  <c:v>3 meses</c:v>
                </c:pt>
                <c:pt idx="4">
                  <c:v>6 meses</c:v>
                </c:pt>
                <c:pt idx="5">
                  <c:v>YTD</c:v>
                </c:pt>
                <c:pt idx="6">
                  <c:v>1 año</c:v>
                </c:pt>
                <c:pt idx="7">
                  <c:v>2 años (an)</c:v>
                </c:pt>
                <c:pt idx="8">
                  <c:v>3 años (an)</c:v>
                </c:pt>
                <c:pt idx="9">
                  <c:v>4 años (an)</c:v>
                </c:pt>
                <c:pt idx="10">
                  <c:v>2024</c:v>
                </c:pt>
                <c:pt idx="11">
                  <c:v>2023</c:v>
                </c:pt>
                <c:pt idx="12">
                  <c:v>2022</c:v>
                </c:pt>
                <c:pt idx="13">
                  <c:v>2021</c:v>
                </c:pt>
                <c:pt idx="14">
                  <c:v>2020</c:v>
                </c:pt>
                <c:pt idx="15">
                  <c:v>Desde el inicio</c:v>
                </c:pt>
                <c:pt idx="16">
                  <c:v>Desde el inicio (an)</c:v>
                </c:pt>
              </c:strCache>
            </c:strRef>
          </c:cat>
          <c:val>
            <c:numRef>
              <c:f>'Portafolio Discrecional'!$D$89:$T$89</c:f>
              <c:numCache>
                <c:formatCode>0.0%</c:formatCode>
                <c:ptCount val="17"/>
                <c:pt idx="0">
                  <c:v>5.6999999999999993E-3</c:v>
                </c:pt>
                <c:pt idx="1">
                  <c:v>-2.8326050926623658E-3</c:v>
                </c:pt>
                <c:pt idx="2">
                  <c:v>2.599798465235259E-2</c:v>
                </c:pt>
                <c:pt idx="3">
                  <c:v>7.1166140649024934E-2</c:v>
                </c:pt>
                <c:pt idx="4">
                  <c:v>0.19105208220854486</c:v>
                </c:pt>
                <c:pt idx="5">
                  <c:v>0.1292315042315042</c:v>
                </c:pt>
                <c:pt idx="6">
                  <c:v>0.15347880646960421</c:v>
                </c:pt>
                <c:pt idx="7">
                  <c:v>0.24451007106531142</c:v>
                </c:pt>
                <c:pt idx="8">
                  <c:v>0.22187897867636597</c:v>
                </c:pt>
                <c:pt idx="9">
                  <c:v>0.1557992198893603</c:v>
                </c:pt>
                <c:pt idx="10">
                  <c:v>0.23300000000000001</c:v>
                </c:pt>
                <c:pt idx="11">
                  <c:v>0.24299999999999999</c:v>
                </c:pt>
                <c:pt idx="12">
                  <c:v>-0.19500000000000001</c:v>
                </c:pt>
                <c:pt idx="13">
                  <c:v>0.27</c:v>
                </c:pt>
                <c:pt idx="14">
                  <c:v>0.16200000000000001</c:v>
                </c:pt>
                <c:pt idx="15">
                  <c:v>1.05623563039831</c:v>
                </c:pt>
                <c:pt idx="16">
                  <c:v>0.13355076017923873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2D9-4B9C-AAF0-6F9F18118ED0}"/>
            </c:ext>
          </c:extLst>
        </c:ser>
        <c:dLbls>
          <c:showLegendKey val="0"/>
          <c:showVal val="0"/>
          <c:showCatName val="0"/>
          <c:showSerName val="0"/>
          <c:showPercent val="0"/>
          <c:showBubbleSize val="0"/>
        </c:dLbls>
        <c:gapWidth val="150"/>
        <c:axId val="175801733"/>
        <c:axId val="951913686"/>
      </c:barChart>
      <c:catAx>
        <c:axId val="175801733"/>
        <c:scaling>
          <c:orientation val="minMax"/>
        </c:scaling>
        <c:delete val="0"/>
        <c:axPos val="b"/>
        <c:title>
          <c:tx>
            <c:rich>
              <a:bodyPr/>
              <a:lstStyle/>
              <a:p>
                <a:pPr lvl="0">
                  <a:defRPr b="0">
                    <a:solidFill>
                      <a:srgbClr val="000000"/>
                    </a:solidFill>
                    <a:latin typeface="+mn-lt"/>
                  </a:defRPr>
                </a:pPr>
                <a:endParaRPr lang="es-UY"/>
              </a:p>
            </c:rich>
          </c:tx>
          <c:overlay val="0"/>
        </c:title>
        <c:numFmt formatCode="General" sourceLinked="1"/>
        <c:majorTickMark val="cross"/>
        <c:minorTickMark val="none"/>
        <c:tickLblPos val="nextTo"/>
        <c:txPr>
          <a:bodyPr/>
          <a:lstStyle/>
          <a:p>
            <a:pPr lvl="0">
              <a:defRPr b="0">
                <a:solidFill>
                  <a:srgbClr val="000000"/>
                </a:solidFill>
                <a:latin typeface="+mn-lt"/>
              </a:defRPr>
            </a:pPr>
            <a:endParaRPr lang="es-UY"/>
          </a:p>
        </c:txPr>
        <c:crossAx val="951913686"/>
        <c:crosses val="autoZero"/>
        <c:auto val="1"/>
        <c:lblAlgn val="ctr"/>
        <c:lblOffset val="100"/>
        <c:noMultiLvlLbl val="1"/>
      </c:catAx>
      <c:valAx>
        <c:axId val="95191368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UY"/>
              </a:p>
            </c:rich>
          </c:tx>
          <c:overlay val="0"/>
        </c:title>
        <c:numFmt formatCode="0.0%" sourceLinked="1"/>
        <c:majorTickMark val="none"/>
        <c:minorTickMark val="none"/>
        <c:tickLblPos val="nextTo"/>
        <c:spPr>
          <a:ln>
            <a:solidFill/>
          </a:ln>
        </c:spPr>
        <c:txPr>
          <a:bodyPr/>
          <a:lstStyle/>
          <a:p>
            <a:pPr lvl="0">
              <a:defRPr b="0">
                <a:solidFill>
                  <a:srgbClr val="000000"/>
                </a:solidFill>
                <a:latin typeface="+mn-lt"/>
              </a:defRPr>
            </a:pPr>
            <a:endParaRPr lang="es-UY"/>
          </a:p>
        </c:txPr>
        <c:crossAx val="175801733"/>
        <c:crosses val="autoZero"/>
        <c:crossBetween val="between"/>
      </c:valAx>
    </c:plotArea>
    <c:legend>
      <c:legendPos val="b"/>
      <c:overlay val="0"/>
      <c:txPr>
        <a:bodyPr/>
        <a:lstStyle/>
        <a:p>
          <a:pPr lvl="0">
            <a:defRPr b="0">
              <a:solidFill>
                <a:srgbClr val="1A1A1A"/>
              </a:solidFill>
              <a:latin typeface="+mn-lt"/>
            </a:defRPr>
          </a:pPr>
          <a:endParaRPr lang="es-UY"/>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0">
                <a:solidFill>
                  <a:srgbClr val="757575"/>
                </a:solidFill>
                <a:latin typeface="+mn-lt"/>
              </a:defRPr>
            </a:pPr>
            <a:r>
              <a:rPr lang="es-UY" b="0">
                <a:solidFill>
                  <a:srgbClr val="757575"/>
                </a:solidFill>
                <a:latin typeface="+mn-lt"/>
              </a:rPr>
              <a:t>Regiones</a:t>
            </a:r>
          </a:p>
        </c:rich>
      </c:tx>
      <c:overlay val="0"/>
    </c:title>
    <c:autoTitleDeleted val="0"/>
    <c:plotArea>
      <c:layout>
        <c:manualLayout>
          <c:layoutTarget val="inner"/>
          <c:xMode val="edge"/>
          <c:yMode val="edge"/>
          <c:x val="0.14529121209246434"/>
          <c:y val="9.476311570003168E-2"/>
          <c:w val="0.49066287196028208"/>
          <c:h val="0.79231553254286791"/>
        </c:manualLayout>
      </c:layout>
      <c:doughnutChart>
        <c:varyColors val="1"/>
        <c:ser>
          <c:idx val="0"/>
          <c:order val="0"/>
          <c:tx>
            <c:strRef>
              <c:f>'Portafolio Discrecional'!$AC$105</c:f>
              <c:strCache>
                <c:ptCount val="1"/>
                <c:pt idx="0">
                  <c:v>Portafolio</c:v>
                </c:pt>
              </c:strCache>
            </c:strRef>
          </c:tx>
          <c:dPt>
            <c:idx val="0"/>
            <c:bubble3D val="0"/>
            <c:spPr>
              <a:solidFill>
                <a:srgbClr val="4285F4"/>
              </a:solidFill>
            </c:spPr>
            <c:extLst>
              <c:ext xmlns:c16="http://schemas.microsoft.com/office/drawing/2014/chart" uri="{C3380CC4-5D6E-409C-BE32-E72D297353CC}">
                <c16:uniqueId val="{00000001-41F3-403E-A1EC-AC639770DE25}"/>
              </c:ext>
            </c:extLst>
          </c:dPt>
          <c:dPt>
            <c:idx val="1"/>
            <c:bubble3D val="0"/>
            <c:spPr>
              <a:solidFill>
                <a:srgbClr val="EA4335"/>
              </a:solidFill>
            </c:spPr>
            <c:extLst>
              <c:ext xmlns:c16="http://schemas.microsoft.com/office/drawing/2014/chart" uri="{C3380CC4-5D6E-409C-BE32-E72D297353CC}">
                <c16:uniqueId val="{00000003-41F3-403E-A1EC-AC639770DE25}"/>
              </c:ext>
            </c:extLst>
          </c:dPt>
          <c:dPt>
            <c:idx val="2"/>
            <c:bubble3D val="0"/>
            <c:spPr>
              <a:solidFill>
                <a:srgbClr val="FBBC04"/>
              </a:solidFill>
            </c:spPr>
            <c:extLst>
              <c:ext xmlns:c16="http://schemas.microsoft.com/office/drawing/2014/chart" uri="{C3380CC4-5D6E-409C-BE32-E72D297353CC}">
                <c16:uniqueId val="{00000005-41F3-403E-A1EC-AC639770DE25}"/>
              </c:ext>
            </c:extLst>
          </c:dPt>
          <c:dPt>
            <c:idx val="3"/>
            <c:bubble3D val="0"/>
            <c:spPr>
              <a:solidFill>
                <a:srgbClr val="34A853"/>
              </a:solidFill>
            </c:spPr>
            <c:extLst>
              <c:ext xmlns:c16="http://schemas.microsoft.com/office/drawing/2014/chart" uri="{C3380CC4-5D6E-409C-BE32-E72D297353CC}">
                <c16:uniqueId val="{00000007-41F3-403E-A1EC-AC639770DE25}"/>
              </c:ext>
            </c:extLst>
          </c:dPt>
          <c:dPt>
            <c:idx val="4"/>
            <c:bubble3D val="0"/>
            <c:spPr>
              <a:solidFill>
                <a:srgbClr val="FF6D01"/>
              </a:solidFill>
            </c:spPr>
            <c:extLst>
              <c:ext xmlns:c16="http://schemas.microsoft.com/office/drawing/2014/chart" uri="{C3380CC4-5D6E-409C-BE32-E72D297353CC}">
                <c16:uniqueId val="{00000009-41F3-403E-A1EC-AC639770DE25}"/>
              </c:ext>
            </c:extLst>
          </c:dPt>
          <c:dPt>
            <c:idx val="5"/>
            <c:bubble3D val="0"/>
            <c:spPr>
              <a:solidFill>
                <a:srgbClr val="46BDC6"/>
              </a:solidFill>
            </c:spPr>
            <c:extLst>
              <c:ext xmlns:c16="http://schemas.microsoft.com/office/drawing/2014/chart" uri="{C3380CC4-5D6E-409C-BE32-E72D297353CC}">
                <c16:uniqueId val="{0000000B-41F3-403E-A1EC-AC639770DE25}"/>
              </c:ext>
            </c:extLst>
          </c:dPt>
          <c:dPt>
            <c:idx val="6"/>
            <c:bubble3D val="0"/>
            <c:spPr>
              <a:solidFill>
                <a:srgbClr val="7BAAF7"/>
              </a:solidFill>
            </c:spPr>
            <c:extLst>
              <c:ext xmlns:c16="http://schemas.microsoft.com/office/drawing/2014/chart" uri="{C3380CC4-5D6E-409C-BE32-E72D297353CC}">
                <c16:uniqueId val="{0000000D-41F3-403E-A1EC-AC639770DE25}"/>
              </c:ext>
            </c:extLst>
          </c:dPt>
          <c:dPt>
            <c:idx val="7"/>
            <c:bubble3D val="0"/>
            <c:spPr>
              <a:solidFill>
                <a:srgbClr val="F07B72"/>
              </a:solidFill>
            </c:spPr>
            <c:extLst>
              <c:ext xmlns:c16="http://schemas.microsoft.com/office/drawing/2014/chart" uri="{C3380CC4-5D6E-409C-BE32-E72D297353CC}">
                <c16:uniqueId val="{0000000F-41F3-403E-A1EC-AC639770DE25}"/>
              </c:ext>
            </c:extLst>
          </c:dPt>
          <c:dPt>
            <c:idx val="8"/>
            <c:bubble3D val="0"/>
            <c:spPr>
              <a:solidFill>
                <a:srgbClr val="FCD04F"/>
              </a:solidFill>
            </c:spPr>
            <c:extLst>
              <c:ext xmlns:c16="http://schemas.microsoft.com/office/drawing/2014/chart" uri="{C3380CC4-5D6E-409C-BE32-E72D297353CC}">
                <c16:uniqueId val="{00000011-41F3-403E-A1EC-AC639770DE25}"/>
              </c:ext>
            </c:extLst>
          </c:dPt>
          <c:dPt>
            <c:idx val="9"/>
            <c:bubble3D val="0"/>
            <c:spPr>
              <a:solidFill>
                <a:srgbClr val="71C287"/>
              </a:solidFill>
            </c:spPr>
            <c:extLst>
              <c:ext xmlns:c16="http://schemas.microsoft.com/office/drawing/2014/chart" uri="{C3380CC4-5D6E-409C-BE32-E72D297353CC}">
                <c16:uniqueId val="{00000013-41F3-403E-A1EC-AC639770DE25}"/>
              </c:ext>
            </c:extLst>
          </c:dPt>
          <c:dPt>
            <c:idx val="10"/>
            <c:bubble3D val="0"/>
            <c:spPr>
              <a:solidFill>
                <a:srgbClr val="FF994D"/>
              </a:solidFill>
            </c:spPr>
            <c:extLst>
              <c:ext xmlns:c16="http://schemas.microsoft.com/office/drawing/2014/chart" uri="{C3380CC4-5D6E-409C-BE32-E72D297353CC}">
                <c16:uniqueId val="{00000015-41F3-403E-A1EC-AC639770DE2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'Portafolio Discrecional'!$AB$106:$AB$116</c:f>
              <c:strCache>
                <c:ptCount val="11"/>
                <c:pt idx="0">
                  <c:v>Estados Unidos</c:v>
                </c:pt>
                <c:pt idx="1">
                  <c:v>Europa</c:v>
                </c:pt>
                <c:pt idx="2">
                  <c:v>China</c:v>
                </c:pt>
                <c:pt idx="3">
                  <c:v>India</c:v>
                </c:pt>
                <c:pt idx="4">
                  <c:v>México</c:v>
                </c:pt>
                <c:pt idx="5">
                  <c:v>Brasil</c:v>
                </c:pt>
                <c:pt idx="6">
                  <c:v>Argentina</c:v>
                </c:pt>
                <c:pt idx="7">
                  <c:v>Chile</c:v>
                </c:pt>
                <c:pt idx="8">
                  <c:v>Commodities</c:v>
                </c:pt>
                <c:pt idx="9">
                  <c:v>Criptomonedas</c:v>
                </c:pt>
                <c:pt idx="10">
                  <c:v>Cash</c:v>
                </c:pt>
              </c:strCache>
            </c:strRef>
          </c:cat>
          <c:val>
            <c:numRef>
              <c:f>'Portafolio Discrecional'!$AC$106:$AC$116</c:f>
              <c:numCache>
                <c:formatCode>0.0%</c:formatCode>
                <c:ptCount val="11"/>
                <c:pt idx="0">
                  <c:v>0.6043966846857296</c:v>
                </c:pt>
                <c:pt idx="1">
                  <c:v>4.5018554959157589E-2</c:v>
                </c:pt>
                <c:pt idx="2">
                  <c:v>3.8811411582236569E-2</c:v>
                </c:pt>
                <c:pt idx="3">
                  <c:v>4.8894831930254859E-2</c:v>
                </c:pt>
                <c:pt idx="4">
                  <c:v>1.7799849229623469E-2</c:v>
                </c:pt>
                <c:pt idx="5">
                  <c:v>7.1877596537707256E-2</c:v>
                </c:pt>
                <c:pt idx="6">
                  <c:v>3.9653637986941812E-2</c:v>
                </c:pt>
                <c:pt idx="7">
                  <c:v>4.3096504889089858E-2</c:v>
                </c:pt>
                <c:pt idx="8">
                  <c:v>3.2822536815816018E-2</c:v>
                </c:pt>
                <c:pt idx="9">
                  <c:v>3.0069486113662953E-2</c:v>
                </c:pt>
                <c:pt idx="10">
                  <c:v>2.7558905269780009E-2</c:v>
                </c:pt>
              </c:numCache>
            </c:numRef>
          </c:val>
          <c:extLst>
            <c:ext xmlns:c16="http://schemas.microsoft.com/office/drawing/2014/chart" uri="{C3380CC4-5D6E-409C-BE32-E72D297353CC}">
              <c16:uniqueId val="{00000016-41F3-403E-A1EC-AC639770DE2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555768902381178"/>
          <c:y val="0.12657332230358365"/>
          <c:w val="0.22514600132814724"/>
          <c:h val="0.81170378994454484"/>
        </c:manualLayout>
      </c:layout>
      <c:overlay val="0"/>
      <c:txPr>
        <a:bodyPr/>
        <a:lstStyle/>
        <a:p>
          <a:pPr lvl="0">
            <a:defRPr sz="800" b="0">
              <a:solidFill>
                <a:srgbClr val="000000"/>
              </a:solidFill>
              <a:latin typeface="+mn-lt"/>
            </a:defRPr>
          </a:pPr>
          <a:endParaRPr lang="es-UY"/>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21</xdr:col>
      <xdr:colOff>161925</xdr:colOff>
      <xdr:row>85</xdr:row>
      <xdr:rowOff>123825</xdr:rowOff>
    </xdr:from>
    <xdr:ext cx="2743200" cy="1714500"/>
    <xdr:graphicFrame macro="">
      <xdr:nvGraphicFramePr>
        <xdr:cNvPr id="838650337" name="Chart 1" title="Chart">
          <a:extLst>
            <a:ext uri="{FF2B5EF4-FFF2-40B4-BE49-F238E27FC236}">
              <a16:creationId xmlns:a16="http://schemas.microsoft.com/office/drawing/2014/main" id="{00000000-0008-0000-0200-0000E1C9FC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640080</xdr:colOff>
      <xdr:row>90</xdr:row>
      <xdr:rowOff>156210</xdr:rowOff>
    </xdr:from>
    <xdr:ext cx="4410075" cy="2733675"/>
    <xdr:graphicFrame macro="">
      <xdr:nvGraphicFramePr>
        <xdr:cNvPr id="1974195972" name="Chart 2" title="Gráfico">
          <a:extLst>
            <a:ext uri="{FF2B5EF4-FFF2-40B4-BE49-F238E27FC236}">
              <a16:creationId xmlns:a16="http://schemas.microsoft.com/office/drawing/2014/main" id="{00000000-0008-0000-0200-000004D7AB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25</xdr:col>
      <xdr:colOff>476250</xdr:colOff>
      <xdr:row>118</xdr:row>
      <xdr:rowOff>152400</xdr:rowOff>
    </xdr:from>
    <xdr:ext cx="3952875" cy="2447925"/>
    <xdr:graphicFrame macro="">
      <xdr:nvGraphicFramePr>
        <xdr:cNvPr id="2124576537" name="Chart 3" title="Gráfico">
          <a:extLst>
            <a:ext uri="{FF2B5EF4-FFF2-40B4-BE49-F238E27FC236}">
              <a16:creationId xmlns:a16="http://schemas.microsoft.com/office/drawing/2014/main" id="{00000000-0008-0000-0200-00001977A2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B95" headerRowCount="0">
  <tableColumns count="1">
    <tableColumn id="1" xr3:uid="{00000000-0010-0000-1400-000001000000}" name="Column1"/>
  </tableColumns>
  <tableStyleInfo name="Portafolio Discrecion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X120" headerRowCount="0">
  <tableColumns count="1">
    <tableColumn id="1" xr3:uid="{00000000-0010-0000-1500-000001000000}" name="Column1"/>
  </tableColumns>
  <tableStyleInfo name="Portafolio Discrecional-style 2"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A1040"/>
  <sheetViews>
    <sheetView tabSelected="1" workbookViewId="0">
      <pane ySplit="2" topLeftCell="A67" activePane="bottomLeft" state="frozen"/>
      <selection pane="bottomLeft" activeCell="AF90" sqref="AF90"/>
    </sheetView>
  </sheetViews>
  <sheetFormatPr baseColWidth="10" defaultColWidth="12.6640625" defaultRowHeight="15" customHeight="1"/>
  <cols>
    <col min="1" max="1" width="4.109375" customWidth="1"/>
    <col min="2" max="2" width="10.109375" customWidth="1"/>
    <col min="3" max="3" width="23.6640625" customWidth="1"/>
    <col min="4" max="4" width="8.77734375" customWidth="1"/>
    <col min="5" max="5" width="15" customWidth="1"/>
    <col min="6" max="6" width="11" customWidth="1"/>
    <col min="7" max="7" width="10.6640625" customWidth="1"/>
    <col min="8" max="8" width="9.44140625" customWidth="1"/>
    <col min="9" max="9" width="7" customWidth="1"/>
    <col min="10" max="11" width="7.88671875" customWidth="1"/>
    <col min="12" max="12" width="6.44140625" customWidth="1"/>
    <col min="13" max="13" width="10.77734375" customWidth="1"/>
    <col min="14" max="16" width="7.88671875" customWidth="1"/>
    <col min="17" max="17" width="9" customWidth="1"/>
    <col min="18" max="18" width="7.109375" customWidth="1"/>
    <col min="19" max="21" width="7.6640625" customWidth="1"/>
    <col min="22" max="22" width="6.88671875" customWidth="1"/>
    <col min="23" max="23" width="8.109375" customWidth="1"/>
    <col min="24" max="24" width="10.33203125" customWidth="1"/>
    <col min="25" max="27" width="9" customWidth="1"/>
    <col min="28" max="28" width="13.109375" customWidth="1"/>
    <col min="29" max="29" width="8.33203125" customWidth="1"/>
    <col min="30" max="30" width="9.44140625" customWidth="1"/>
    <col min="31" max="31" width="12.44140625" customWidth="1"/>
    <col min="32" max="33" width="12.6640625" customWidth="1"/>
    <col min="34" max="34" width="79.44140625" customWidth="1"/>
    <col min="35" max="36" width="62.109375" customWidth="1"/>
    <col min="37" max="37" width="8" customWidth="1"/>
    <col min="38" max="38" width="14.44140625" customWidth="1"/>
    <col min="39" max="40" width="8" customWidth="1"/>
    <col min="41" max="41" width="10.44140625" customWidth="1"/>
    <col min="42" max="64" width="8" customWidth="1"/>
  </cols>
  <sheetData>
    <row r="1" spans="1:79" ht="15.75" customHeight="1">
      <c r="A1" s="29"/>
      <c r="B1" s="29"/>
      <c r="C1" s="864" t="s">
        <v>45</v>
      </c>
      <c r="D1" s="862"/>
      <c r="E1" s="862"/>
      <c r="F1" s="862"/>
      <c r="G1" s="862"/>
      <c r="H1" s="862"/>
      <c r="I1" s="863"/>
      <c r="J1" s="871" t="s">
        <v>46</v>
      </c>
      <c r="K1" s="862"/>
      <c r="L1" s="862"/>
      <c r="M1" s="862"/>
      <c r="N1" s="862"/>
      <c r="O1" s="862"/>
      <c r="P1" s="862"/>
      <c r="Q1" s="862"/>
      <c r="R1" s="862"/>
      <c r="S1" s="862"/>
      <c r="T1" s="862"/>
      <c r="U1" s="863"/>
      <c r="V1" s="864" t="s">
        <v>47</v>
      </c>
      <c r="W1" s="862"/>
      <c r="X1" s="862"/>
      <c r="Y1" s="862"/>
      <c r="Z1" s="862"/>
      <c r="AA1" s="863"/>
      <c r="AB1" s="872" t="s">
        <v>48</v>
      </c>
      <c r="AC1" s="873"/>
      <c r="AD1" s="874"/>
      <c r="AE1" s="34" t="s">
        <v>49</v>
      </c>
      <c r="AF1" s="33"/>
      <c r="AG1" s="33"/>
      <c r="AH1" s="35"/>
      <c r="AI1" s="35"/>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row>
    <row r="2" spans="1:79" ht="48">
      <c r="A2" s="36"/>
      <c r="B2" s="37" t="s">
        <v>0</v>
      </c>
      <c r="C2" s="38" t="s">
        <v>1</v>
      </c>
      <c r="D2" s="37" t="s">
        <v>50</v>
      </c>
      <c r="E2" s="37" t="s">
        <v>2</v>
      </c>
      <c r="F2" s="37" t="s">
        <v>51</v>
      </c>
      <c r="G2" s="37" t="s">
        <v>52</v>
      </c>
      <c r="H2" s="37" t="s">
        <v>53</v>
      </c>
      <c r="I2" s="37" t="s">
        <v>54</v>
      </c>
      <c r="J2" s="39" t="s">
        <v>3</v>
      </c>
      <c r="K2" s="39" t="s">
        <v>55</v>
      </c>
      <c r="L2" s="39" t="s">
        <v>56</v>
      </c>
      <c r="M2" s="39" t="s">
        <v>57</v>
      </c>
      <c r="N2" s="39" t="s">
        <v>58</v>
      </c>
      <c r="O2" s="39" t="s">
        <v>59</v>
      </c>
      <c r="P2" s="39" t="s">
        <v>60</v>
      </c>
      <c r="Q2" s="39" t="s">
        <v>61</v>
      </c>
      <c r="R2" s="39" t="s">
        <v>62</v>
      </c>
      <c r="S2" s="40" t="s">
        <v>63</v>
      </c>
      <c r="T2" s="40" t="s">
        <v>64</v>
      </c>
      <c r="U2" s="40" t="s">
        <v>65</v>
      </c>
      <c r="V2" s="41" t="s">
        <v>4</v>
      </c>
      <c r="W2" s="37" t="s">
        <v>66</v>
      </c>
      <c r="X2" s="37" t="s">
        <v>67</v>
      </c>
      <c r="Y2" s="37" t="s">
        <v>68</v>
      </c>
      <c r="Z2" s="37" t="s">
        <v>69</v>
      </c>
      <c r="AA2" s="37" t="s">
        <v>70</v>
      </c>
      <c r="AB2" s="42" t="s">
        <v>71</v>
      </c>
      <c r="AC2" s="42" t="s">
        <v>72</v>
      </c>
      <c r="AD2" s="42" t="s">
        <v>73</v>
      </c>
      <c r="AE2" s="42" t="s">
        <v>74</v>
      </c>
      <c r="AF2" s="42" t="s">
        <v>75</v>
      </c>
      <c r="AG2" s="42" t="s">
        <v>76</v>
      </c>
      <c r="AH2" s="43" t="s">
        <v>77</v>
      </c>
      <c r="AI2" s="43" t="s">
        <v>78</v>
      </c>
      <c r="AJ2" s="44"/>
      <c r="AK2" s="44"/>
      <c r="AL2" s="44"/>
      <c r="AM2" s="44"/>
      <c r="AN2" s="44"/>
      <c r="AO2" s="44"/>
      <c r="AP2" s="44"/>
      <c r="AQ2" s="44"/>
      <c r="AR2" s="44"/>
      <c r="AS2" s="44"/>
      <c r="AT2" s="44"/>
      <c r="AU2" s="44"/>
      <c r="AV2" s="44"/>
      <c r="AW2" s="44"/>
      <c r="AX2" s="44"/>
      <c r="AY2" s="44"/>
      <c r="AZ2" s="4" t="s">
        <v>79</v>
      </c>
      <c r="BA2" s="31" t="s">
        <v>80</v>
      </c>
      <c r="BC2" s="4" t="s">
        <v>81</v>
      </c>
      <c r="BD2" s="36"/>
      <c r="BE2" s="36"/>
      <c r="BF2" s="36"/>
      <c r="BG2" s="36"/>
      <c r="BH2" s="36"/>
      <c r="BI2" s="36"/>
      <c r="BJ2" s="36"/>
      <c r="BK2" s="36"/>
      <c r="BL2" s="36"/>
      <c r="BM2" s="36"/>
      <c r="BN2" s="36"/>
      <c r="BO2" s="36"/>
      <c r="BP2" s="36"/>
      <c r="BQ2" s="36"/>
      <c r="BR2" s="36"/>
    </row>
    <row r="3" spans="1:79" ht="48">
      <c r="A3" s="45">
        <v>1</v>
      </c>
      <c r="B3" s="46" t="s">
        <v>82</v>
      </c>
      <c r="C3" s="47" t="str">
        <f ca="1">IFERROR(__xludf.DUMMYFUNCTION("GoogleFinance(B3,""name"")"),"Verizon Communications Inc")</f>
        <v>Verizon Communications Inc</v>
      </c>
      <c r="D3" s="48">
        <f ca="1">IFERROR(__xludf.DUMMYFUNCTION("GoogleFinance(B3,""marketcap"")/1000000"),183873.935823)</f>
        <v>183873.93582300001</v>
      </c>
      <c r="E3" s="49" t="s">
        <v>13</v>
      </c>
      <c r="F3" s="49" t="s">
        <v>83</v>
      </c>
      <c r="G3" s="50">
        <v>45489</v>
      </c>
      <c r="H3" s="51">
        <v>0.04</v>
      </c>
      <c r="I3" s="52">
        <f ca="1">N3/$M$84</f>
        <v>4.9554561241466906E-2</v>
      </c>
      <c r="J3" s="53">
        <v>43.61</v>
      </c>
      <c r="K3" s="54">
        <v>41.223529411764709</v>
      </c>
      <c r="L3" s="55">
        <v>170</v>
      </c>
      <c r="M3" s="56">
        <v>7008.0000000000009</v>
      </c>
      <c r="N3" s="57">
        <v>7413.7</v>
      </c>
      <c r="O3" s="57">
        <v>405.69999999999891</v>
      </c>
      <c r="P3" s="51">
        <v>5.789098173515983E-2</v>
      </c>
      <c r="Q3" s="58">
        <v>440</v>
      </c>
      <c r="R3" s="59">
        <v>32</v>
      </c>
      <c r="S3" s="51">
        <v>-0.26622334326989217</v>
      </c>
      <c r="T3" s="49">
        <v>63</v>
      </c>
      <c r="U3" s="60">
        <v>0.44462279293739959</v>
      </c>
      <c r="V3" s="61">
        <v>6.0000000000000001E-3</v>
      </c>
      <c r="W3" s="51">
        <v>2.9898804047838734E-3</v>
      </c>
      <c r="X3" s="51">
        <v>-1.4017635089305869E-2</v>
      </c>
      <c r="Y3" s="51">
        <v>7.8576380864339157E-3</v>
      </c>
      <c r="Z3" s="51">
        <v>-3.8580246913580196E-2</v>
      </c>
      <c r="AA3" s="51">
        <v>9.0522630657664305E-2</v>
      </c>
      <c r="AB3" s="59" t="s">
        <v>84</v>
      </c>
      <c r="AC3" s="62" t="s">
        <v>85</v>
      </c>
      <c r="AD3" s="63" t="s">
        <v>85</v>
      </c>
      <c r="AE3" s="64" t="s">
        <v>86</v>
      </c>
      <c r="AF3" s="65" t="s">
        <v>87</v>
      </c>
      <c r="AG3" s="66" t="s">
        <v>88</v>
      </c>
      <c r="AH3" s="67" t="s">
        <v>89</v>
      </c>
      <c r="AI3" s="67" t="s">
        <v>90</v>
      </c>
      <c r="AJ3" s="68"/>
      <c r="AK3" s="68"/>
      <c r="AL3" s="68"/>
      <c r="AM3" s="51" t="str">
        <f ca="1">IFERROR(__xludf.DUMMYFUNCTION("GoogleFinance(B3,""price"",DATE(2025,9,19))"),"Date")</f>
        <v>Date</v>
      </c>
      <c r="AN3" s="69" t="str">
        <f ca="1">IFERROR(__xludf.DUMMYFUNCTION("""COMPUTED_VALUE"""),"Close")</f>
        <v>Close</v>
      </c>
      <c r="AO3" s="51" t="str">
        <f ca="1">IFERROR(__xludf.DUMMYFUNCTION("GoogleFinance(B3,""price"",DATE(2025,8,29))"),"Date")</f>
        <v>Date</v>
      </c>
      <c r="AP3" s="69" t="str">
        <f ca="1">IFERROR(__xludf.DUMMYFUNCTION("""COMPUTED_VALUE"""),"Close")</f>
        <v>Close</v>
      </c>
      <c r="AQ3" s="51" t="str">
        <f ca="1">IFERROR(__xludf.DUMMYFUNCTION("GoogleFinance(B3,""price"",today()-93)"),"#N/A")</f>
        <v>#N/A</v>
      </c>
      <c r="AR3" s="69"/>
      <c r="AS3" s="51" t="str">
        <f ca="1">IFERROR(__xludf.DUMMYFUNCTION("GoogleFinance(B3,""price"",today()-184)"),"#N/A")</f>
        <v>#N/A</v>
      </c>
      <c r="AT3" s="69"/>
      <c r="AU3" s="70" t="str">
        <f ca="1">IFERROR(__xludf.DUMMYFUNCTION("GoogleFinance(B3,""price"",DATE(2024,12,31))"),"Date")</f>
        <v>Date</v>
      </c>
      <c r="AV3" s="69" t="str">
        <f ca="1">IFERROR(__xludf.DUMMYFUNCTION("""COMPUTED_VALUE"""),"Close")</f>
        <v>Close</v>
      </c>
      <c r="AW3" s="71"/>
      <c r="AX3" s="71"/>
      <c r="AY3" s="72"/>
      <c r="AZ3" s="72"/>
      <c r="BA3" s="72"/>
      <c r="BB3" s="72"/>
      <c r="BC3" s="72"/>
      <c r="BD3" s="72"/>
      <c r="BE3" s="72"/>
      <c r="BF3" s="72"/>
      <c r="BG3" s="72"/>
      <c r="BH3" s="72"/>
      <c r="BI3" s="71"/>
      <c r="BJ3" s="71"/>
      <c r="BK3" s="71"/>
      <c r="BL3" s="71"/>
      <c r="BM3" s="71"/>
      <c r="BN3" s="71"/>
      <c r="BO3" s="71"/>
      <c r="BP3" s="71"/>
      <c r="BQ3" s="71"/>
      <c r="BR3" s="71"/>
      <c r="BS3" s="72"/>
      <c r="BT3" s="72"/>
      <c r="BU3" s="72"/>
      <c r="BV3" s="72"/>
      <c r="BW3" s="72"/>
      <c r="BX3" s="72"/>
      <c r="BY3" s="72"/>
      <c r="BZ3" s="72"/>
      <c r="CA3" s="72"/>
    </row>
    <row r="4" spans="1:79" ht="13.2" hidden="1">
      <c r="A4" s="45" t="e">
        <f>#REF!+1</f>
        <v>#REF!</v>
      </c>
      <c r="B4" s="71"/>
      <c r="C4" s="73"/>
      <c r="D4" s="73"/>
      <c r="E4" s="71"/>
      <c r="F4" s="71"/>
      <c r="G4" s="74"/>
      <c r="H4" s="68"/>
      <c r="I4" s="75"/>
      <c r="J4" s="76"/>
      <c r="K4" s="77"/>
      <c r="L4" s="71"/>
      <c r="M4" s="71"/>
      <c r="N4" s="75"/>
      <c r="O4" s="78"/>
      <c r="P4" s="79"/>
      <c r="Q4" s="80"/>
      <c r="R4" s="81"/>
      <c r="S4" s="68"/>
      <c r="T4" s="68"/>
      <c r="U4" s="68"/>
      <c r="V4" s="61" t="e">
        <v>#N/A</v>
      </c>
      <c r="W4" s="51" t="e">
        <v>#REF!</v>
      </c>
      <c r="X4" s="51" t="e">
        <v>#REF!</v>
      </c>
      <c r="Y4" s="51" t="e">
        <v>#REF!</v>
      </c>
      <c r="Z4" s="51" t="e">
        <v>#REF!</v>
      </c>
      <c r="AA4" s="51" t="e">
        <v>#REF!</v>
      </c>
      <c r="AB4" s="59" t="s">
        <v>91</v>
      </c>
      <c r="AC4" s="68"/>
      <c r="AD4" s="68"/>
      <c r="AE4" s="68"/>
      <c r="AF4" s="68"/>
      <c r="AG4" s="68"/>
      <c r="AH4" s="67"/>
      <c r="AI4" s="67"/>
      <c r="AJ4" s="68"/>
      <c r="AK4" s="68"/>
      <c r="AL4" s="68"/>
      <c r="AM4" s="82">
        <f ca="1">IFERROR(__xludf.DUMMYFUNCTION("""COMPUTED_VALUE"""),45919.6666666666)</f>
        <v>45919.666666666599</v>
      </c>
      <c r="AN4" s="83">
        <f ca="1">IFERROR(__xludf.DUMMYFUNCTION("""COMPUTED_VALUE"""),43.48)</f>
        <v>43.48</v>
      </c>
      <c r="AO4" s="82">
        <f ca="1">IFERROR(__xludf.DUMMYFUNCTION("""COMPUTED_VALUE"""),45898.6666666666)</f>
        <v>45898.666666666599</v>
      </c>
      <c r="AP4" s="83">
        <f ca="1">IFERROR(__xludf.DUMMYFUNCTION("""COMPUTED_VALUE"""),44.23)</f>
        <v>44.23</v>
      </c>
      <c r="AQ4" s="82"/>
      <c r="AR4" s="83"/>
      <c r="AS4" s="82"/>
      <c r="AT4" s="83"/>
      <c r="AU4" s="82">
        <f ca="1">IFERROR(__xludf.DUMMYFUNCTION("""COMPUTED_VALUE"""),45657.6666666666)</f>
        <v>45657.666666666599</v>
      </c>
      <c r="AV4" s="83">
        <f ca="1">IFERROR(__xludf.DUMMYFUNCTION("""COMPUTED_VALUE"""),39.99)</f>
        <v>39.99</v>
      </c>
      <c r="AW4" s="71"/>
      <c r="AX4" s="71"/>
      <c r="AY4" s="72"/>
      <c r="AZ4" s="72"/>
      <c r="BA4" s="72"/>
      <c r="BB4" s="72"/>
      <c r="BC4" s="72"/>
      <c r="BD4" s="72"/>
      <c r="BE4" s="72"/>
      <c r="BF4" s="71"/>
      <c r="BG4" s="71"/>
      <c r="BH4" s="71"/>
      <c r="BI4" s="71"/>
      <c r="BJ4" s="71"/>
      <c r="BK4" s="71"/>
      <c r="BL4" s="71"/>
      <c r="BM4" s="71"/>
      <c r="BN4" s="71"/>
      <c r="BO4" s="71"/>
      <c r="BP4" s="71"/>
      <c r="BQ4" s="71"/>
      <c r="BR4" s="71"/>
      <c r="BS4" s="72"/>
      <c r="BT4" s="72"/>
      <c r="BU4" s="72"/>
      <c r="BV4" s="72"/>
      <c r="BW4" s="72"/>
      <c r="BX4" s="72"/>
      <c r="BY4" s="72"/>
      <c r="BZ4" s="72"/>
      <c r="CA4" s="72"/>
    </row>
    <row r="5" spans="1:79" ht="28.8">
      <c r="A5" s="45">
        <f t="shared" ref="A5:A9" si="0">A3+1</f>
        <v>2</v>
      </c>
      <c r="B5" s="46" t="s">
        <v>92</v>
      </c>
      <c r="C5" s="47" t="str">
        <f ca="1">IFERROR(__xludf.DUMMYFUNCTION("GoogleFinance(B5,""name"")"),"Meta Platforms Inc")</f>
        <v>Meta Platforms Inc</v>
      </c>
      <c r="D5" s="48">
        <f ca="1">IFERROR(__xludf.DUMMYFUNCTION("GoogleFinance(B5,""marketcap"")/1000000"),1868404.86875)</f>
        <v>1868404.8687499999</v>
      </c>
      <c r="E5" s="49" t="s">
        <v>13</v>
      </c>
      <c r="F5" s="49" t="s">
        <v>24</v>
      </c>
      <c r="G5" s="50">
        <v>45730</v>
      </c>
      <c r="H5" s="51">
        <v>0.03</v>
      </c>
      <c r="I5" s="52">
        <f ca="1">N5/$M$84</f>
        <v>2.4856822452581716E-2</v>
      </c>
      <c r="J5" s="53">
        <v>743.75</v>
      </c>
      <c r="K5" s="54">
        <v>728.14</v>
      </c>
      <c r="L5" s="55">
        <v>5</v>
      </c>
      <c r="M5" s="56">
        <v>3640.7</v>
      </c>
      <c r="N5" s="57">
        <v>3718.75</v>
      </c>
      <c r="O5" s="57">
        <v>78.050000000000182</v>
      </c>
      <c r="P5" s="51">
        <v>2.1438184964429841E-2</v>
      </c>
      <c r="Q5" s="58">
        <v>199</v>
      </c>
      <c r="R5" s="59">
        <v>700</v>
      </c>
      <c r="S5" s="84">
        <v>-5.8823529411764719E-2</v>
      </c>
      <c r="T5" s="49">
        <v>830</v>
      </c>
      <c r="U5" s="85">
        <v>0.11596638655462188</v>
      </c>
      <c r="V5" s="61">
        <v>-6.8999999999999999E-3</v>
      </c>
      <c r="W5" s="51">
        <v>-4.4489837868393334E-2</v>
      </c>
      <c r="X5" s="51">
        <v>6.836334100446706E-3</v>
      </c>
      <c r="Y5" s="51">
        <v>7.6684415179719689E-3</v>
      </c>
      <c r="Z5" s="51">
        <v>0.2904261225622875</v>
      </c>
      <c r="AA5" s="51">
        <v>0.27026011511331993</v>
      </c>
      <c r="AB5" s="59" t="s">
        <v>84</v>
      </c>
      <c r="AC5" s="86" t="s">
        <v>93</v>
      </c>
      <c r="AD5" s="86" t="s">
        <v>94</v>
      </c>
      <c r="AE5" s="64" t="s">
        <v>86</v>
      </c>
      <c r="AF5" s="49" t="s">
        <v>95</v>
      </c>
      <c r="AG5" s="66" t="s">
        <v>88</v>
      </c>
      <c r="AH5" s="87" t="s">
        <v>96</v>
      </c>
      <c r="AI5" s="87" t="s">
        <v>97</v>
      </c>
      <c r="AJ5" s="68"/>
      <c r="AK5" s="68"/>
      <c r="AL5" s="68"/>
      <c r="AM5" s="51" t="str">
        <f ca="1">IFERROR(__xludf.DUMMYFUNCTION("GoogleFinance(B5,""price"",DATE(2025,9,19))"),"Date")</f>
        <v>Date</v>
      </c>
      <c r="AN5" s="69" t="str">
        <f ca="1">IFERROR(__xludf.DUMMYFUNCTION("""COMPUTED_VALUE"""),"Close")</f>
        <v>Close</v>
      </c>
      <c r="AO5" s="51" t="str">
        <f ca="1">IFERROR(__xludf.DUMMYFUNCTION("GoogleFinance(B5,""price"",DATE(2025,8,29))"),"Date")</f>
        <v>Date</v>
      </c>
      <c r="AP5" s="69" t="str">
        <f ca="1">IFERROR(__xludf.DUMMYFUNCTION("""COMPUTED_VALUE"""),"Close")</f>
        <v>Close</v>
      </c>
      <c r="AQ5" s="51" t="str">
        <f ca="1">IFERROR(__xludf.DUMMYFUNCTION("GoogleFinance(B5,""price"",today()-93)"),"#N/A")</f>
        <v>#N/A</v>
      </c>
      <c r="AR5" s="69"/>
      <c r="AS5" s="51" t="str">
        <f ca="1">IFERROR(__xludf.DUMMYFUNCTION("GoogleFinance(B5,""price"",today()-184)"),"#N/A")</f>
        <v>#N/A</v>
      </c>
      <c r="AT5" s="69"/>
      <c r="AU5" s="70" t="str">
        <f ca="1">IFERROR(__xludf.DUMMYFUNCTION("GoogleFinance(B5,""price"",DATE(2024,12,31))"),"Date")</f>
        <v>Date</v>
      </c>
      <c r="AV5" s="69" t="str">
        <f ca="1">IFERROR(__xludf.DUMMYFUNCTION("""COMPUTED_VALUE"""),"Close")</f>
        <v>Close</v>
      </c>
      <c r="AW5" s="71"/>
      <c r="AX5" s="71"/>
      <c r="AY5" s="72"/>
      <c r="AZ5" s="72"/>
      <c r="BA5" s="72"/>
      <c r="BB5" s="72"/>
      <c r="BC5" s="72"/>
      <c r="BD5" s="72"/>
      <c r="BE5" s="72"/>
      <c r="BF5" s="72"/>
      <c r="BG5" s="72"/>
      <c r="BH5" s="72"/>
      <c r="BI5" s="71"/>
      <c r="BJ5" s="71"/>
      <c r="BK5" s="71"/>
      <c r="BL5" s="71"/>
      <c r="BM5" s="71"/>
      <c r="BN5" s="71"/>
      <c r="BO5" s="71"/>
      <c r="BP5" s="71"/>
      <c r="BQ5" s="71"/>
      <c r="BR5" s="71"/>
      <c r="BS5" s="72"/>
      <c r="BT5" s="72"/>
      <c r="BU5" s="72"/>
      <c r="BV5" s="72"/>
      <c r="BW5" s="72"/>
      <c r="BX5" s="72"/>
      <c r="BY5" s="72"/>
      <c r="BZ5" s="72"/>
      <c r="CA5" s="72"/>
    </row>
    <row r="6" spans="1:79" ht="13.2" hidden="1">
      <c r="A6" s="88" t="e">
        <f t="shared" si="0"/>
        <v>#REF!</v>
      </c>
      <c r="B6" s="71"/>
      <c r="C6" s="73"/>
      <c r="D6" s="73"/>
      <c r="E6" s="71"/>
      <c r="F6" s="71"/>
      <c r="G6" s="74"/>
      <c r="H6" s="68"/>
      <c r="I6" s="75"/>
      <c r="J6" s="76"/>
      <c r="K6" s="77"/>
      <c r="L6" s="71"/>
      <c r="M6" s="71"/>
      <c r="N6" s="75"/>
      <c r="O6" s="78"/>
      <c r="P6" s="79"/>
      <c r="Q6" s="80"/>
      <c r="R6" s="81"/>
      <c r="S6" s="68"/>
      <c r="T6" s="68"/>
      <c r="U6" s="68"/>
      <c r="V6" s="61" t="e">
        <v>#N/A</v>
      </c>
      <c r="W6" s="51" t="e">
        <v>#REF!</v>
      </c>
      <c r="X6" s="51" t="e">
        <v>#REF!</v>
      </c>
      <c r="Y6" s="51" t="e">
        <v>#REF!</v>
      </c>
      <c r="Z6" s="51" t="e">
        <v>#REF!</v>
      </c>
      <c r="AA6" s="51" t="e">
        <v>#REF!</v>
      </c>
      <c r="AB6" s="59" t="s">
        <v>91</v>
      </c>
      <c r="AC6" s="68"/>
      <c r="AD6" s="68"/>
      <c r="AE6" s="68"/>
      <c r="AF6" s="68"/>
      <c r="AG6" s="68"/>
      <c r="AH6" s="67"/>
      <c r="AI6" s="67"/>
      <c r="AJ6" s="68"/>
      <c r="AK6" s="68"/>
      <c r="AL6" s="68"/>
      <c r="AM6" s="82">
        <f ca="1">IFERROR(__xludf.DUMMYFUNCTION("""COMPUTED_VALUE"""),45919.6666666666)</f>
        <v>45919.666666666599</v>
      </c>
      <c r="AN6" s="83">
        <f ca="1">IFERROR(__xludf.DUMMYFUNCTION("""COMPUTED_VALUE"""),778.38)</f>
        <v>778.38</v>
      </c>
      <c r="AO6" s="82">
        <f ca="1">IFERROR(__xludf.DUMMYFUNCTION("""COMPUTED_VALUE"""),45898.6666666666)</f>
        <v>45898.666666666599</v>
      </c>
      <c r="AP6" s="83">
        <f ca="1">IFERROR(__xludf.DUMMYFUNCTION("""COMPUTED_VALUE"""),738.7)</f>
        <v>738.7</v>
      </c>
      <c r="AQ6" s="82"/>
      <c r="AR6" s="83"/>
      <c r="AS6" s="82"/>
      <c r="AT6" s="83"/>
      <c r="AU6" s="82">
        <f ca="1">IFERROR(__xludf.DUMMYFUNCTION("""COMPUTED_VALUE"""),45657.6666666666)</f>
        <v>45657.666666666599</v>
      </c>
      <c r="AV6" s="83">
        <f ca="1">IFERROR(__xludf.DUMMYFUNCTION("""COMPUTED_VALUE"""),585.51)</f>
        <v>585.51</v>
      </c>
      <c r="AW6" s="71"/>
      <c r="AX6" s="71"/>
      <c r="AY6" s="72"/>
      <c r="AZ6" s="72"/>
      <c r="BA6" s="72"/>
      <c r="BB6" s="72"/>
      <c r="BC6" s="72"/>
      <c r="BD6" s="72"/>
      <c r="BE6" s="72"/>
      <c r="BF6" s="71"/>
      <c r="BG6" s="71"/>
      <c r="BH6" s="71"/>
      <c r="BI6" s="71"/>
      <c r="BJ6" s="71"/>
      <c r="BK6" s="71"/>
      <c r="BL6" s="71"/>
      <c r="BM6" s="71"/>
      <c r="BN6" s="71"/>
      <c r="BO6" s="71"/>
      <c r="BP6" s="71"/>
      <c r="BQ6" s="71"/>
      <c r="BR6" s="71"/>
      <c r="BS6" s="72"/>
      <c r="BT6" s="72"/>
      <c r="BU6" s="72"/>
      <c r="BV6" s="72"/>
      <c r="BW6" s="72"/>
      <c r="BX6" s="72"/>
      <c r="BY6" s="72"/>
      <c r="BZ6" s="72"/>
      <c r="CA6" s="72"/>
    </row>
    <row r="7" spans="1:79" ht="38.4">
      <c r="A7" s="45">
        <f t="shared" si="0"/>
        <v>3</v>
      </c>
      <c r="B7" s="46" t="s">
        <v>98</v>
      </c>
      <c r="C7" s="47" t="str">
        <f ca="1">IFERROR(__xludf.DUMMYFUNCTION("GoogleFinance(B7,""name"")"),"Crowdstrike Holdings Inc")</f>
        <v>Crowdstrike Holdings Inc</v>
      </c>
      <c r="D7" s="48">
        <f ca="1">IFERROR(__xludf.DUMMYFUNCTION("GoogleFinance(B7,""marketcap"")/1000000"),120814.855753)</f>
        <v>120814.855753</v>
      </c>
      <c r="E7" s="49" t="s">
        <v>7</v>
      </c>
      <c r="F7" s="49" t="s">
        <v>99</v>
      </c>
      <c r="G7" s="50">
        <v>45884</v>
      </c>
      <c r="H7" s="51">
        <v>0.02</v>
      </c>
      <c r="I7" s="52">
        <f ca="1">N7/$M$84</f>
        <v>4.8932393537843448E-2</v>
      </c>
      <c r="J7" s="53">
        <v>481.42</v>
      </c>
      <c r="K7" s="54">
        <v>447.18292110842862</v>
      </c>
      <c r="L7" s="55">
        <v>15.206305247850022</v>
      </c>
      <c r="M7" s="56">
        <v>6800</v>
      </c>
      <c r="N7" s="57">
        <v>7320.6194724199577</v>
      </c>
      <c r="O7" s="57">
        <v>520.61947241995767</v>
      </c>
      <c r="P7" s="51">
        <v>7.6561687120581867E-2</v>
      </c>
      <c r="Q7" s="58">
        <v>45</v>
      </c>
      <c r="R7" s="59">
        <v>390</v>
      </c>
      <c r="S7" s="84">
        <v>-0.18989655602176891</v>
      </c>
      <c r="T7" s="49">
        <v>810</v>
      </c>
      <c r="U7" s="85">
        <v>0.68252253749324909</v>
      </c>
      <c r="V7" s="61">
        <v>1.7600000000000001E-2</v>
      </c>
      <c r="W7" s="51">
        <v>-4.2045567605213385E-2</v>
      </c>
      <c r="X7" s="51">
        <v>0.13622846353552043</v>
      </c>
      <c r="Y7" s="51">
        <v>-5.4760362058471235E-2</v>
      </c>
      <c r="Z7" s="51">
        <v>0.36542061376141599</v>
      </c>
      <c r="AA7" s="51">
        <v>0.40700257189618894</v>
      </c>
      <c r="AB7" s="59" t="s">
        <v>84</v>
      </c>
      <c r="AC7" s="62" t="s">
        <v>85</v>
      </c>
      <c r="AD7" s="63" t="s">
        <v>85</v>
      </c>
      <c r="AE7" s="64" t="s">
        <v>86</v>
      </c>
      <c r="AF7" s="63" t="s">
        <v>87</v>
      </c>
      <c r="AG7" s="63" t="s">
        <v>100</v>
      </c>
      <c r="AH7" s="67" t="s">
        <v>101</v>
      </c>
      <c r="AI7" s="67" t="s">
        <v>102</v>
      </c>
      <c r="AJ7" s="68"/>
      <c r="AK7" s="68"/>
      <c r="AL7" s="68"/>
      <c r="AM7" s="51" t="str">
        <f ca="1">IFERROR(__xludf.DUMMYFUNCTION("GoogleFinance(B7,""price"",DATE(2025,9,19))"),"Date")</f>
        <v>Date</v>
      </c>
      <c r="AN7" s="69" t="str">
        <f ca="1">IFERROR(__xludf.DUMMYFUNCTION("""COMPUTED_VALUE"""),"Close")</f>
        <v>Close</v>
      </c>
      <c r="AO7" s="51" t="str">
        <f ca="1">IFERROR(__xludf.DUMMYFUNCTION("GoogleFinance(B7,""price"",DATE(2025,8,29))"),"Date")</f>
        <v>Date</v>
      </c>
      <c r="AP7" s="69" t="str">
        <f ca="1">IFERROR(__xludf.DUMMYFUNCTION("""COMPUTED_VALUE"""),"Close")</f>
        <v>Close</v>
      </c>
      <c r="AQ7" s="51" t="str">
        <f ca="1">IFERROR(__xludf.DUMMYFUNCTION("GoogleFinance(B7,""price"",today()-93)"),"#N/A")</f>
        <v>#N/A</v>
      </c>
      <c r="AR7" s="69"/>
      <c r="AS7" s="51" t="str">
        <f ca="1">IFERROR(__xludf.DUMMYFUNCTION("GoogleFinance(B7,""price"",today()-184)"),"#N/A")</f>
        <v>#N/A</v>
      </c>
      <c r="AT7" s="69"/>
      <c r="AU7" s="70" t="str">
        <f ca="1">IFERROR(__xludf.DUMMYFUNCTION("GoogleFinance(B7,""price"",DATE(2024,12,31))"),"Date")</f>
        <v>Date</v>
      </c>
      <c r="AV7" s="69" t="str">
        <f ca="1">IFERROR(__xludf.DUMMYFUNCTION("""COMPUTED_VALUE"""),"Close")</f>
        <v>Close</v>
      </c>
      <c r="AW7" s="71"/>
      <c r="AX7" s="71"/>
      <c r="AY7" s="72"/>
      <c r="AZ7" s="72"/>
      <c r="BA7" s="72"/>
      <c r="BB7" s="72"/>
      <c r="BC7" s="72"/>
      <c r="BD7" s="72"/>
      <c r="BE7" s="72"/>
      <c r="BF7" s="72"/>
      <c r="BG7" s="72"/>
      <c r="BH7" s="72"/>
      <c r="BI7" s="71"/>
      <c r="BJ7" s="71"/>
      <c r="BK7" s="71"/>
      <c r="BL7" s="71"/>
      <c r="BM7" s="71"/>
      <c r="BN7" s="71"/>
      <c r="BO7" s="71"/>
      <c r="BP7" s="71"/>
      <c r="BQ7" s="71"/>
      <c r="BR7" s="71"/>
      <c r="BS7" s="72"/>
      <c r="BT7" s="72"/>
      <c r="BU7" s="72"/>
      <c r="BV7" s="72"/>
      <c r="BW7" s="72"/>
      <c r="BX7" s="72"/>
      <c r="BY7" s="72"/>
      <c r="BZ7" s="72"/>
      <c r="CA7" s="72"/>
    </row>
    <row r="8" spans="1:79" ht="13.2" hidden="1">
      <c r="A8" s="89" t="e">
        <f t="shared" si="0"/>
        <v>#REF!</v>
      </c>
      <c r="B8" s="90"/>
      <c r="C8" s="91"/>
      <c r="D8" s="91"/>
      <c r="E8" s="90"/>
      <c r="F8" s="90"/>
      <c r="G8" s="92"/>
      <c r="H8" s="93"/>
      <c r="I8" s="94"/>
      <c r="J8" s="95"/>
      <c r="K8" s="96"/>
      <c r="L8" s="90"/>
      <c r="M8" s="90"/>
      <c r="N8" s="94"/>
      <c r="O8" s="97"/>
      <c r="P8" s="98"/>
      <c r="Q8" s="99"/>
      <c r="R8" s="100"/>
      <c r="S8" s="93"/>
      <c r="T8" s="93"/>
      <c r="U8" s="93"/>
      <c r="V8" s="101" t="e">
        <v>#N/A</v>
      </c>
      <c r="W8" s="102" t="e">
        <v>#REF!</v>
      </c>
      <c r="X8" s="102" t="e">
        <v>#REF!</v>
      </c>
      <c r="Y8" s="102" t="e">
        <v>#REF!</v>
      </c>
      <c r="Z8" s="102" t="e">
        <v>#REF!</v>
      </c>
      <c r="AA8" s="102" t="e">
        <v>#REF!</v>
      </c>
      <c r="AB8" s="103" t="s">
        <v>91</v>
      </c>
      <c r="AC8" s="93"/>
      <c r="AD8" s="93"/>
      <c r="AE8" s="93"/>
      <c r="AF8" s="93"/>
      <c r="AG8" s="93"/>
      <c r="AH8" s="104"/>
      <c r="AI8" s="104"/>
      <c r="AJ8" s="93"/>
      <c r="AK8" s="93"/>
      <c r="AL8" s="93"/>
      <c r="AM8" s="105">
        <f ca="1">IFERROR(__xludf.DUMMYFUNCTION("""COMPUTED_VALUE"""),45919.6666666666)</f>
        <v>45919.666666666599</v>
      </c>
      <c r="AN8" s="106">
        <f ca="1">IFERROR(__xludf.DUMMYFUNCTION("""COMPUTED_VALUE"""),502.55)</f>
        <v>502.55</v>
      </c>
      <c r="AO8" s="105">
        <f ca="1">IFERROR(__xludf.DUMMYFUNCTION("""COMPUTED_VALUE"""),45898.6666666666)</f>
        <v>45898.666666666599</v>
      </c>
      <c r="AP8" s="106">
        <f ca="1">IFERROR(__xludf.DUMMYFUNCTION("""COMPUTED_VALUE"""),423.7)</f>
        <v>423.7</v>
      </c>
      <c r="AQ8" s="105"/>
      <c r="AR8" s="106"/>
      <c r="AS8" s="105"/>
      <c r="AT8" s="106"/>
      <c r="AU8" s="105">
        <f ca="1">IFERROR(__xludf.DUMMYFUNCTION("""COMPUTED_VALUE"""),45657.6666666666)</f>
        <v>45657.666666666599</v>
      </c>
      <c r="AV8" s="106">
        <f ca="1">IFERROR(__xludf.DUMMYFUNCTION("""COMPUTED_VALUE"""),342.16)</f>
        <v>342.16</v>
      </c>
      <c r="AW8" s="90"/>
      <c r="AX8" s="90"/>
      <c r="AY8" s="107"/>
      <c r="AZ8" s="107"/>
      <c r="BA8" s="107"/>
      <c r="BB8" s="107"/>
      <c r="BC8" s="107"/>
      <c r="BD8" s="107"/>
      <c r="BE8" s="107"/>
      <c r="BF8" s="90"/>
      <c r="BG8" s="90"/>
      <c r="BH8" s="90"/>
      <c r="BI8" s="90"/>
      <c r="BJ8" s="90"/>
      <c r="BK8" s="90"/>
      <c r="BL8" s="90"/>
      <c r="BM8" s="90"/>
      <c r="BN8" s="90"/>
      <c r="BO8" s="90"/>
      <c r="BP8" s="90"/>
      <c r="BQ8" s="90"/>
      <c r="BR8" s="90"/>
      <c r="BS8" s="107"/>
      <c r="BT8" s="107"/>
      <c r="BU8" s="107"/>
      <c r="BV8" s="107"/>
      <c r="BW8" s="107"/>
      <c r="BX8" s="107"/>
      <c r="BY8" s="107"/>
      <c r="BZ8" s="107"/>
      <c r="CA8" s="107"/>
    </row>
    <row r="9" spans="1:79" ht="19.2">
      <c r="A9" s="45">
        <f t="shared" si="0"/>
        <v>4</v>
      </c>
      <c r="B9" s="108" t="s">
        <v>103</v>
      </c>
      <c r="C9" s="109" t="str">
        <f ca="1">IFERROR(__xludf.DUMMYFUNCTION("GoogleFinance(B9,""name"")"),"PepsiCo Inc")</f>
        <v>PepsiCo Inc</v>
      </c>
      <c r="D9" s="110">
        <f ca="1">IFERROR(__xludf.DUMMYFUNCTION("GoogleFinance(B9,""marketcap"")/1000000"),192273.2)</f>
        <v>192273.2</v>
      </c>
      <c r="E9" s="111" t="s">
        <v>18</v>
      </c>
      <c r="F9" s="111" t="s">
        <v>104</v>
      </c>
      <c r="G9" s="112">
        <v>45825</v>
      </c>
      <c r="H9" s="113">
        <v>0.03</v>
      </c>
      <c r="I9" s="114">
        <f ca="1">N9/$M$84</f>
        <v>4.6936364978024551E-2</v>
      </c>
      <c r="J9" s="115">
        <v>140.44</v>
      </c>
      <c r="K9" s="116">
        <v>134.74</v>
      </c>
      <c r="L9" s="117">
        <v>50</v>
      </c>
      <c r="M9" s="118">
        <v>6737</v>
      </c>
      <c r="N9" s="119">
        <v>7022</v>
      </c>
      <c r="O9" s="120">
        <v>285</v>
      </c>
      <c r="P9" s="121">
        <v>4.2303696007124802E-2</v>
      </c>
      <c r="Q9" s="58">
        <v>104</v>
      </c>
      <c r="R9" s="59">
        <v>126</v>
      </c>
      <c r="S9" s="84">
        <v>-0.10281970948447738</v>
      </c>
      <c r="T9" s="49">
        <v>180</v>
      </c>
      <c r="U9" s="85">
        <v>0.28168612930788961</v>
      </c>
      <c r="V9" s="122">
        <v>3.7000000000000002E-3</v>
      </c>
      <c r="W9" s="121">
        <v>-9.3115124153498874E-3</v>
      </c>
      <c r="X9" s="121">
        <v>-5.5230406996300108E-2</v>
      </c>
      <c r="Y9" s="121">
        <v>6.3617085731596523E-2</v>
      </c>
      <c r="Z9" s="121">
        <v>-6.3358676804054936E-2</v>
      </c>
      <c r="AA9" s="121">
        <v>-7.6417203735367645E-2</v>
      </c>
      <c r="AB9" s="123" t="s">
        <v>84</v>
      </c>
      <c r="AC9" s="124" t="s">
        <v>85</v>
      </c>
      <c r="AD9" s="125" t="s">
        <v>85</v>
      </c>
      <c r="AE9" s="126" t="s">
        <v>86</v>
      </c>
      <c r="AF9" s="65" t="s">
        <v>87</v>
      </c>
      <c r="AG9" s="125" t="s">
        <v>105</v>
      </c>
      <c r="AH9" s="67" t="s">
        <v>106</v>
      </c>
      <c r="AI9" s="67" t="s">
        <v>107</v>
      </c>
      <c r="AJ9" s="127"/>
      <c r="AK9" s="127"/>
      <c r="AL9" s="127"/>
      <c r="AM9" s="51" t="str">
        <f ca="1">IFERROR(__xludf.DUMMYFUNCTION("GoogleFinance(B9,""price"",DATE(2025,9,19))"),"Date")</f>
        <v>Date</v>
      </c>
      <c r="AN9" s="69" t="str">
        <f ca="1">IFERROR(__xludf.DUMMYFUNCTION("""COMPUTED_VALUE"""),"Close")</f>
        <v>Close</v>
      </c>
      <c r="AO9" s="51" t="str">
        <f ca="1">IFERROR(__xludf.DUMMYFUNCTION("GoogleFinance(B9,""price"",DATE(2025,8,29))"),"Date")</f>
        <v>Date</v>
      </c>
      <c r="AP9" s="36" t="str">
        <f ca="1">IFERROR(__xludf.DUMMYFUNCTION("""COMPUTED_VALUE"""),"Close")</f>
        <v>Close</v>
      </c>
      <c r="AQ9" s="113" t="str">
        <f ca="1">IFERROR(__xludf.DUMMYFUNCTION("GoogleFinance(B9,""price"",today()-93)"),"#N/A")</f>
        <v>#N/A</v>
      </c>
      <c r="AR9" s="36"/>
      <c r="AS9" s="113" t="str">
        <f ca="1">IFERROR(__xludf.DUMMYFUNCTION("GoogleFinance(B9,""price"",today()-184)"),"#N/A")</f>
        <v>#N/A</v>
      </c>
      <c r="AT9" s="36"/>
      <c r="AU9" s="128" t="str">
        <f ca="1">IFERROR(__xludf.DUMMYFUNCTION("GoogleFinance(B9,""price"",DATE(2024,12,31))"),"Date")</f>
        <v>Date</v>
      </c>
      <c r="AV9" s="36" t="str">
        <f ca="1">IFERROR(__xludf.DUMMYFUNCTION("""COMPUTED_VALUE"""),"Close")</f>
        <v>Close</v>
      </c>
      <c r="AW9" s="129"/>
      <c r="AX9" s="129"/>
      <c r="AY9" s="130"/>
      <c r="AZ9" s="130"/>
      <c r="BA9" s="130"/>
      <c r="BB9" s="130"/>
      <c r="BC9" s="130"/>
      <c r="BD9" s="130"/>
      <c r="BE9" s="130"/>
      <c r="BF9" s="130"/>
      <c r="BG9" s="130"/>
      <c r="BH9" s="130"/>
      <c r="BI9" s="129"/>
      <c r="BJ9" s="129"/>
      <c r="BK9" s="129"/>
      <c r="BL9" s="129"/>
      <c r="BM9" s="129"/>
      <c r="BN9" s="129"/>
      <c r="BO9" s="129"/>
      <c r="BP9" s="129"/>
      <c r="BQ9" s="129"/>
      <c r="BR9" s="129"/>
      <c r="BS9" s="130"/>
      <c r="BT9" s="130"/>
      <c r="BU9" s="130"/>
      <c r="BV9" s="130"/>
      <c r="BW9" s="130"/>
      <c r="BX9" s="130"/>
      <c r="BY9" s="130"/>
      <c r="BZ9" s="130"/>
      <c r="CA9" s="130"/>
    </row>
    <row r="10" spans="1:79" ht="13.2" hidden="1">
      <c r="A10" s="131" t="e">
        <f>#REF!+1</f>
        <v>#REF!</v>
      </c>
      <c r="B10" s="129"/>
      <c r="C10" s="132"/>
      <c r="D10" s="132"/>
      <c r="E10" s="129"/>
      <c r="F10" s="129"/>
      <c r="G10" s="133"/>
      <c r="H10" s="127"/>
      <c r="I10" s="134"/>
      <c r="J10" s="135"/>
      <c r="K10" s="136"/>
      <c r="L10" s="129"/>
      <c r="M10" s="129"/>
      <c r="N10" s="134"/>
      <c r="O10" s="137"/>
      <c r="P10" s="138"/>
      <c r="Q10" s="139"/>
      <c r="R10" s="140"/>
      <c r="S10" s="127"/>
      <c r="T10" s="127"/>
      <c r="U10" s="127"/>
      <c r="V10" s="141" t="e">
        <v>#N/A</v>
      </c>
      <c r="W10" s="113" t="e">
        <v>#REF!</v>
      </c>
      <c r="X10" s="113" t="e">
        <v>#REF!</v>
      </c>
      <c r="Y10" s="113" t="e">
        <v>#REF!</v>
      </c>
      <c r="Z10" s="113" t="e">
        <v>#REF!</v>
      </c>
      <c r="AA10" s="113" t="e">
        <v>#REF!</v>
      </c>
      <c r="AB10" s="142" t="s">
        <v>91</v>
      </c>
      <c r="AC10" s="127"/>
      <c r="AD10" s="127"/>
      <c r="AE10" s="127"/>
      <c r="AF10" s="127"/>
      <c r="AG10" s="127"/>
      <c r="AH10" s="143"/>
      <c r="AI10" s="143"/>
      <c r="AJ10" s="127"/>
      <c r="AK10" s="127"/>
      <c r="AL10" s="127"/>
      <c r="AM10" s="144">
        <f ca="1">IFERROR(__xludf.DUMMYFUNCTION("""COMPUTED_VALUE"""),45919.6666666666)</f>
        <v>45919.666666666599</v>
      </c>
      <c r="AN10" s="145">
        <f ca="1">IFERROR(__xludf.DUMMYFUNCTION("""COMPUTED_VALUE"""),141.76)</f>
        <v>141.76</v>
      </c>
      <c r="AO10" s="144">
        <f ca="1">IFERROR(__xludf.DUMMYFUNCTION("""COMPUTED_VALUE"""),45898.6666666666)</f>
        <v>45898.666666666599</v>
      </c>
      <c r="AP10" s="145">
        <f ca="1">IFERROR(__xludf.DUMMYFUNCTION("""COMPUTED_VALUE"""),148.65)</f>
        <v>148.65</v>
      </c>
      <c r="AQ10" s="144"/>
      <c r="AR10" s="145"/>
      <c r="AS10" s="144"/>
      <c r="AT10" s="145"/>
      <c r="AU10" s="144">
        <f ca="1">IFERROR(__xludf.DUMMYFUNCTION("""COMPUTED_VALUE"""),45657.6666666666)</f>
        <v>45657.666666666599</v>
      </c>
      <c r="AV10" s="145">
        <f ca="1">IFERROR(__xludf.DUMMYFUNCTION("""COMPUTED_VALUE"""),152.06)</f>
        <v>152.06</v>
      </c>
      <c r="AW10" s="129"/>
      <c r="AX10" s="129"/>
      <c r="AY10" s="130"/>
      <c r="AZ10" s="130"/>
      <c r="BA10" s="130"/>
      <c r="BB10" s="130"/>
      <c r="BC10" s="130"/>
      <c r="BD10" s="130"/>
      <c r="BE10" s="130"/>
      <c r="BF10" s="129"/>
      <c r="BG10" s="129"/>
      <c r="BH10" s="129"/>
      <c r="BI10" s="129"/>
      <c r="BJ10" s="129"/>
      <c r="BK10" s="129"/>
      <c r="BL10" s="129"/>
      <c r="BM10" s="129"/>
      <c r="BN10" s="129"/>
      <c r="BO10" s="129"/>
      <c r="BP10" s="129"/>
      <c r="BQ10" s="129"/>
      <c r="BR10" s="129"/>
      <c r="BS10" s="130"/>
      <c r="BT10" s="130"/>
      <c r="BU10" s="130"/>
      <c r="BV10" s="130"/>
      <c r="BW10" s="130"/>
      <c r="BX10" s="130"/>
      <c r="BY10" s="130"/>
      <c r="BZ10" s="130"/>
      <c r="CA10" s="130"/>
    </row>
    <row r="11" spans="1:79" ht="28.8">
      <c r="A11" s="131">
        <f t="shared" ref="A11:A21" si="1">A9+1</f>
        <v>5</v>
      </c>
      <c r="B11" s="108" t="s">
        <v>108</v>
      </c>
      <c r="C11" s="109" t="str">
        <f ca="1">IFERROR(__xludf.DUMMYFUNCTION("GoogleFinance(B11,""name"")"),"Altria Group Inc")</f>
        <v>Altria Group Inc</v>
      </c>
      <c r="D11" s="110">
        <f ca="1">IFERROR(__xludf.DUMMYFUNCTION("GoogleFinance(B11,""marketcap"")/1000000"),110385.636072)</f>
        <v>110385.63607199999</v>
      </c>
      <c r="E11" s="111" t="s">
        <v>18</v>
      </c>
      <c r="F11" s="111" t="s">
        <v>109</v>
      </c>
      <c r="G11" s="112">
        <v>45833</v>
      </c>
      <c r="H11" s="113">
        <v>0.03</v>
      </c>
      <c r="I11" s="114">
        <f ca="1">N11/$M$84</f>
        <v>5.0510065851778585E-2</v>
      </c>
      <c r="J11" s="115">
        <v>65.709999999999994</v>
      </c>
      <c r="K11" s="116">
        <v>61.11373913043478</v>
      </c>
      <c r="L11" s="117">
        <v>115</v>
      </c>
      <c r="M11" s="118">
        <v>7028.08</v>
      </c>
      <c r="N11" s="119">
        <v>7556.65</v>
      </c>
      <c r="O11" s="120">
        <v>528.56999999999971</v>
      </c>
      <c r="P11" s="121">
        <v>7.5208307247498496E-2</v>
      </c>
      <c r="Q11" s="58">
        <v>96</v>
      </c>
      <c r="R11" s="59">
        <v>54</v>
      </c>
      <c r="S11" s="84">
        <v>-0.17820727438745998</v>
      </c>
      <c r="T11" s="49">
        <v>76</v>
      </c>
      <c r="U11" s="85">
        <v>0.15659716938061186</v>
      </c>
      <c r="V11" s="122">
        <v>8.0000000000000002E-3</v>
      </c>
      <c r="W11" s="121">
        <v>1.2636769918323187E-2</v>
      </c>
      <c r="X11" s="121">
        <v>-2.2318107424490363E-2</v>
      </c>
      <c r="Y11" s="121">
        <v>0.12075729148899872</v>
      </c>
      <c r="Z11" s="121">
        <v>9.4801732755747992E-2</v>
      </c>
      <c r="AA11" s="121">
        <v>0.25664563013960584</v>
      </c>
      <c r="AB11" s="123" t="s">
        <v>84</v>
      </c>
      <c r="AC11" s="124" t="s">
        <v>85</v>
      </c>
      <c r="AD11" s="125" t="s">
        <v>85</v>
      </c>
      <c r="AE11" s="126" t="s">
        <v>86</v>
      </c>
      <c r="AF11" s="65" t="s">
        <v>87</v>
      </c>
      <c r="AG11" s="125" t="s">
        <v>105</v>
      </c>
      <c r="AH11" s="67" t="s">
        <v>110</v>
      </c>
      <c r="AI11" s="67" t="s">
        <v>111</v>
      </c>
      <c r="AJ11" s="127"/>
      <c r="AK11" s="127"/>
      <c r="AL11" s="127"/>
      <c r="AM11" s="51" t="str">
        <f ca="1">IFERROR(__xludf.DUMMYFUNCTION("GoogleFinance(B11,""price"",DATE(2025,9,19))"),"Date")</f>
        <v>Date</v>
      </c>
      <c r="AN11" s="69" t="str">
        <f ca="1">IFERROR(__xludf.DUMMYFUNCTION("""COMPUTED_VALUE"""),"Close")</f>
        <v>Close</v>
      </c>
      <c r="AO11" s="51" t="str">
        <f ca="1">IFERROR(__xludf.DUMMYFUNCTION("GoogleFinance(B11,""price"",DATE(2025,8,29))"),"Date")</f>
        <v>Date</v>
      </c>
      <c r="AP11" s="36" t="str">
        <f ca="1">IFERROR(__xludf.DUMMYFUNCTION("""COMPUTED_VALUE"""),"Close")</f>
        <v>Close</v>
      </c>
      <c r="AQ11" s="113" t="str">
        <f ca="1">IFERROR(__xludf.DUMMYFUNCTION("GoogleFinance(B11,""price"",today()-93)"),"#N/A")</f>
        <v>#N/A</v>
      </c>
      <c r="AR11" s="36"/>
      <c r="AS11" s="113" t="str">
        <f ca="1">IFERROR(__xludf.DUMMYFUNCTION("GoogleFinance(B11,""price"",today()-184)"),"#N/A")</f>
        <v>#N/A</v>
      </c>
      <c r="AT11" s="36"/>
      <c r="AU11" s="128" t="str">
        <f ca="1">IFERROR(__xludf.DUMMYFUNCTION("GoogleFinance(B11,""price"",DATE(2024,12,31))"),"Date")</f>
        <v>Date</v>
      </c>
      <c r="AV11" s="36" t="str">
        <f ca="1">IFERROR(__xludf.DUMMYFUNCTION("""COMPUTED_VALUE"""),"Close")</f>
        <v>Close</v>
      </c>
      <c r="AW11" s="129"/>
      <c r="AX11" s="129"/>
      <c r="AY11" s="130"/>
      <c r="AZ11" s="130"/>
      <c r="BA11" s="130"/>
      <c r="BB11" s="130"/>
      <c r="BC11" s="130"/>
      <c r="BD11" s="130"/>
      <c r="BE11" s="130"/>
      <c r="BF11" s="130"/>
      <c r="BG11" s="130"/>
      <c r="BH11" s="130"/>
      <c r="BI11" s="129"/>
      <c r="BJ11" s="129"/>
      <c r="BK11" s="129"/>
      <c r="BL11" s="129"/>
      <c r="BM11" s="129"/>
      <c r="BN11" s="129"/>
      <c r="BO11" s="129"/>
      <c r="BP11" s="129"/>
      <c r="BQ11" s="129"/>
      <c r="BR11" s="129"/>
      <c r="BS11" s="130"/>
      <c r="BT11" s="130"/>
      <c r="BU11" s="130"/>
      <c r="BV11" s="130"/>
      <c r="BW11" s="130"/>
      <c r="BX11" s="130"/>
      <c r="BY11" s="130"/>
      <c r="BZ11" s="130"/>
      <c r="CA11" s="130"/>
    </row>
    <row r="12" spans="1:79" ht="13.2" hidden="1">
      <c r="A12" s="131" t="e">
        <f t="shared" si="1"/>
        <v>#REF!</v>
      </c>
      <c r="B12" s="129"/>
      <c r="C12" s="132"/>
      <c r="D12" s="132"/>
      <c r="E12" s="129"/>
      <c r="F12" s="129"/>
      <c r="G12" s="133"/>
      <c r="H12" s="127"/>
      <c r="I12" s="134"/>
      <c r="J12" s="135"/>
      <c r="K12" s="136"/>
      <c r="L12" s="129"/>
      <c r="M12" s="129"/>
      <c r="N12" s="134"/>
      <c r="O12" s="137"/>
      <c r="P12" s="138"/>
      <c r="Q12" s="139"/>
      <c r="R12" s="140"/>
      <c r="S12" s="127"/>
      <c r="T12" s="127"/>
      <c r="U12" s="127"/>
      <c r="V12" s="146" t="e">
        <v>#N/A</v>
      </c>
      <c r="W12" s="147" t="e">
        <v>#REF!</v>
      </c>
      <c r="X12" s="147" t="e">
        <v>#REF!</v>
      </c>
      <c r="Y12" s="147" t="e">
        <v>#REF!</v>
      </c>
      <c r="Z12" s="147" t="e">
        <v>#REF!</v>
      </c>
      <c r="AA12" s="147" t="e">
        <v>#REF!</v>
      </c>
      <c r="AB12" s="148" t="s">
        <v>91</v>
      </c>
      <c r="AC12" s="127"/>
      <c r="AD12" s="127"/>
      <c r="AE12" s="127"/>
      <c r="AF12" s="127"/>
      <c r="AG12" s="127"/>
      <c r="AH12" s="143"/>
      <c r="AI12" s="143"/>
      <c r="AJ12" s="127"/>
      <c r="AK12" s="127"/>
      <c r="AL12" s="127"/>
      <c r="AM12" s="149">
        <f ca="1">IFERROR(__xludf.DUMMYFUNCTION("""COMPUTED_VALUE"""),45919.6666666666)</f>
        <v>45919.666666666599</v>
      </c>
      <c r="AN12" s="150">
        <f ca="1">IFERROR(__xludf.DUMMYFUNCTION("""COMPUTED_VALUE"""),64.89)</f>
        <v>64.89</v>
      </c>
      <c r="AO12" s="149">
        <f ca="1">IFERROR(__xludf.DUMMYFUNCTION("""COMPUTED_VALUE"""),45898.6666666666)</f>
        <v>45898.666666666599</v>
      </c>
      <c r="AP12" s="150">
        <f ca="1">IFERROR(__xludf.DUMMYFUNCTION("""COMPUTED_VALUE"""),67.21)</f>
        <v>67.209999999999994</v>
      </c>
      <c r="AQ12" s="149"/>
      <c r="AR12" s="150"/>
      <c r="AS12" s="149"/>
      <c r="AT12" s="150"/>
      <c r="AU12" s="149">
        <f ca="1">IFERROR(__xludf.DUMMYFUNCTION("""COMPUTED_VALUE"""),45657.6666666666)</f>
        <v>45657.666666666599</v>
      </c>
      <c r="AV12" s="150">
        <f ca="1">IFERROR(__xludf.DUMMYFUNCTION("""COMPUTED_VALUE"""),52.29)</f>
        <v>52.29</v>
      </c>
      <c r="AW12" s="129"/>
      <c r="AX12" s="129"/>
      <c r="AY12" s="130"/>
      <c r="AZ12" s="130"/>
      <c r="BA12" s="130"/>
      <c r="BB12" s="130"/>
      <c r="BC12" s="130"/>
      <c r="BD12" s="130"/>
      <c r="BE12" s="130"/>
      <c r="BF12" s="129"/>
      <c r="BG12" s="129"/>
      <c r="BH12" s="129"/>
      <c r="BI12" s="129"/>
      <c r="BJ12" s="129"/>
      <c r="BK12" s="129"/>
      <c r="BL12" s="129"/>
      <c r="BM12" s="129"/>
      <c r="BN12" s="129"/>
      <c r="BO12" s="129"/>
      <c r="BP12" s="129"/>
      <c r="BQ12" s="129"/>
      <c r="BR12" s="129"/>
      <c r="BS12" s="130"/>
      <c r="BT12" s="130"/>
      <c r="BU12" s="130"/>
      <c r="BV12" s="130"/>
      <c r="BW12" s="130"/>
      <c r="BX12" s="130"/>
      <c r="BY12" s="130"/>
      <c r="BZ12" s="130"/>
      <c r="CA12" s="130"/>
    </row>
    <row r="13" spans="1:79" ht="38.4">
      <c r="A13" s="131">
        <f t="shared" si="1"/>
        <v>6</v>
      </c>
      <c r="B13" s="46" t="s">
        <v>112</v>
      </c>
      <c r="C13" s="47" t="str">
        <f ca="1">IFERROR(__xludf.DUMMYFUNCTION("GoogleFinance(B13,""name"")"),"JPMorgan Chase &amp; Co")</f>
        <v>JPMorgan Chase &amp; Co</v>
      </c>
      <c r="D13" s="48">
        <f ca="1">IFERROR(__xludf.DUMMYFUNCTION("GoogleFinance(B13,""marketcap"")/1000000"),869087.242526)</f>
        <v>869087.24252600002</v>
      </c>
      <c r="E13" s="49" t="s">
        <v>14</v>
      </c>
      <c r="F13" s="49" t="s">
        <v>21</v>
      </c>
      <c r="G13" s="50">
        <v>45730</v>
      </c>
      <c r="H13" s="51">
        <v>0.03</v>
      </c>
      <c r="I13" s="52">
        <f ca="1">N13/$M$84</f>
        <v>2.0460655984895573E-2</v>
      </c>
      <c r="J13" s="53">
        <v>316.06</v>
      </c>
      <c r="K13" s="54">
        <v>228.6</v>
      </c>
      <c r="L13" s="55">
        <v>9.6850393700787407</v>
      </c>
      <c r="M13" s="56">
        <v>2214</v>
      </c>
      <c r="N13" s="57">
        <v>3061.0535433070868</v>
      </c>
      <c r="O13" s="57">
        <v>847.05354330708678</v>
      </c>
      <c r="P13" s="51">
        <v>0.3825896762904637</v>
      </c>
      <c r="Q13" s="58">
        <v>199</v>
      </c>
      <c r="R13" s="59">
        <v>180</v>
      </c>
      <c r="S13" s="51">
        <v>-0.43048788204771249</v>
      </c>
      <c r="T13" s="49">
        <v>330</v>
      </c>
      <c r="U13" s="60">
        <v>4.410554957919377E-2</v>
      </c>
      <c r="V13" s="141">
        <v>8.3000000000000001E-3</v>
      </c>
      <c r="W13" s="51">
        <v>4.0663320414258131E-3</v>
      </c>
      <c r="X13" s="51">
        <v>4.8570101519474385E-2</v>
      </c>
      <c r="Y13" s="51">
        <v>9.0200407022869022E-2</v>
      </c>
      <c r="Z13" s="51">
        <v>0.28846310640032602</v>
      </c>
      <c r="AA13" s="51">
        <v>0.31850986608818976</v>
      </c>
      <c r="AB13" s="59" t="s">
        <v>91</v>
      </c>
      <c r="AC13" s="63" t="s">
        <v>93</v>
      </c>
      <c r="AD13" s="63" t="s">
        <v>93</v>
      </c>
      <c r="AE13" s="64" t="s">
        <v>86</v>
      </c>
      <c r="AF13" s="63" t="s">
        <v>87</v>
      </c>
      <c r="AG13" s="66" t="s">
        <v>88</v>
      </c>
      <c r="AH13" s="151" t="s">
        <v>113</v>
      </c>
      <c r="AI13" s="151" t="s">
        <v>114</v>
      </c>
      <c r="AJ13" s="68"/>
      <c r="AK13" s="68"/>
      <c r="AL13" s="68"/>
      <c r="AM13" s="51" t="str">
        <f ca="1">IFERROR(__xludf.DUMMYFUNCTION("GoogleFinance(B13,""price"",DATE(2025,9,19))"),"Date")</f>
        <v>Date</v>
      </c>
      <c r="AN13" s="69" t="str">
        <f ca="1">IFERROR(__xludf.DUMMYFUNCTION("""COMPUTED_VALUE"""),"Close")</f>
        <v>Close</v>
      </c>
      <c r="AO13" s="51" t="str">
        <f ca="1">IFERROR(__xludf.DUMMYFUNCTION("GoogleFinance(B13,""price"",DATE(2025,8,29))"),"Date")</f>
        <v>Date</v>
      </c>
      <c r="AP13" s="69" t="str">
        <f ca="1">IFERROR(__xludf.DUMMYFUNCTION("""COMPUTED_VALUE"""),"Close")</f>
        <v>Close</v>
      </c>
      <c r="AQ13" s="51" t="str">
        <f ca="1">IFERROR(__xludf.DUMMYFUNCTION("GoogleFinance(B13,""price"",today()-93)"),"#N/A")</f>
        <v>#N/A</v>
      </c>
      <c r="AR13" s="69"/>
      <c r="AS13" s="51" t="str">
        <f ca="1">IFERROR(__xludf.DUMMYFUNCTION("GoogleFinance(B13,""price"",today()-184)"),"#N/A")</f>
        <v>#N/A</v>
      </c>
      <c r="AT13" s="69"/>
      <c r="AU13" s="70" t="str">
        <f ca="1">IFERROR(__xludf.DUMMYFUNCTION("GoogleFinance(B13,""price"",DATE(2024,12,31))"),"Date")</f>
        <v>Date</v>
      </c>
      <c r="AV13" s="69" t="str">
        <f ca="1">IFERROR(__xludf.DUMMYFUNCTION("""COMPUTED_VALUE"""),"Close")</f>
        <v>Close</v>
      </c>
      <c r="AW13" s="71"/>
      <c r="AX13" s="71"/>
      <c r="AY13" s="72"/>
      <c r="AZ13" s="72"/>
      <c r="BA13" s="72"/>
      <c r="BB13" s="72"/>
      <c r="BC13" s="72"/>
      <c r="BD13" s="72"/>
      <c r="BE13" s="72"/>
      <c r="BF13" s="72"/>
      <c r="BG13" s="72"/>
      <c r="BH13" s="72"/>
      <c r="BI13" s="71"/>
      <c r="BJ13" s="71"/>
      <c r="BK13" s="71"/>
      <c r="BL13" s="71"/>
      <c r="BM13" s="71"/>
      <c r="BN13" s="71"/>
      <c r="BO13" s="71"/>
      <c r="BP13" s="71"/>
      <c r="BQ13" s="71"/>
      <c r="BR13" s="71"/>
      <c r="BS13" s="72"/>
      <c r="BT13" s="72"/>
      <c r="BU13" s="72"/>
      <c r="BV13" s="72"/>
      <c r="BW13" s="72"/>
      <c r="BX13" s="72"/>
      <c r="BY13" s="72"/>
      <c r="BZ13" s="72"/>
      <c r="CA13" s="72"/>
    </row>
    <row r="14" spans="1:79" ht="13.2" hidden="1">
      <c r="A14" s="131" t="e">
        <f t="shared" si="1"/>
        <v>#REF!</v>
      </c>
      <c r="B14" s="71"/>
      <c r="C14" s="73"/>
      <c r="D14" s="73"/>
      <c r="E14" s="71"/>
      <c r="F14" s="71"/>
      <c r="G14" s="74"/>
      <c r="H14" s="68"/>
      <c r="I14" s="75"/>
      <c r="J14" s="76"/>
      <c r="K14" s="77"/>
      <c r="L14" s="71"/>
      <c r="M14" s="71"/>
      <c r="N14" s="75"/>
      <c r="O14" s="78"/>
      <c r="P14" s="79"/>
      <c r="Q14" s="80"/>
      <c r="R14" s="81"/>
      <c r="S14" s="68"/>
      <c r="T14" s="68"/>
      <c r="U14" s="68"/>
      <c r="V14" s="61" t="e">
        <v>#N/A</v>
      </c>
      <c r="W14" s="51" t="e">
        <v>#REF!</v>
      </c>
      <c r="X14" s="51" t="e">
        <v>#REF!</v>
      </c>
      <c r="Y14" s="51" t="e">
        <v>#REF!</v>
      </c>
      <c r="Z14" s="51" t="e">
        <v>#REF!</v>
      </c>
      <c r="AA14" s="51" t="e">
        <v>#REF!</v>
      </c>
      <c r="AB14" s="59" t="s">
        <v>91</v>
      </c>
      <c r="AC14" s="68"/>
      <c r="AD14" s="68"/>
      <c r="AE14" s="68"/>
      <c r="AF14" s="68"/>
      <c r="AG14" s="68"/>
      <c r="AH14" s="67"/>
      <c r="AI14" s="67"/>
      <c r="AJ14" s="68"/>
      <c r="AK14" s="68"/>
      <c r="AL14" s="68"/>
      <c r="AM14" s="82">
        <f ca="1">IFERROR(__xludf.DUMMYFUNCTION("""COMPUTED_VALUE"""),45919.6666666666)</f>
        <v>45919.666666666599</v>
      </c>
      <c r="AN14" s="83">
        <f ca="1">IFERROR(__xludf.DUMMYFUNCTION("""COMPUTED_VALUE"""),314.78)</f>
        <v>314.77999999999997</v>
      </c>
      <c r="AO14" s="82">
        <f ca="1">IFERROR(__xludf.DUMMYFUNCTION("""COMPUTED_VALUE"""),45898.6666666666)</f>
        <v>45898.666666666599</v>
      </c>
      <c r="AP14" s="83">
        <f ca="1">IFERROR(__xludf.DUMMYFUNCTION("""COMPUTED_VALUE"""),301.42)</f>
        <v>301.42</v>
      </c>
      <c r="AQ14" s="82"/>
      <c r="AR14" s="83"/>
      <c r="AS14" s="82"/>
      <c r="AT14" s="83"/>
      <c r="AU14" s="82">
        <f ca="1">IFERROR(__xludf.DUMMYFUNCTION("""COMPUTED_VALUE"""),45657.6666666666)</f>
        <v>45657.666666666599</v>
      </c>
      <c r="AV14" s="83">
        <f ca="1">IFERROR(__xludf.DUMMYFUNCTION("""COMPUTED_VALUE"""),239.71)</f>
        <v>239.71</v>
      </c>
      <c r="AW14" s="71"/>
      <c r="AX14" s="71"/>
      <c r="AY14" s="72"/>
      <c r="AZ14" s="72"/>
      <c r="BA14" s="72"/>
      <c r="BB14" s="72"/>
      <c r="BC14" s="72"/>
      <c r="BD14" s="72"/>
      <c r="BE14" s="72"/>
      <c r="BF14" s="71"/>
      <c r="BG14" s="71"/>
      <c r="BH14" s="71"/>
      <c r="BI14" s="71"/>
      <c r="BJ14" s="71"/>
      <c r="BK14" s="71"/>
      <c r="BL14" s="71"/>
      <c r="BM14" s="71"/>
      <c r="BN14" s="71"/>
      <c r="BO14" s="71"/>
      <c r="BP14" s="71"/>
      <c r="BQ14" s="71"/>
      <c r="BR14" s="71"/>
      <c r="BS14" s="72"/>
      <c r="BT14" s="72"/>
      <c r="BU14" s="72"/>
      <c r="BV14" s="72"/>
      <c r="BW14" s="72"/>
      <c r="BX14" s="72"/>
      <c r="BY14" s="72"/>
      <c r="BZ14" s="72"/>
      <c r="CA14" s="72"/>
    </row>
    <row r="15" spans="1:79" ht="19.2">
      <c r="A15" s="131">
        <f t="shared" si="1"/>
        <v>7</v>
      </c>
      <c r="B15" s="46" t="s">
        <v>115</v>
      </c>
      <c r="C15" s="47" t="str">
        <f ca="1">IFERROR(__xludf.DUMMYFUNCTION("GoogleFinance(B15,""name"")"),"Blackstone Inc")</f>
        <v>Blackstone Inc</v>
      </c>
      <c r="D15" s="48">
        <f ca="1">IFERROR(__xludf.DUMMYFUNCTION("GoogleFinance(B15,""marketcap"")/1000000"),207695.651796)</f>
        <v>207695.65179599999</v>
      </c>
      <c r="E15" s="49" t="s">
        <v>14</v>
      </c>
      <c r="F15" s="49" t="s">
        <v>116</v>
      </c>
      <c r="G15" s="50">
        <v>45730</v>
      </c>
      <c r="H15" s="51">
        <v>0.03</v>
      </c>
      <c r="I15" s="52">
        <f ca="1">N15/$M$84</f>
        <v>7.9747077619684737E-3</v>
      </c>
      <c r="J15" s="53">
        <v>175.32</v>
      </c>
      <c r="K15" s="54">
        <v>141.1</v>
      </c>
      <c r="L15" s="55">
        <v>6.8051027639971657</v>
      </c>
      <c r="M15" s="56">
        <v>960.2</v>
      </c>
      <c r="N15" s="57">
        <v>1193.0706165839831</v>
      </c>
      <c r="O15" s="57">
        <v>232.87061658398306</v>
      </c>
      <c r="P15" s="51">
        <v>0.24252303330970948</v>
      </c>
      <c r="Q15" s="58">
        <v>199</v>
      </c>
      <c r="R15" s="59">
        <v>115</v>
      </c>
      <c r="S15" s="51">
        <v>-0.34405658224960067</v>
      </c>
      <c r="T15" s="49">
        <v>210</v>
      </c>
      <c r="U15" s="60">
        <v>0.19780971937029435</v>
      </c>
      <c r="V15" s="61">
        <v>-1.6000000000000001E-3</v>
      </c>
      <c r="W15" s="51">
        <v>-6.5558042852574383E-2</v>
      </c>
      <c r="X15" s="51">
        <v>2.2870478413068662E-2</v>
      </c>
      <c r="Y15" s="51">
        <v>0.17208182912154024</v>
      </c>
      <c r="Z15" s="51">
        <v>0.25425668908284438</v>
      </c>
      <c r="AA15" s="51">
        <v>1.6819394501798035E-2</v>
      </c>
      <c r="AB15" s="59" t="s">
        <v>91</v>
      </c>
      <c r="AC15" s="62" t="s">
        <v>93</v>
      </c>
      <c r="AD15" s="86" t="s">
        <v>93</v>
      </c>
      <c r="AE15" s="64" t="s">
        <v>86</v>
      </c>
      <c r="AF15" s="49" t="s">
        <v>95</v>
      </c>
      <c r="AG15" s="66" t="s">
        <v>88</v>
      </c>
      <c r="AH15" s="87" t="s">
        <v>117</v>
      </c>
      <c r="AI15" s="87" t="s">
        <v>118</v>
      </c>
      <c r="AJ15" s="68"/>
      <c r="AK15" s="68"/>
      <c r="AL15" s="68"/>
      <c r="AM15" s="51" t="str">
        <f ca="1">IFERROR(__xludf.DUMMYFUNCTION("GoogleFinance(B15,""price"",DATE(2025,9,19))"),"Date")</f>
        <v>Date</v>
      </c>
      <c r="AN15" s="69" t="str">
        <f ca="1">IFERROR(__xludf.DUMMYFUNCTION("""COMPUTED_VALUE"""),"Close")</f>
        <v>Close</v>
      </c>
      <c r="AO15" s="51" t="str">
        <f ca="1">IFERROR(__xludf.DUMMYFUNCTION("GoogleFinance(B15,""price"",DATE(2025,8,29))"),"Date")</f>
        <v>Date</v>
      </c>
      <c r="AP15" s="69" t="str">
        <f ca="1">IFERROR(__xludf.DUMMYFUNCTION("""COMPUTED_VALUE"""),"Close")</f>
        <v>Close</v>
      </c>
      <c r="AQ15" s="51" t="str">
        <f ca="1">IFERROR(__xludf.DUMMYFUNCTION("GoogleFinance(B15,""price"",today()-93)"),"#N/A")</f>
        <v>#N/A</v>
      </c>
      <c r="AR15" s="69"/>
      <c r="AS15" s="51" t="str">
        <f ca="1">IFERROR(__xludf.DUMMYFUNCTION("GoogleFinance(B15,""price"",today()-184)"),"#N/A")</f>
        <v>#N/A</v>
      </c>
      <c r="AT15" s="69"/>
      <c r="AU15" s="70" t="str">
        <f ca="1">IFERROR(__xludf.DUMMYFUNCTION("GoogleFinance(B15,""price"",DATE(2024,12,31))"),"Date")</f>
        <v>Date</v>
      </c>
      <c r="AV15" s="69" t="str">
        <f ca="1">IFERROR(__xludf.DUMMYFUNCTION("""COMPUTED_VALUE"""),"Close")</f>
        <v>Close</v>
      </c>
      <c r="AW15" s="71"/>
      <c r="AX15" s="71"/>
      <c r="AY15" s="72"/>
      <c r="AZ15" s="72"/>
      <c r="BA15" s="72"/>
      <c r="BB15" s="72"/>
      <c r="BC15" s="72"/>
      <c r="BD15" s="72"/>
      <c r="BE15" s="72"/>
      <c r="BF15" s="72"/>
      <c r="BG15" s="72"/>
      <c r="BH15" s="72"/>
      <c r="BI15" s="71"/>
      <c r="BJ15" s="71"/>
      <c r="BK15" s="71"/>
      <c r="BL15" s="71"/>
      <c r="BM15" s="71"/>
      <c r="BN15" s="71"/>
      <c r="BO15" s="71"/>
      <c r="BP15" s="71"/>
      <c r="BQ15" s="71"/>
      <c r="BR15" s="71"/>
      <c r="BS15" s="72"/>
      <c r="BT15" s="72"/>
      <c r="BU15" s="72"/>
      <c r="BV15" s="72"/>
      <c r="BW15" s="72"/>
      <c r="BX15" s="72"/>
      <c r="BY15" s="72"/>
      <c r="BZ15" s="72"/>
      <c r="CA15" s="72"/>
    </row>
    <row r="16" spans="1:79" ht="13.2" hidden="1">
      <c r="A16" s="45" t="e">
        <f t="shared" si="1"/>
        <v>#REF!</v>
      </c>
      <c r="B16" s="71"/>
      <c r="C16" s="73"/>
      <c r="D16" s="73"/>
      <c r="E16" s="71"/>
      <c r="F16" s="71"/>
      <c r="G16" s="74"/>
      <c r="H16" s="68"/>
      <c r="I16" s="75"/>
      <c r="J16" s="76"/>
      <c r="K16" s="77"/>
      <c r="L16" s="71"/>
      <c r="M16" s="71"/>
      <c r="N16" s="75"/>
      <c r="O16" s="78"/>
      <c r="P16" s="79"/>
      <c r="Q16" s="80"/>
      <c r="R16" s="81"/>
      <c r="S16" s="68"/>
      <c r="T16" s="68"/>
      <c r="U16" s="68"/>
      <c r="V16" s="61" t="e">
        <v>#N/A</v>
      </c>
      <c r="W16" s="51" t="e">
        <v>#REF!</v>
      </c>
      <c r="X16" s="51" t="e">
        <v>#REF!</v>
      </c>
      <c r="Y16" s="51" t="e">
        <v>#REF!</v>
      </c>
      <c r="Z16" s="51" t="e">
        <v>#REF!</v>
      </c>
      <c r="AA16" s="51" t="e">
        <v>#REF!</v>
      </c>
      <c r="AB16" s="59" t="s">
        <v>91</v>
      </c>
      <c r="AC16" s="68"/>
      <c r="AD16" s="68"/>
      <c r="AE16" s="68"/>
      <c r="AF16" s="68"/>
      <c r="AG16" s="68"/>
      <c r="AH16" s="67"/>
      <c r="AI16" s="67"/>
      <c r="AJ16" s="68"/>
      <c r="AK16" s="68"/>
      <c r="AL16" s="68"/>
      <c r="AM16" s="82">
        <f ca="1">IFERROR(__xludf.DUMMYFUNCTION("""COMPUTED_VALUE"""),45919.6666666666)</f>
        <v>45919.666666666599</v>
      </c>
      <c r="AN16" s="83">
        <f ca="1">IFERROR(__xludf.DUMMYFUNCTION("""COMPUTED_VALUE"""),187.62)</f>
        <v>187.62</v>
      </c>
      <c r="AO16" s="82">
        <f ca="1">IFERROR(__xludf.DUMMYFUNCTION("""COMPUTED_VALUE"""),45898.6666666666)</f>
        <v>45898.666666666599</v>
      </c>
      <c r="AP16" s="83">
        <f ca="1">IFERROR(__xludf.DUMMYFUNCTION("""COMPUTED_VALUE"""),171.4)</f>
        <v>171.4</v>
      </c>
      <c r="AQ16" s="82"/>
      <c r="AR16" s="83"/>
      <c r="AS16" s="82"/>
      <c r="AT16" s="83"/>
      <c r="AU16" s="82">
        <f ca="1">IFERROR(__xludf.DUMMYFUNCTION("""COMPUTED_VALUE"""),45657.6666666666)</f>
        <v>45657.666666666599</v>
      </c>
      <c r="AV16" s="83">
        <f ca="1">IFERROR(__xludf.DUMMYFUNCTION("""COMPUTED_VALUE"""),172.42)</f>
        <v>172.42</v>
      </c>
      <c r="AW16" s="71"/>
      <c r="AX16" s="71"/>
      <c r="AY16" s="72"/>
      <c r="AZ16" s="72"/>
      <c r="BA16" s="72"/>
      <c r="BB16" s="72"/>
      <c r="BC16" s="72"/>
      <c r="BD16" s="72"/>
      <c r="BE16" s="72"/>
      <c r="BF16" s="71"/>
      <c r="BG16" s="71"/>
      <c r="BH16" s="71"/>
      <c r="BI16" s="71"/>
      <c r="BJ16" s="71"/>
      <c r="BK16" s="71"/>
      <c r="BL16" s="71"/>
      <c r="BM16" s="71"/>
      <c r="BN16" s="71"/>
      <c r="BO16" s="71"/>
      <c r="BP16" s="71"/>
      <c r="BQ16" s="71"/>
      <c r="BR16" s="71"/>
      <c r="BS16" s="72"/>
      <c r="BT16" s="72"/>
      <c r="BU16" s="72"/>
      <c r="BV16" s="72"/>
      <c r="BW16" s="72"/>
      <c r="BX16" s="72"/>
      <c r="BY16" s="72"/>
      <c r="BZ16" s="72"/>
      <c r="CA16" s="72"/>
    </row>
    <row r="17" spans="1:79" ht="19.2">
      <c r="A17" s="45">
        <f t="shared" si="1"/>
        <v>8</v>
      </c>
      <c r="B17" s="46" t="s">
        <v>119</v>
      </c>
      <c r="C17" s="152" t="str">
        <f ca="1">IFERROR(__xludf.DUMMYFUNCTION("GoogleFinance(B17,""name"")"),"Walt Disney Co")</f>
        <v>Walt Disney Co</v>
      </c>
      <c r="D17" s="48">
        <f ca="1">IFERROR(__xludf.DUMMYFUNCTION("GoogleFinance(B17,""marketcap"")/1000000"),204011.459704)</f>
        <v>204011.45970400001</v>
      </c>
      <c r="E17" s="49" t="s">
        <v>13</v>
      </c>
      <c r="F17" s="49" t="s">
        <v>120</v>
      </c>
      <c r="G17" s="82">
        <v>45204</v>
      </c>
      <c r="H17" s="51">
        <v>0.02</v>
      </c>
      <c r="I17" s="52">
        <f ca="1">N17/$M$84</f>
        <v>2.8062826169195174E-2</v>
      </c>
      <c r="J17" s="53">
        <v>113.47</v>
      </c>
      <c r="K17" s="54">
        <v>90.978360655737703</v>
      </c>
      <c r="L17" s="55">
        <v>37</v>
      </c>
      <c r="M17" s="56">
        <v>3366.1993442622952</v>
      </c>
      <c r="N17" s="57">
        <v>4198.3900000000003</v>
      </c>
      <c r="O17" s="57">
        <v>832.19065573770513</v>
      </c>
      <c r="P17" s="51">
        <v>0.24721965951189984</v>
      </c>
      <c r="Q17" s="58">
        <v>725</v>
      </c>
      <c r="R17" s="59">
        <v>80</v>
      </c>
      <c r="S17" s="51">
        <v>-0.29496783290737638</v>
      </c>
      <c r="T17" s="49">
        <v>140</v>
      </c>
      <c r="U17" s="51">
        <v>0.23380629241209139</v>
      </c>
      <c r="V17" s="141">
        <v>4.1999999999999997E-3</v>
      </c>
      <c r="W17" s="51">
        <v>-2.5492264416315802E-3</v>
      </c>
      <c r="X17" s="51">
        <v>-4.1476600777158312E-2</v>
      </c>
      <c r="Y17" s="51">
        <v>-8.4993145714055363E-2</v>
      </c>
      <c r="Z17" s="51">
        <v>0.14964539007092204</v>
      </c>
      <c r="AA17" s="51">
        <v>1.9039066008082584E-2</v>
      </c>
      <c r="AB17" s="123" t="s">
        <v>84</v>
      </c>
      <c r="AC17" s="63" t="s">
        <v>85</v>
      </c>
      <c r="AD17" s="63" t="s">
        <v>85</v>
      </c>
      <c r="AE17" s="49" t="s">
        <v>86</v>
      </c>
      <c r="AF17" s="49" t="s">
        <v>87</v>
      </c>
      <c r="AG17" s="49" t="s">
        <v>88</v>
      </c>
      <c r="AH17" s="67" t="s">
        <v>121</v>
      </c>
      <c r="AI17" s="67" t="s">
        <v>122</v>
      </c>
      <c r="AJ17" s="51"/>
      <c r="AK17" s="51"/>
      <c r="AL17" s="51"/>
      <c r="AM17" s="51" t="str">
        <f ca="1">IFERROR(__xludf.DUMMYFUNCTION("GoogleFinance(B17,""price"",DATE(2025,9,19))"),"Date")</f>
        <v>Date</v>
      </c>
      <c r="AN17" s="69" t="str">
        <f ca="1">IFERROR(__xludf.DUMMYFUNCTION("""COMPUTED_VALUE"""),"Close")</f>
        <v>Close</v>
      </c>
      <c r="AO17" s="51" t="str">
        <f ca="1">IFERROR(__xludf.DUMMYFUNCTION("GoogleFinance(B17,""price"",DATE(2025,8,29))"),"Date")</f>
        <v>Date</v>
      </c>
      <c r="AP17" s="69" t="str">
        <f ca="1">IFERROR(__xludf.DUMMYFUNCTION("""COMPUTED_VALUE"""),"Close")</f>
        <v>Close</v>
      </c>
      <c r="AQ17" s="51" t="str">
        <f ca="1">IFERROR(__xludf.DUMMYFUNCTION("GoogleFinance(B17,""price"",today()-93)"),"#N/A")</f>
        <v>#N/A</v>
      </c>
      <c r="AR17" s="69"/>
      <c r="AS17" s="51" t="str">
        <f ca="1">IFERROR(__xludf.DUMMYFUNCTION("GoogleFinance(B17,""price"",today()-184)"),"#N/A")</f>
        <v>#N/A</v>
      </c>
      <c r="AT17" s="69"/>
      <c r="AU17" s="70" t="str">
        <f ca="1">IFERROR(__xludf.DUMMYFUNCTION("GoogleFinance(B17,""price"",DATE(2024,12,31))"),"Date")</f>
        <v>Date</v>
      </c>
      <c r="AV17" s="69" t="str">
        <f ca="1">IFERROR(__xludf.DUMMYFUNCTION("""COMPUTED_VALUE"""),"Close")</f>
        <v>Close</v>
      </c>
      <c r="AW17" s="153"/>
      <c r="AX17" s="153"/>
      <c r="AY17" s="154"/>
      <c r="AZ17" s="154"/>
      <c r="BA17" s="154"/>
      <c r="BB17" s="154"/>
      <c r="BC17" s="154"/>
      <c r="BD17" s="154"/>
      <c r="BE17" s="154"/>
      <c r="BF17" s="154"/>
      <c r="BG17" s="154"/>
      <c r="BH17" s="154"/>
      <c r="BI17" s="153"/>
      <c r="BJ17" s="153"/>
      <c r="BK17" s="153"/>
      <c r="BL17" s="153"/>
      <c r="BM17" s="153"/>
      <c r="BN17" s="153"/>
      <c r="BO17" s="153"/>
      <c r="BP17" s="153"/>
      <c r="BQ17" s="153"/>
      <c r="BR17" s="153"/>
      <c r="BS17" s="154"/>
      <c r="BT17" s="154"/>
      <c r="BU17" s="154"/>
      <c r="BV17" s="154"/>
      <c r="BW17" s="154"/>
      <c r="BX17" s="154"/>
      <c r="BY17" s="154"/>
      <c r="BZ17" s="154"/>
      <c r="CA17" s="154"/>
    </row>
    <row r="18" spans="1:79" ht="13.2" hidden="1">
      <c r="A18" s="45" t="e">
        <f t="shared" si="1"/>
        <v>#REF!</v>
      </c>
      <c r="B18" s="46"/>
      <c r="C18" s="152"/>
      <c r="D18" s="48"/>
      <c r="E18" s="49"/>
      <c r="F18" s="49"/>
      <c r="G18" s="82"/>
      <c r="H18" s="51"/>
      <c r="I18" s="155"/>
      <c r="J18" s="53"/>
      <c r="K18" s="54"/>
      <c r="L18" s="49"/>
      <c r="M18" s="49"/>
      <c r="N18" s="156"/>
      <c r="O18" s="157"/>
      <c r="P18" s="158"/>
      <c r="Q18" s="159"/>
      <c r="R18" s="61"/>
      <c r="S18" s="51"/>
      <c r="T18" s="51"/>
      <c r="U18" s="51"/>
      <c r="V18" s="61" t="e">
        <v>#N/A</v>
      </c>
      <c r="W18" s="51" t="e">
        <v>#REF!</v>
      </c>
      <c r="X18" s="51" t="e">
        <v>#REF!</v>
      </c>
      <c r="Y18" s="51" t="e">
        <v>#REF!</v>
      </c>
      <c r="Z18" s="51" t="e">
        <v>#REF!</v>
      </c>
      <c r="AA18" s="51" t="e">
        <v>#REF!</v>
      </c>
      <c r="AB18" s="59" t="s">
        <v>91</v>
      </c>
      <c r="AC18" s="160"/>
      <c r="AD18" s="160"/>
      <c r="AE18" s="160"/>
      <c r="AF18" s="160"/>
      <c r="AG18" s="160"/>
      <c r="AH18" s="67"/>
      <c r="AI18" s="67"/>
      <c r="AJ18" s="51"/>
      <c r="AK18" s="51"/>
      <c r="AL18" s="51"/>
      <c r="AM18" s="82">
        <f ca="1">IFERROR(__xludf.DUMMYFUNCTION("""COMPUTED_VALUE"""),45919.6666666666)</f>
        <v>45919.666666666599</v>
      </c>
      <c r="AN18" s="69">
        <f ca="1">IFERROR(__xludf.DUMMYFUNCTION("""COMPUTED_VALUE"""),113.76)</f>
        <v>113.76</v>
      </c>
      <c r="AO18" s="82">
        <f ca="1">IFERROR(__xludf.DUMMYFUNCTION("""COMPUTED_VALUE"""),45898.6666666666)</f>
        <v>45898.666666666599</v>
      </c>
      <c r="AP18" s="69">
        <f ca="1">IFERROR(__xludf.DUMMYFUNCTION("""COMPUTED_VALUE"""),118.38)</f>
        <v>118.38</v>
      </c>
      <c r="AQ18" s="82"/>
      <c r="AR18" s="69"/>
      <c r="AS18" s="82"/>
      <c r="AT18" s="69"/>
      <c r="AU18" s="82">
        <f ca="1">IFERROR(__xludf.DUMMYFUNCTION("""COMPUTED_VALUE"""),45657.6666666666)</f>
        <v>45657.666666666599</v>
      </c>
      <c r="AV18" s="69">
        <f ca="1">IFERROR(__xludf.DUMMYFUNCTION("""COMPUTED_VALUE"""),111.35)</f>
        <v>111.35</v>
      </c>
      <c r="AW18" s="153"/>
      <c r="AX18" s="153"/>
      <c r="AY18" s="154"/>
      <c r="AZ18" s="154"/>
      <c r="BA18" s="154"/>
      <c r="BB18" s="154"/>
      <c r="BC18" s="154"/>
      <c r="BD18" s="154"/>
      <c r="BE18" s="154"/>
      <c r="BF18" s="153"/>
      <c r="BG18" s="153"/>
      <c r="BH18" s="153"/>
      <c r="BI18" s="153"/>
      <c r="BJ18" s="153"/>
      <c r="BK18" s="153"/>
      <c r="BL18" s="153"/>
      <c r="BM18" s="153"/>
      <c r="BN18" s="153"/>
      <c r="BO18" s="153"/>
      <c r="BP18" s="153"/>
      <c r="BQ18" s="153"/>
      <c r="BR18" s="153"/>
      <c r="BS18" s="154"/>
      <c r="BT18" s="154"/>
      <c r="BU18" s="154"/>
      <c r="BV18" s="154"/>
      <c r="BW18" s="154"/>
      <c r="BX18" s="154"/>
      <c r="BY18" s="154"/>
      <c r="BZ18" s="154"/>
      <c r="CA18" s="154"/>
    </row>
    <row r="19" spans="1:79" ht="28.8">
      <c r="A19" s="45">
        <f t="shared" si="1"/>
        <v>9</v>
      </c>
      <c r="B19" s="46" t="s">
        <v>123</v>
      </c>
      <c r="C19" s="152" t="str">
        <f ca="1">IFERROR(__xludf.DUMMYFUNCTION("GoogleFinance(B19,""name"")"),"America Movil SAB de CV")</f>
        <v>America Movil SAB de CV</v>
      </c>
      <c r="D19" s="48">
        <f ca="1">IFERROR(__xludf.DUMMYFUNCTION("GoogleFinance(B19,""marketcap"")/1000000"),62958.005902)</f>
        <v>62958.005901999997</v>
      </c>
      <c r="E19" s="49" t="s">
        <v>13</v>
      </c>
      <c r="F19" s="49" t="s">
        <v>83</v>
      </c>
      <c r="G19" s="82">
        <v>45378</v>
      </c>
      <c r="H19" s="51">
        <v>0.02</v>
      </c>
      <c r="I19" s="52">
        <f ca="1">N19/$M$84</f>
        <v>1.7799849229623469E-2</v>
      </c>
      <c r="J19" s="53">
        <v>20.86</v>
      </c>
      <c r="K19" s="54">
        <v>18.8</v>
      </c>
      <c r="L19" s="55">
        <v>127.6595744680851</v>
      </c>
      <c r="M19" s="56">
        <v>2400</v>
      </c>
      <c r="N19" s="57">
        <v>2662.9787234042551</v>
      </c>
      <c r="O19" s="57">
        <v>262.97872340425511</v>
      </c>
      <c r="P19" s="51">
        <v>0.10957446808510629</v>
      </c>
      <c r="Q19" s="58">
        <v>551</v>
      </c>
      <c r="R19" s="59">
        <v>13</v>
      </c>
      <c r="S19" s="51">
        <v>-0.37679769894534998</v>
      </c>
      <c r="T19" s="49">
        <v>30</v>
      </c>
      <c r="U19" s="51">
        <v>0.4381591562799616</v>
      </c>
      <c r="V19" s="141">
        <v>1.7600000000000001E-2</v>
      </c>
      <c r="W19" s="51">
        <v>3.4722222222222099E-2</v>
      </c>
      <c r="X19" s="51">
        <v>4.3521760880440352E-2</v>
      </c>
      <c r="Y19" s="51">
        <v>0.16276477146042345</v>
      </c>
      <c r="Z19" s="51">
        <v>0.46694796061884669</v>
      </c>
      <c r="AA19" s="51">
        <v>0.45772187281621224</v>
      </c>
      <c r="AB19" s="59" t="s">
        <v>93</v>
      </c>
      <c r="AC19" s="63" t="s">
        <v>93</v>
      </c>
      <c r="AD19" s="63" t="s">
        <v>85</v>
      </c>
      <c r="AE19" s="49" t="s">
        <v>86</v>
      </c>
      <c r="AF19" s="49" t="s">
        <v>95</v>
      </c>
      <c r="AG19" s="49" t="s">
        <v>100</v>
      </c>
      <c r="AH19" s="87" t="s">
        <v>124</v>
      </c>
      <c r="AI19" s="87" t="s">
        <v>125</v>
      </c>
      <c r="AJ19" s="51"/>
      <c r="AK19" s="51"/>
      <c r="AL19" s="51"/>
      <c r="AM19" s="51" t="str">
        <f ca="1">IFERROR(__xludf.DUMMYFUNCTION("GoogleFinance(B19,""price"",DATE(2025,9,19))"),"Date")</f>
        <v>Date</v>
      </c>
      <c r="AN19" s="69" t="str">
        <f ca="1">IFERROR(__xludf.DUMMYFUNCTION("""COMPUTED_VALUE"""),"Close")</f>
        <v>Close</v>
      </c>
      <c r="AO19" s="51" t="str">
        <f ca="1">IFERROR(__xludf.DUMMYFUNCTION("GoogleFinance(B19,""price"",DATE(2025,8,29))"),"Date")</f>
        <v>Date</v>
      </c>
      <c r="AP19" s="69" t="str">
        <f ca="1">IFERROR(__xludf.DUMMYFUNCTION("""COMPUTED_VALUE"""),"Close")</f>
        <v>Close</v>
      </c>
      <c r="AQ19" s="51" t="str">
        <f ca="1">IFERROR(__xludf.DUMMYFUNCTION("GoogleFinance(B19,""price"",today()-93)"),"#N/A")</f>
        <v>#N/A</v>
      </c>
      <c r="AR19" s="69"/>
      <c r="AS19" s="51" t="str">
        <f ca="1">IFERROR(__xludf.DUMMYFUNCTION("GoogleFinance(B19,""price"",today()-184)"),"#N/A")</f>
        <v>#N/A</v>
      </c>
      <c r="AT19" s="69"/>
      <c r="AU19" s="70" t="str">
        <f ca="1">IFERROR(__xludf.DUMMYFUNCTION("GoogleFinance(B19,""price"",DATE(2024,12,31))"),"Date")</f>
        <v>Date</v>
      </c>
      <c r="AV19" s="69" t="str">
        <f ca="1">IFERROR(__xludf.DUMMYFUNCTION("""COMPUTED_VALUE"""),"Close")</f>
        <v>Close</v>
      </c>
      <c r="AW19" s="153"/>
      <c r="AX19" s="153"/>
      <c r="AY19" s="154"/>
      <c r="AZ19" s="154"/>
      <c r="BA19" s="154"/>
      <c r="BB19" s="154"/>
      <c r="BC19" s="154"/>
      <c r="BD19" s="154"/>
      <c r="BE19" s="154"/>
      <c r="BF19" s="154"/>
      <c r="BG19" s="154"/>
      <c r="BH19" s="154"/>
      <c r="BI19" s="153"/>
      <c r="BJ19" s="153"/>
      <c r="BK19" s="153"/>
      <c r="BL19" s="153"/>
      <c r="BM19" s="153"/>
      <c r="BN19" s="153"/>
      <c r="BO19" s="153"/>
      <c r="BP19" s="153"/>
      <c r="BQ19" s="153"/>
      <c r="BR19" s="153"/>
      <c r="BS19" s="154"/>
      <c r="BT19" s="154"/>
      <c r="BU19" s="154"/>
      <c r="BV19" s="154"/>
      <c r="BW19" s="154"/>
      <c r="BX19" s="154"/>
      <c r="BY19" s="154"/>
      <c r="BZ19" s="154"/>
      <c r="CA19" s="154"/>
    </row>
    <row r="20" spans="1:79" ht="28.8" hidden="1">
      <c r="A20" s="45" t="e">
        <f t="shared" si="1"/>
        <v>#REF!</v>
      </c>
      <c r="B20" s="46"/>
      <c r="C20" s="152"/>
      <c r="D20" s="48"/>
      <c r="E20" s="49"/>
      <c r="F20" s="49"/>
      <c r="G20" s="82"/>
      <c r="H20" s="51"/>
      <c r="I20" s="155"/>
      <c r="J20" s="53"/>
      <c r="K20" s="54"/>
      <c r="L20" s="49"/>
      <c r="M20" s="49"/>
      <c r="N20" s="156"/>
      <c r="O20" s="157"/>
      <c r="P20" s="158"/>
      <c r="Q20" s="159"/>
      <c r="R20" s="61"/>
      <c r="S20" s="51"/>
      <c r="T20" s="51"/>
      <c r="U20" s="51"/>
      <c r="V20" s="61" t="e">
        <v>#N/A</v>
      </c>
      <c r="W20" s="51" t="e">
        <v>#REF!</v>
      </c>
      <c r="X20" s="51" t="e">
        <v>#REF!</v>
      </c>
      <c r="Y20" s="51" t="e">
        <v>#REF!</v>
      </c>
      <c r="Z20" s="51" t="e">
        <v>#REF!</v>
      </c>
      <c r="AA20" s="51" t="e">
        <v>#REF!</v>
      </c>
      <c r="AB20" s="59" t="s">
        <v>91</v>
      </c>
      <c r="AC20" s="160"/>
      <c r="AD20" s="160"/>
      <c r="AE20" s="160"/>
      <c r="AF20" s="160"/>
      <c r="AG20" s="160"/>
      <c r="AH20" s="67" t="s">
        <v>126</v>
      </c>
      <c r="AI20" s="67"/>
      <c r="AJ20" s="51"/>
      <c r="AK20" s="51"/>
      <c r="AL20" s="51"/>
      <c r="AM20" s="82">
        <f ca="1">IFERROR(__xludf.DUMMYFUNCTION("""COMPUTED_VALUE"""),45919.6666666666)</f>
        <v>45919.666666666599</v>
      </c>
      <c r="AN20" s="69">
        <f ca="1">IFERROR(__xludf.DUMMYFUNCTION("""COMPUTED_VALUE"""),20.16)</f>
        <v>20.16</v>
      </c>
      <c r="AO20" s="82">
        <f ca="1">IFERROR(__xludf.DUMMYFUNCTION("""COMPUTED_VALUE"""),45898.6666666666)</f>
        <v>45898.666666666599</v>
      </c>
      <c r="AP20" s="69">
        <f ca="1">IFERROR(__xludf.DUMMYFUNCTION("""COMPUTED_VALUE"""),19.99)</f>
        <v>19.989999999999998</v>
      </c>
      <c r="AQ20" s="82"/>
      <c r="AR20" s="69"/>
      <c r="AS20" s="82"/>
      <c r="AT20" s="69"/>
      <c r="AU20" s="82">
        <f ca="1">IFERROR(__xludf.DUMMYFUNCTION("""COMPUTED_VALUE"""),45657.6666666666)</f>
        <v>45657.666666666599</v>
      </c>
      <c r="AV20" s="69">
        <f ca="1">IFERROR(__xludf.DUMMYFUNCTION("""COMPUTED_VALUE"""),14.31)</f>
        <v>14.31</v>
      </c>
      <c r="AW20" s="153"/>
      <c r="AX20" s="153"/>
      <c r="AY20" s="154"/>
      <c r="AZ20" s="154"/>
      <c r="BA20" s="154"/>
      <c r="BB20" s="154"/>
      <c r="BC20" s="154"/>
      <c r="BD20" s="154"/>
      <c r="BE20" s="154"/>
      <c r="BF20" s="153"/>
      <c r="BG20" s="153"/>
      <c r="BH20" s="153"/>
      <c r="BI20" s="153"/>
      <c r="BJ20" s="153"/>
      <c r="BK20" s="153"/>
      <c r="BL20" s="153"/>
      <c r="BM20" s="153"/>
      <c r="BN20" s="153"/>
      <c r="BO20" s="153"/>
      <c r="BP20" s="153"/>
      <c r="BQ20" s="153"/>
      <c r="BR20" s="153"/>
      <c r="BS20" s="154"/>
      <c r="BT20" s="154"/>
      <c r="BU20" s="154"/>
      <c r="BV20" s="154"/>
      <c r="BW20" s="154"/>
      <c r="BX20" s="154"/>
      <c r="BY20" s="154"/>
      <c r="BZ20" s="154"/>
      <c r="CA20" s="154"/>
    </row>
    <row r="21" spans="1:79" ht="28.8">
      <c r="A21" s="45">
        <f t="shared" si="1"/>
        <v>10</v>
      </c>
      <c r="B21" s="46" t="s">
        <v>127</v>
      </c>
      <c r="C21" s="152" t="str">
        <f ca="1">IFERROR(__xludf.DUMMYFUNCTION("GoogleFinance(B21,""name"")"),"Tesla Inc")</f>
        <v>Tesla Inc</v>
      </c>
      <c r="D21" s="48">
        <f ca="1">IFERROR(__xludf.DUMMYFUNCTION("GoogleFinance(B21,""marketcap"")/1000000"),1379980.168874)</f>
        <v>1379980.168874</v>
      </c>
      <c r="E21" s="49" t="s">
        <v>128</v>
      </c>
      <c r="F21" s="49" t="s">
        <v>129</v>
      </c>
      <c r="G21" s="82">
        <v>45699</v>
      </c>
      <c r="H21" s="51">
        <v>0.02</v>
      </c>
      <c r="I21" s="52">
        <f ca="1">N21/$M$84</f>
        <v>3.5353215891296697E-2</v>
      </c>
      <c r="J21" s="53">
        <v>440.4</v>
      </c>
      <c r="K21" s="54">
        <v>299</v>
      </c>
      <c r="L21" s="55">
        <v>12.009722922894561</v>
      </c>
      <c r="M21" s="56">
        <v>3590.9071539454735</v>
      </c>
      <c r="N21" s="57">
        <v>5289.0819752427642</v>
      </c>
      <c r="O21" s="57">
        <v>1698.1748212972907</v>
      </c>
      <c r="P21" s="51">
        <v>0.47290969899665547</v>
      </c>
      <c r="Q21" s="58">
        <v>230</v>
      </c>
      <c r="R21" s="59">
        <v>210</v>
      </c>
      <c r="S21" s="51">
        <v>-0.52316076294277924</v>
      </c>
      <c r="T21" s="49">
        <v>410</v>
      </c>
      <c r="U21" s="51">
        <v>-6.9028156221616621E-2</v>
      </c>
      <c r="V21" s="61">
        <v>4.0199999999999993E-2</v>
      </c>
      <c r="W21" s="51">
        <v>3.3632971108033871E-2</v>
      </c>
      <c r="X21" s="51">
        <v>0.3190762871776438</v>
      </c>
      <c r="Y21" s="51">
        <v>0.38638796197191949</v>
      </c>
      <c r="Z21" s="51">
        <v>0.69933631733292145</v>
      </c>
      <c r="AA21" s="51">
        <v>9.0530903328050805E-2</v>
      </c>
      <c r="AB21" s="59" t="s">
        <v>91</v>
      </c>
      <c r="AC21" s="63" t="s">
        <v>94</v>
      </c>
      <c r="AD21" s="63" t="s">
        <v>94</v>
      </c>
      <c r="AE21" s="49" t="s">
        <v>86</v>
      </c>
      <c r="AF21" s="49" t="s">
        <v>95</v>
      </c>
      <c r="AG21" s="49" t="s">
        <v>100</v>
      </c>
      <c r="AH21" s="151" t="s">
        <v>130</v>
      </c>
      <c r="AI21" s="151" t="s">
        <v>131</v>
      </c>
      <c r="AJ21" s="51"/>
      <c r="AK21" s="51"/>
      <c r="AL21" s="51"/>
      <c r="AM21" s="51" t="str">
        <f ca="1">IFERROR(__xludf.DUMMYFUNCTION("GoogleFinance(B21,""price"",DATE(2025,9,19))"),"Date")</f>
        <v>Date</v>
      </c>
      <c r="AN21" s="69" t="str">
        <f ca="1">IFERROR(__xludf.DUMMYFUNCTION("""COMPUTED_VALUE"""),"Close")</f>
        <v>Close</v>
      </c>
      <c r="AO21" s="51" t="str">
        <f ca="1">IFERROR(__xludf.DUMMYFUNCTION("GoogleFinance(B21,""price"",DATE(2025,8,29))"),"Date")</f>
        <v>Date</v>
      </c>
      <c r="AP21" s="69" t="str">
        <f ca="1">IFERROR(__xludf.DUMMYFUNCTION("""COMPUTED_VALUE"""),"Close")</f>
        <v>Close</v>
      </c>
      <c r="AQ21" s="51" t="str">
        <f ca="1">IFERROR(__xludf.DUMMYFUNCTION("GoogleFinance(B21,""price"",today()-93)"),"#N/A")</f>
        <v>#N/A</v>
      </c>
      <c r="AR21" s="69"/>
      <c r="AS21" s="51" t="str">
        <f ca="1">IFERROR(__xludf.DUMMYFUNCTION("GoogleFinance(B21,""price"",today()-184)"),"#N/A")</f>
        <v>#N/A</v>
      </c>
      <c r="AT21" s="69"/>
      <c r="AU21" s="70" t="str">
        <f ca="1">IFERROR(__xludf.DUMMYFUNCTION("GoogleFinance(B21,""price"",DATE(2024,12,31))"),"Date")</f>
        <v>Date</v>
      </c>
      <c r="AV21" s="69" t="str">
        <f ca="1">IFERROR(__xludf.DUMMYFUNCTION("""COMPUTED_VALUE"""),"Close")</f>
        <v>Close</v>
      </c>
      <c r="AW21" s="153"/>
      <c r="AX21" s="153"/>
      <c r="AY21" s="154"/>
      <c r="AZ21" s="154"/>
      <c r="BA21" s="154"/>
      <c r="BB21" s="154"/>
      <c r="BC21" s="154"/>
      <c r="BD21" s="154"/>
      <c r="BE21" s="154"/>
      <c r="BF21" s="154"/>
      <c r="BG21" s="154"/>
      <c r="BH21" s="154"/>
      <c r="BI21" s="153"/>
      <c r="BJ21" s="153"/>
      <c r="BK21" s="153"/>
      <c r="BL21" s="153"/>
      <c r="BM21" s="153"/>
      <c r="BN21" s="153"/>
      <c r="BO21" s="153"/>
      <c r="BP21" s="153"/>
      <c r="BQ21" s="153"/>
      <c r="BR21" s="153"/>
      <c r="BS21" s="154"/>
      <c r="BT21" s="154"/>
      <c r="BU21" s="154"/>
      <c r="BV21" s="154"/>
      <c r="BW21" s="154"/>
      <c r="BX21" s="154"/>
      <c r="BY21" s="154"/>
      <c r="BZ21" s="154"/>
      <c r="CA21" s="154"/>
    </row>
    <row r="22" spans="1:79" ht="13.2" hidden="1">
      <c r="A22" s="45" t="e">
        <f>#REF!+1</f>
        <v>#REF!</v>
      </c>
      <c r="B22" s="161"/>
      <c r="C22" s="162"/>
      <c r="D22" s="162"/>
      <c r="E22" s="161"/>
      <c r="F22" s="161"/>
      <c r="G22" s="163"/>
      <c r="H22" s="79"/>
      <c r="I22" s="164"/>
      <c r="J22" s="161"/>
      <c r="K22" s="165"/>
      <c r="L22" s="161"/>
      <c r="M22" s="161"/>
      <c r="N22" s="161"/>
      <c r="O22" s="78"/>
      <c r="P22" s="79"/>
      <c r="Q22" s="166"/>
      <c r="R22" s="79"/>
      <c r="S22" s="79"/>
      <c r="T22" s="79"/>
      <c r="U22" s="166"/>
      <c r="V22" s="70" t="e">
        <v>#N/A</v>
      </c>
      <c r="W22" s="70" t="e">
        <v>#REF!</v>
      </c>
      <c r="X22" s="70" t="e">
        <v>#REF!</v>
      </c>
      <c r="Y22" s="70" t="e">
        <v>#REF!</v>
      </c>
      <c r="Z22" s="70" t="e">
        <v>#REF!</v>
      </c>
      <c r="AA22" s="167" t="e">
        <v>#REF!</v>
      </c>
      <c r="AB22" s="59" t="s">
        <v>91</v>
      </c>
      <c r="AC22" s="79"/>
      <c r="AD22" s="79"/>
      <c r="AE22" s="79"/>
      <c r="AF22" s="79"/>
      <c r="AG22" s="79"/>
      <c r="AH22" s="87"/>
      <c r="AI22" s="87"/>
      <c r="AJ22" s="79"/>
      <c r="AK22" s="79"/>
      <c r="AL22" s="79"/>
      <c r="AM22" s="168">
        <f ca="1">IFERROR(__xludf.DUMMYFUNCTION("""COMPUTED_VALUE"""),45919.6666666666)</f>
        <v>45919.666666666599</v>
      </c>
      <c r="AN22" s="83">
        <f ca="1">IFERROR(__xludf.DUMMYFUNCTION("""COMPUTED_VALUE"""),426.07)</f>
        <v>426.07</v>
      </c>
      <c r="AO22" s="168">
        <f ca="1">IFERROR(__xludf.DUMMYFUNCTION("""COMPUTED_VALUE"""),45898.6666666666)</f>
        <v>45898.666666666599</v>
      </c>
      <c r="AP22" s="83">
        <f ca="1">IFERROR(__xludf.DUMMYFUNCTION("""COMPUTED_VALUE"""),333.87)</f>
        <v>333.87</v>
      </c>
      <c r="AQ22" s="168"/>
      <c r="AR22" s="83"/>
      <c r="AS22" s="168"/>
      <c r="AT22" s="83"/>
      <c r="AU22" s="168">
        <f ca="1">IFERROR(__xludf.DUMMYFUNCTION("""COMPUTED_VALUE"""),45657.6666666666)</f>
        <v>45657.666666666599</v>
      </c>
      <c r="AV22" s="83">
        <f ca="1">IFERROR(__xludf.DUMMYFUNCTION("""COMPUTED_VALUE"""),403.84)</f>
        <v>403.84</v>
      </c>
      <c r="AW22" s="161"/>
      <c r="AX22" s="161"/>
      <c r="AY22" s="72"/>
      <c r="AZ22" s="72"/>
      <c r="BA22" s="72"/>
      <c r="BB22" s="72"/>
      <c r="BC22" s="72"/>
      <c r="BD22" s="72"/>
      <c r="BE22" s="72"/>
      <c r="BF22" s="161"/>
      <c r="BG22" s="161"/>
      <c r="BH22" s="161"/>
      <c r="BI22" s="161"/>
      <c r="BJ22" s="161"/>
      <c r="BK22" s="161"/>
      <c r="BL22" s="161"/>
      <c r="BM22" s="161"/>
      <c r="BN22" s="161"/>
      <c r="BO22" s="161"/>
      <c r="BP22" s="161"/>
      <c r="BQ22" s="161"/>
      <c r="BR22" s="161"/>
      <c r="BS22" s="72"/>
      <c r="BT22" s="72"/>
      <c r="BU22" s="72"/>
      <c r="BV22" s="72"/>
      <c r="BW22" s="72"/>
      <c r="BX22" s="72"/>
      <c r="BY22" s="72"/>
      <c r="BZ22" s="72"/>
      <c r="CA22" s="72"/>
    </row>
    <row r="23" spans="1:79" ht="28.8">
      <c r="A23" s="45">
        <f t="shared" ref="A23:A27" si="2">A21+1</f>
        <v>11</v>
      </c>
      <c r="B23" s="46" t="s">
        <v>132</v>
      </c>
      <c r="C23" s="152" t="str">
        <f ca="1">IFERROR(__xludf.DUMMYFUNCTION("GoogleFinance(B23,""name"")"),"MercadoLibre Inc")</f>
        <v>MercadoLibre Inc</v>
      </c>
      <c r="D23" s="48">
        <f ca="1">IFERROR(__xludf.DUMMYFUNCTION("GoogleFinance(B23,""marketcap"")/1000000"),125142.37341)</f>
        <v>125142.37341</v>
      </c>
      <c r="E23" s="49" t="s">
        <v>128</v>
      </c>
      <c r="F23" s="49" t="s">
        <v>24</v>
      </c>
      <c r="G23" s="82">
        <v>45884</v>
      </c>
      <c r="H23" s="51">
        <v>0.02</v>
      </c>
      <c r="I23" s="52">
        <f ca="1">N23/$M$84</f>
        <v>1.6342764077108572E-2</v>
      </c>
      <c r="J23" s="53">
        <v>2468.42</v>
      </c>
      <c r="K23" s="54">
        <v>2423</v>
      </c>
      <c r="L23" s="55">
        <v>0.99050763516302109</v>
      </c>
      <c r="M23" s="56">
        <v>2400</v>
      </c>
      <c r="N23" s="57">
        <v>2444.9888567891044</v>
      </c>
      <c r="O23" s="57">
        <v>44.988856789104375</v>
      </c>
      <c r="P23" s="51">
        <v>1.8745356995460094E-2</v>
      </c>
      <c r="Q23" s="58">
        <v>45</v>
      </c>
      <c r="R23" s="59"/>
      <c r="S23" s="51">
        <v>-1</v>
      </c>
      <c r="T23" s="49">
        <v>3300</v>
      </c>
      <c r="U23" s="51">
        <v>0.33688756370471795</v>
      </c>
      <c r="V23" s="61">
        <v>-9.5999999999999992E-3</v>
      </c>
      <c r="W23" s="51">
        <v>6.5570026994625774E-3</v>
      </c>
      <c r="X23" s="51">
        <v>-1.8156746505129107E-3</v>
      </c>
      <c r="Y23" s="51">
        <v>-5.5558743969115754E-2</v>
      </c>
      <c r="Z23" s="51">
        <v>0.26529189541076548</v>
      </c>
      <c r="AA23" s="51">
        <v>0.45163604714074013</v>
      </c>
      <c r="AB23" s="59" t="s">
        <v>84</v>
      </c>
      <c r="AC23" s="63" t="s">
        <v>85</v>
      </c>
      <c r="AD23" s="63" t="s">
        <v>85</v>
      </c>
      <c r="AE23" s="49" t="s">
        <v>86</v>
      </c>
      <c r="AF23" s="49" t="s">
        <v>95</v>
      </c>
      <c r="AG23" s="49" t="s">
        <v>88</v>
      </c>
      <c r="AH23" s="67" t="s">
        <v>133</v>
      </c>
      <c r="AI23" s="67" t="s">
        <v>134</v>
      </c>
      <c r="AJ23" s="51"/>
      <c r="AK23" s="51"/>
      <c r="AL23" s="51"/>
      <c r="AM23" s="51" t="str">
        <f ca="1">IFERROR(__xludf.DUMMYFUNCTION("GoogleFinance(B23,""price"",DATE(2025,9,19))"),"Date")</f>
        <v>Date</v>
      </c>
      <c r="AN23" s="69" t="str">
        <f ca="1">IFERROR(__xludf.DUMMYFUNCTION("""COMPUTED_VALUE"""),"Close")</f>
        <v>Close</v>
      </c>
      <c r="AO23" s="51" t="str">
        <f ca="1">IFERROR(__xludf.DUMMYFUNCTION("GoogleFinance(B23,""price"",DATE(2025,8,29))"),"Date")</f>
        <v>Date</v>
      </c>
      <c r="AP23" s="69" t="str">
        <f ca="1">IFERROR(__xludf.DUMMYFUNCTION("""COMPUTED_VALUE"""),"Close")</f>
        <v>Close</v>
      </c>
      <c r="AQ23" s="51" t="str">
        <f ca="1">IFERROR(__xludf.DUMMYFUNCTION("GoogleFinance(B23,""price"",today()-93)"),"#N/A")</f>
        <v>#N/A</v>
      </c>
      <c r="AR23" s="69"/>
      <c r="AS23" s="51" t="str">
        <f ca="1">IFERROR(__xludf.DUMMYFUNCTION("GoogleFinance(B23,""price"",today()-184)"),"#N/A")</f>
        <v>#N/A</v>
      </c>
      <c r="AT23" s="69"/>
      <c r="AU23" s="70" t="str">
        <f ca="1">IFERROR(__xludf.DUMMYFUNCTION("GoogleFinance(B23,""price"",DATE(2024,12,31))"),"Date")</f>
        <v>Date</v>
      </c>
      <c r="AV23" s="69" t="str">
        <f ca="1">IFERROR(__xludf.DUMMYFUNCTION("""COMPUTED_VALUE"""),"Close")</f>
        <v>Close</v>
      </c>
      <c r="AW23" s="153"/>
      <c r="AX23" s="153"/>
      <c r="AY23" s="154"/>
      <c r="AZ23" s="154"/>
      <c r="BA23" s="154"/>
      <c r="BB23" s="154"/>
      <c r="BC23" s="154"/>
      <c r="BD23" s="154"/>
      <c r="BE23" s="154"/>
      <c r="BF23" s="154"/>
      <c r="BG23" s="154"/>
      <c r="BH23" s="154"/>
      <c r="BI23" s="153"/>
      <c r="BJ23" s="153"/>
      <c r="BK23" s="153"/>
      <c r="BL23" s="153"/>
      <c r="BM23" s="153"/>
      <c r="BN23" s="153"/>
      <c r="BO23" s="153"/>
      <c r="BP23" s="153"/>
      <c r="BQ23" s="153"/>
      <c r="BR23" s="153"/>
      <c r="BS23" s="154"/>
      <c r="BT23" s="154"/>
      <c r="BU23" s="154"/>
      <c r="BV23" s="154"/>
      <c r="BW23" s="154"/>
      <c r="BX23" s="154"/>
      <c r="BY23" s="154"/>
      <c r="BZ23" s="154"/>
      <c r="CA23" s="154"/>
    </row>
    <row r="24" spans="1:79" ht="13.2" hidden="1">
      <c r="A24" s="89" t="e">
        <f t="shared" si="2"/>
        <v>#REF!</v>
      </c>
      <c r="B24" s="169"/>
      <c r="C24" s="170"/>
      <c r="D24" s="170"/>
      <c r="E24" s="169"/>
      <c r="F24" s="169"/>
      <c r="G24" s="171"/>
      <c r="H24" s="98"/>
      <c r="I24" s="172"/>
      <c r="J24" s="169"/>
      <c r="K24" s="173"/>
      <c r="L24" s="169"/>
      <c r="M24" s="169"/>
      <c r="N24" s="169"/>
      <c r="O24" s="97"/>
      <c r="P24" s="98"/>
      <c r="Q24" s="174"/>
      <c r="R24" s="98"/>
      <c r="S24" s="98"/>
      <c r="T24" s="98"/>
      <c r="U24" s="174"/>
      <c r="V24" s="175" t="e">
        <v>#N/A</v>
      </c>
      <c r="W24" s="175" t="e">
        <v>#REF!</v>
      </c>
      <c r="X24" s="175" t="e">
        <v>#REF!</v>
      </c>
      <c r="Y24" s="175" t="e">
        <v>#REF!</v>
      </c>
      <c r="Z24" s="175" t="e">
        <v>#REF!</v>
      </c>
      <c r="AA24" s="176" t="e">
        <v>#REF!</v>
      </c>
      <c r="AB24" s="103" t="s">
        <v>91</v>
      </c>
      <c r="AC24" s="98"/>
      <c r="AD24" s="98"/>
      <c r="AE24" s="98"/>
      <c r="AF24" s="98"/>
      <c r="AG24" s="98"/>
      <c r="AH24" s="177"/>
      <c r="AI24" s="177"/>
      <c r="AJ24" s="98"/>
      <c r="AK24" s="98"/>
      <c r="AL24" s="98"/>
      <c r="AM24" s="178">
        <f ca="1">IFERROR(__xludf.DUMMYFUNCTION("""COMPUTED_VALUE"""),45919.6666666666)</f>
        <v>45919.666666666599</v>
      </c>
      <c r="AN24" s="106">
        <f ca="1">IFERROR(__xludf.DUMMYFUNCTION("""COMPUTED_VALUE"""),2452.34)</f>
        <v>2452.34</v>
      </c>
      <c r="AO24" s="178">
        <f ca="1">IFERROR(__xludf.DUMMYFUNCTION("""COMPUTED_VALUE"""),45898.6666666666)</f>
        <v>45898.666666666599</v>
      </c>
      <c r="AP24" s="106">
        <f ca="1">IFERROR(__xludf.DUMMYFUNCTION("""COMPUTED_VALUE"""),2472.91)</f>
        <v>2472.91</v>
      </c>
      <c r="AQ24" s="178"/>
      <c r="AR24" s="106"/>
      <c r="AS24" s="178"/>
      <c r="AT24" s="106"/>
      <c r="AU24" s="178">
        <f ca="1">IFERROR(__xludf.DUMMYFUNCTION("""COMPUTED_VALUE"""),45657.6666666666)</f>
        <v>45657.666666666599</v>
      </c>
      <c r="AV24" s="106">
        <f ca="1">IFERROR(__xludf.DUMMYFUNCTION("""COMPUTED_VALUE"""),1700.44)</f>
        <v>1700.44</v>
      </c>
      <c r="AW24" s="169"/>
      <c r="AX24" s="169"/>
      <c r="AY24" s="107"/>
      <c r="AZ24" s="107"/>
      <c r="BA24" s="107"/>
      <c r="BB24" s="107"/>
      <c r="BC24" s="107"/>
      <c r="BD24" s="107"/>
      <c r="BE24" s="107"/>
      <c r="BF24" s="169"/>
      <c r="BG24" s="169"/>
      <c r="BH24" s="169"/>
      <c r="BI24" s="169"/>
      <c r="BJ24" s="169"/>
      <c r="BK24" s="169"/>
      <c r="BL24" s="169"/>
      <c r="BM24" s="169"/>
      <c r="BN24" s="169"/>
      <c r="BO24" s="169"/>
      <c r="BP24" s="169"/>
      <c r="BQ24" s="169"/>
      <c r="BR24" s="169"/>
      <c r="BS24" s="107"/>
      <c r="BT24" s="107"/>
      <c r="BU24" s="107"/>
      <c r="BV24" s="107"/>
      <c r="BW24" s="107"/>
      <c r="BX24" s="107"/>
      <c r="BY24" s="107"/>
      <c r="BZ24" s="107"/>
      <c r="CA24" s="107"/>
    </row>
    <row r="25" spans="1:79" ht="13.2">
      <c r="A25" s="45">
        <f t="shared" si="2"/>
        <v>12</v>
      </c>
      <c r="B25" s="46" t="s">
        <v>135</v>
      </c>
      <c r="C25" s="152" t="str">
        <f ca="1">IFERROR(__xludf.DUMMYFUNCTION("GoogleFinance(B25,""name"")"),"JD.Com Inc")</f>
        <v>JD.Com Inc</v>
      </c>
      <c r="D25" s="48">
        <f ca="1">IFERROR(__xludf.DUMMYFUNCTION("GoogleFinance(B25,""marketcap"")/1000000"),434343.351207)</f>
        <v>434343.35120700003</v>
      </c>
      <c r="E25" s="49" t="s">
        <v>128</v>
      </c>
      <c r="F25" s="49" t="s">
        <v>24</v>
      </c>
      <c r="G25" s="82">
        <v>45919</v>
      </c>
      <c r="H25" s="51">
        <v>0.04</v>
      </c>
      <c r="I25" s="52">
        <f ca="1">N25/$M$84</f>
        <v>3.8811411582236569E-2</v>
      </c>
      <c r="J25" s="53">
        <v>34.5</v>
      </c>
      <c r="K25" s="54">
        <v>35.65</v>
      </c>
      <c r="L25" s="55">
        <v>168.30294530154279</v>
      </c>
      <c r="M25" s="56">
        <v>6000</v>
      </c>
      <c r="N25" s="57">
        <v>5806.4516129032263</v>
      </c>
      <c r="O25" s="57">
        <v>-193.54838709677369</v>
      </c>
      <c r="P25" s="51">
        <v>-3.2258064516129004E-2</v>
      </c>
      <c r="Q25" s="58">
        <v>10</v>
      </c>
      <c r="R25" s="59">
        <v>27</v>
      </c>
      <c r="S25" s="51">
        <v>-0.21739130434782605</v>
      </c>
      <c r="T25" s="49">
        <v>68.7</v>
      </c>
      <c r="U25" s="51">
        <v>0.99130434782608701</v>
      </c>
      <c r="V25" s="61">
        <v>-1.9099999999999999E-2</v>
      </c>
      <c r="W25" s="51">
        <v>-1.7094017094017144E-2</v>
      </c>
      <c r="X25" s="51">
        <v>0.11039588027035729</v>
      </c>
      <c r="Y25" s="51">
        <v>5.6985294117646967E-2</v>
      </c>
      <c r="Z25" s="51">
        <v>-0.16099221789883267</v>
      </c>
      <c r="AA25" s="51">
        <v>-4.9033746755120511E-3</v>
      </c>
      <c r="AB25" s="59" t="s">
        <v>84</v>
      </c>
      <c r="AC25" s="63" t="s">
        <v>85</v>
      </c>
      <c r="AD25" s="63" t="s">
        <v>85</v>
      </c>
      <c r="AE25" s="49" t="s">
        <v>86</v>
      </c>
      <c r="AF25" s="49" t="s">
        <v>95</v>
      </c>
      <c r="AG25" s="49" t="s">
        <v>88</v>
      </c>
      <c r="AH25" s="67"/>
      <c r="AI25" s="67"/>
      <c r="AJ25" s="51"/>
      <c r="AK25" s="51"/>
      <c r="AL25" s="51"/>
      <c r="AM25" s="51" t="str">
        <f ca="1">IFERROR(__xludf.DUMMYFUNCTION("GoogleFinance(B25,""price"",DATE(2025,9,19))"),"Date")</f>
        <v>Date</v>
      </c>
      <c r="AN25" s="69" t="str">
        <f ca="1">IFERROR(__xludf.DUMMYFUNCTION("""COMPUTED_VALUE"""),"Close")</f>
        <v>Close</v>
      </c>
      <c r="AO25" s="51" t="str">
        <f ca="1">IFERROR(__xludf.DUMMYFUNCTION("GoogleFinance(B25,""price"",DATE(2025,8,29))"),"Date")</f>
        <v>Date</v>
      </c>
      <c r="AP25" s="69" t="str">
        <f ca="1">IFERROR(__xludf.DUMMYFUNCTION("""COMPUTED_VALUE"""),"Close")</f>
        <v>Close</v>
      </c>
      <c r="AQ25" s="51" t="str">
        <f ca="1">IFERROR(__xludf.DUMMYFUNCTION("GoogleFinance(B25,""price"",today()-93)"),"#N/A")</f>
        <v>#N/A</v>
      </c>
      <c r="AR25" s="69"/>
      <c r="AS25" s="51" t="str">
        <f ca="1">IFERROR(__xludf.DUMMYFUNCTION("GoogleFinance(B25,""price"",today()-184)"),"#N/A")</f>
        <v>#N/A</v>
      </c>
      <c r="AT25" s="69"/>
      <c r="AU25" s="70" t="str">
        <f ca="1">IFERROR(__xludf.DUMMYFUNCTION("GoogleFinance(B25,""price"",DATE(2024,12,31))"),"Date")</f>
        <v>Date</v>
      </c>
      <c r="AV25" s="69" t="str">
        <f ca="1">IFERROR(__xludf.DUMMYFUNCTION("""COMPUTED_VALUE"""),"Close")</f>
        <v>Close</v>
      </c>
      <c r="AW25" s="153"/>
      <c r="AX25" s="153"/>
      <c r="AY25" s="154"/>
      <c r="AZ25" s="154"/>
      <c r="BA25" s="154"/>
      <c r="BB25" s="154"/>
      <c r="BC25" s="154"/>
      <c r="BD25" s="154"/>
      <c r="BE25" s="154"/>
      <c r="BF25" s="154"/>
      <c r="BG25" s="154"/>
      <c r="BH25" s="154"/>
      <c r="BI25" s="153"/>
      <c r="BJ25" s="153"/>
      <c r="BK25" s="153"/>
      <c r="BL25" s="153"/>
      <c r="BM25" s="153"/>
      <c r="BN25" s="153"/>
      <c r="BO25" s="153"/>
      <c r="BP25" s="153"/>
      <c r="BQ25" s="153"/>
      <c r="BR25" s="153"/>
      <c r="BS25" s="154"/>
      <c r="BT25" s="154"/>
      <c r="BU25" s="154"/>
      <c r="BV25" s="154"/>
      <c r="BW25" s="154"/>
      <c r="BX25" s="154"/>
      <c r="BY25" s="154"/>
      <c r="BZ25" s="154"/>
      <c r="CA25" s="154"/>
    </row>
    <row r="26" spans="1:79" ht="13.2" hidden="1">
      <c r="A26" s="89" t="e">
        <f t="shared" si="2"/>
        <v>#REF!</v>
      </c>
      <c r="B26" s="169"/>
      <c r="C26" s="170"/>
      <c r="D26" s="170"/>
      <c r="E26" s="169"/>
      <c r="F26" s="169"/>
      <c r="G26" s="171"/>
      <c r="H26" s="98"/>
      <c r="I26" s="172"/>
      <c r="J26" s="169"/>
      <c r="K26" s="173"/>
      <c r="L26" s="169"/>
      <c r="M26" s="169"/>
      <c r="N26" s="169"/>
      <c r="O26" s="97"/>
      <c r="P26" s="98"/>
      <c r="Q26" s="174"/>
      <c r="R26" s="98"/>
      <c r="S26" s="98"/>
      <c r="T26" s="98"/>
      <c r="U26" s="174"/>
      <c r="V26" s="175" t="e">
        <v>#N/A</v>
      </c>
      <c r="W26" s="175" t="e">
        <v>#REF!</v>
      </c>
      <c r="X26" s="175" t="e">
        <v>#REF!</v>
      </c>
      <c r="Y26" s="175" t="e">
        <v>#REF!</v>
      </c>
      <c r="Z26" s="175" t="e">
        <v>#REF!</v>
      </c>
      <c r="AA26" s="176" t="e">
        <v>#REF!</v>
      </c>
      <c r="AB26" s="103" t="s">
        <v>91</v>
      </c>
      <c r="AC26" s="98"/>
      <c r="AD26" s="98"/>
      <c r="AE26" s="98"/>
      <c r="AF26" s="98"/>
      <c r="AG26" s="98"/>
      <c r="AH26" s="177"/>
      <c r="AI26" s="177"/>
      <c r="AJ26" s="98"/>
      <c r="AK26" s="98"/>
      <c r="AL26" s="98"/>
      <c r="AM26" s="178">
        <f ca="1">IFERROR(__xludf.DUMMYFUNCTION("""COMPUTED_VALUE"""),45919.6666666666)</f>
        <v>45919.666666666599</v>
      </c>
      <c r="AN26" s="106">
        <f ca="1">IFERROR(__xludf.DUMMYFUNCTION("""COMPUTED_VALUE"""),35.1)</f>
        <v>35.1</v>
      </c>
      <c r="AO26" s="178">
        <f ca="1">IFERROR(__xludf.DUMMYFUNCTION("""COMPUTED_VALUE"""),45898.6666666666)</f>
        <v>45898.666666666599</v>
      </c>
      <c r="AP26" s="106">
        <f ca="1">IFERROR(__xludf.DUMMYFUNCTION("""COMPUTED_VALUE"""),31.07)</f>
        <v>31.07</v>
      </c>
      <c r="AQ26" s="178"/>
      <c r="AR26" s="106"/>
      <c r="AS26" s="178"/>
      <c r="AT26" s="106"/>
      <c r="AU26" s="178">
        <f ca="1">IFERROR(__xludf.DUMMYFUNCTION("""COMPUTED_VALUE"""),45657.6666666666)</f>
        <v>45657.666666666599</v>
      </c>
      <c r="AV26" s="106">
        <f ca="1">IFERROR(__xludf.DUMMYFUNCTION("""COMPUTED_VALUE"""),34.67)</f>
        <v>34.67</v>
      </c>
      <c r="AW26" s="169"/>
      <c r="AX26" s="169"/>
      <c r="AY26" s="107"/>
      <c r="AZ26" s="107"/>
      <c r="BA26" s="107"/>
      <c r="BB26" s="107"/>
      <c r="BC26" s="107"/>
      <c r="BD26" s="107"/>
      <c r="BE26" s="107"/>
      <c r="BF26" s="169"/>
      <c r="BG26" s="169"/>
      <c r="BH26" s="169"/>
      <c r="BI26" s="169"/>
      <c r="BJ26" s="169"/>
      <c r="BK26" s="169"/>
      <c r="BL26" s="169"/>
      <c r="BM26" s="169"/>
      <c r="BN26" s="169"/>
      <c r="BO26" s="169"/>
      <c r="BP26" s="169"/>
      <c r="BQ26" s="169"/>
      <c r="BR26" s="169"/>
      <c r="BS26" s="107"/>
      <c r="BT26" s="107"/>
      <c r="BU26" s="107"/>
      <c r="BV26" s="107"/>
      <c r="BW26" s="107"/>
      <c r="BX26" s="107"/>
      <c r="BY26" s="107"/>
      <c r="BZ26" s="107"/>
      <c r="CA26" s="107"/>
    </row>
    <row r="27" spans="1:79" ht="28.8">
      <c r="A27" s="45">
        <f t="shared" si="2"/>
        <v>13</v>
      </c>
      <c r="B27" s="46" t="s">
        <v>136</v>
      </c>
      <c r="C27" s="152" t="str">
        <f ca="1">IFERROR(__xludf.DUMMYFUNCTION("GoogleFinance(B27,""name"")"),"Nike Inc")</f>
        <v>Nike Inc</v>
      </c>
      <c r="D27" s="48">
        <f ca="1">IFERROR(__xludf.DUMMYFUNCTION("GoogleFinance(B27,""marketcap"")/1000000"),102364.143324)</f>
        <v>102364.143324</v>
      </c>
      <c r="E27" s="49" t="s">
        <v>128</v>
      </c>
      <c r="F27" s="49" t="s">
        <v>137</v>
      </c>
      <c r="G27" s="82">
        <v>45761</v>
      </c>
      <c r="H27" s="51">
        <v>0.02</v>
      </c>
      <c r="I27" s="52">
        <f ca="1">N27/$M$84</f>
        <v>2.5130514733360244E-2</v>
      </c>
      <c r="J27" s="53">
        <v>69.31</v>
      </c>
      <c r="K27" s="54">
        <v>55.305000000000007</v>
      </c>
      <c r="L27" s="55">
        <v>54.244643341470024</v>
      </c>
      <c r="M27" s="56">
        <v>3000</v>
      </c>
      <c r="N27" s="57">
        <v>3759.6962299972874</v>
      </c>
      <c r="O27" s="57">
        <v>759.69622999728745</v>
      </c>
      <c r="P27" s="51">
        <v>0.25323207666576253</v>
      </c>
      <c r="Q27" s="58">
        <v>168</v>
      </c>
      <c r="R27" s="59"/>
      <c r="S27" s="51">
        <v>-1</v>
      </c>
      <c r="T27" s="49">
        <v>95</v>
      </c>
      <c r="U27" s="51">
        <v>0.3706535853412205</v>
      </c>
      <c r="V27" s="61">
        <v>1E-3</v>
      </c>
      <c r="W27" s="51">
        <v>-2.2288051911412032E-2</v>
      </c>
      <c r="X27" s="51">
        <v>-0.10417474473310073</v>
      </c>
      <c r="Y27" s="51">
        <v>-2.4352477477477485E-2</v>
      </c>
      <c r="Z27" s="51">
        <v>9.1839949590422298E-2</v>
      </c>
      <c r="AA27" s="51">
        <v>-8.4049160829919423E-2</v>
      </c>
      <c r="AB27" s="59" t="s">
        <v>93</v>
      </c>
      <c r="AC27" s="63" t="s">
        <v>93</v>
      </c>
      <c r="AD27" s="63" t="s">
        <v>85</v>
      </c>
      <c r="AE27" s="49" t="s">
        <v>86</v>
      </c>
      <c r="AF27" s="49" t="s">
        <v>95</v>
      </c>
      <c r="AG27" s="49" t="s">
        <v>100</v>
      </c>
      <c r="AH27" s="87" t="s">
        <v>138</v>
      </c>
      <c r="AI27" s="87" t="s">
        <v>139</v>
      </c>
      <c r="AJ27" s="51"/>
      <c r="AK27" s="51"/>
      <c r="AL27" s="51"/>
      <c r="AM27" s="51" t="str">
        <f ca="1">IFERROR(__xludf.DUMMYFUNCTION("GoogleFinance(B27,""price"",DATE(2025,9,19))"),"Date")</f>
        <v>Date</v>
      </c>
      <c r="AN27" s="69" t="str">
        <f ca="1">IFERROR(__xludf.DUMMYFUNCTION("""COMPUTED_VALUE"""),"Close")</f>
        <v>Close</v>
      </c>
      <c r="AO27" s="51" t="str">
        <f ca="1">IFERROR(__xludf.DUMMYFUNCTION("GoogleFinance(B27,""price"",DATE(2025,8,29))"),"Date")</f>
        <v>Date</v>
      </c>
      <c r="AP27" s="69" t="str">
        <f ca="1">IFERROR(__xludf.DUMMYFUNCTION("""COMPUTED_VALUE"""),"Close")</f>
        <v>Close</v>
      </c>
      <c r="AQ27" s="51" t="str">
        <f ca="1">IFERROR(__xludf.DUMMYFUNCTION("GoogleFinance(B27,""price"",today()-93)"),"#N/A")</f>
        <v>#N/A</v>
      </c>
      <c r="AR27" s="69"/>
      <c r="AS27" s="51" t="str">
        <f ca="1">IFERROR(__xludf.DUMMYFUNCTION("GoogleFinance(B27,""price"",today()-184)"),"#N/A")</f>
        <v>#N/A</v>
      </c>
      <c r="AT27" s="69"/>
      <c r="AU27" s="70" t="str">
        <f ca="1">IFERROR(__xludf.DUMMYFUNCTION("GoogleFinance(B27,""price"",DATE(2024,12,31))"),"Date")</f>
        <v>Date</v>
      </c>
      <c r="AV27" s="69" t="str">
        <f ca="1">IFERROR(__xludf.DUMMYFUNCTION("""COMPUTED_VALUE"""),"Close")</f>
        <v>Close</v>
      </c>
      <c r="AW27" s="153"/>
      <c r="AX27" s="153"/>
      <c r="AY27" s="154"/>
      <c r="AZ27" s="154"/>
      <c r="BA27" s="154"/>
      <c r="BB27" s="154"/>
      <c r="BC27" s="154"/>
      <c r="BD27" s="154"/>
      <c r="BE27" s="154"/>
      <c r="BF27" s="154"/>
      <c r="BG27" s="154"/>
      <c r="BH27" s="154"/>
      <c r="BI27" s="153"/>
      <c r="BJ27" s="153"/>
      <c r="BK27" s="153"/>
      <c r="BL27" s="153"/>
      <c r="BM27" s="153"/>
      <c r="BN27" s="153"/>
      <c r="BO27" s="153"/>
      <c r="BP27" s="153"/>
      <c r="BQ27" s="153"/>
      <c r="BR27" s="153"/>
      <c r="BS27" s="154"/>
      <c r="BT27" s="154"/>
      <c r="BU27" s="154"/>
      <c r="BV27" s="154"/>
      <c r="BW27" s="154"/>
      <c r="BX27" s="154"/>
      <c r="BY27" s="154"/>
      <c r="BZ27" s="154"/>
      <c r="CA27" s="154"/>
    </row>
    <row r="28" spans="1:79" ht="13.2" hidden="1">
      <c r="A28" s="45" t="e">
        <f>A24+1</f>
        <v>#REF!</v>
      </c>
      <c r="B28" s="169"/>
      <c r="C28" s="170"/>
      <c r="D28" s="170"/>
      <c r="E28" s="169"/>
      <c r="F28" s="169"/>
      <c r="G28" s="171"/>
      <c r="H28" s="98"/>
      <c r="I28" s="172"/>
      <c r="J28" s="169"/>
      <c r="K28" s="173"/>
      <c r="L28" s="169"/>
      <c r="M28" s="169"/>
      <c r="N28" s="169"/>
      <c r="O28" s="97"/>
      <c r="P28" s="98"/>
      <c r="Q28" s="174"/>
      <c r="R28" s="98"/>
      <c r="S28" s="98"/>
      <c r="T28" s="98"/>
      <c r="U28" s="174"/>
      <c r="V28" s="175" t="e">
        <v>#N/A</v>
      </c>
      <c r="W28" s="175" t="e">
        <v>#REF!</v>
      </c>
      <c r="X28" s="175" t="e">
        <v>#REF!</v>
      </c>
      <c r="Y28" s="175" t="e">
        <v>#REF!</v>
      </c>
      <c r="Z28" s="175" t="e">
        <v>#REF!</v>
      </c>
      <c r="AA28" s="176" t="e">
        <v>#REF!</v>
      </c>
      <c r="AB28" s="103" t="s">
        <v>91</v>
      </c>
      <c r="AC28" s="98"/>
      <c r="AD28" s="98"/>
      <c r="AE28" s="98"/>
      <c r="AF28" s="98"/>
      <c r="AG28" s="98"/>
      <c r="AH28" s="177"/>
      <c r="AI28" s="177"/>
      <c r="AJ28" s="98"/>
      <c r="AK28" s="98"/>
      <c r="AL28" s="98"/>
      <c r="AM28" s="178">
        <f ca="1">IFERROR(__xludf.DUMMYFUNCTION("""COMPUTED_VALUE"""),45919.6666666666)</f>
        <v>45919.666666666599</v>
      </c>
      <c r="AN28" s="106">
        <f ca="1">IFERROR(__xludf.DUMMYFUNCTION("""COMPUTED_VALUE"""),70.89)</f>
        <v>70.89</v>
      </c>
      <c r="AO28" s="178">
        <f ca="1">IFERROR(__xludf.DUMMYFUNCTION("""COMPUTED_VALUE"""),45898.6666666666)</f>
        <v>45898.666666666599</v>
      </c>
      <c r="AP28" s="106">
        <f ca="1">IFERROR(__xludf.DUMMYFUNCTION("""COMPUTED_VALUE"""),77.37)</f>
        <v>77.37</v>
      </c>
      <c r="AQ28" s="178"/>
      <c r="AR28" s="106"/>
      <c r="AS28" s="178"/>
      <c r="AT28" s="106"/>
      <c r="AU28" s="178">
        <f ca="1">IFERROR(__xludf.DUMMYFUNCTION("""COMPUTED_VALUE"""),45657.6666666666)</f>
        <v>45657.666666666599</v>
      </c>
      <c r="AV28" s="106">
        <f ca="1">IFERROR(__xludf.DUMMYFUNCTION("""COMPUTED_VALUE"""),75.67)</f>
        <v>75.67</v>
      </c>
      <c r="AW28" s="169"/>
      <c r="AX28" s="169"/>
      <c r="AY28" s="107"/>
      <c r="AZ28" s="107"/>
      <c r="BA28" s="107"/>
      <c r="BB28" s="107"/>
      <c r="BC28" s="107"/>
      <c r="BD28" s="107"/>
      <c r="BE28" s="107"/>
      <c r="BF28" s="169"/>
      <c r="BG28" s="169"/>
      <c r="BH28" s="169"/>
      <c r="BI28" s="169"/>
      <c r="BJ28" s="169"/>
      <c r="BK28" s="169"/>
      <c r="BL28" s="169"/>
      <c r="BM28" s="169"/>
      <c r="BN28" s="169"/>
      <c r="BO28" s="169"/>
      <c r="BP28" s="169"/>
      <c r="BQ28" s="169"/>
      <c r="BR28" s="169"/>
      <c r="BS28" s="107"/>
      <c r="BT28" s="107"/>
      <c r="BU28" s="107"/>
      <c r="BV28" s="107"/>
      <c r="BW28" s="107"/>
      <c r="BX28" s="107"/>
      <c r="BY28" s="107"/>
      <c r="BZ28" s="107"/>
      <c r="CA28" s="107"/>
    </row>
    <row r="29" spans="1:79" ht="38.4">
      <c r="A29" s="45">
        <f t="shared" ref="A29:A33" si="3">A27+1</f>
        <v>14</v>
      </c>
      <c r="B29" s="46" t="s">
        <v>140</v>
      </c>
      <c r="C29" s="152" t="str">
        <f ca="1">IFERROR(__xludf.DUMMYFUNCTION("GoogleFinance(B29,""name"")"),"Petroleo Brasileiro ADR Reptg 2 Ord Shs")</f>
        <v>Petroleo Brasileiro ADR Reptg 2 Ord Shs</v>
      </c>
      <c r="D29" s="48">
        <f ca="1">IFERROR(__xludf.DUMMYFUNCTION("GoogleFinance(B29,""marketcap"")/1000000"),436725.63)</f>
        <v>436725.63</v>
      </c>
      <c r="E29" s="49" t="s">
        <v>15</v>
      </c>
      <c r="F29" s="49" t="s">
        <v>141</v>
      </c>
      <c r="G29" s="82">
        <v>45785</v>
      </c>
      <c r="H29" s="51">
        <v>0.03</v>
      </c>
      <c r="I29" s="52">
        <f ca="1">N29/$M$84</f>
        <v>3.0568882715479678E-2</v>
      </c>
      <c r="J29" s="53">
        <v>13.08</v>
      </c>
      <c r="K29" s="54">
        <v>11.903615257014422</v>
      </c>
      <c r="L29" s="55">
        <v>349.64167693066742</v>
      </c>
      <c r="M29" s="56">
        <v>4162</v>
      </c>
      <c r="N29" s="57">
        <v>4573.3131342531296</v>
      </c>
      <c r="O29" s="57">
        <v>411.31313425312965</v>
      </c>
      <c r="P29" s="51">
        <v>9.8825837158368568E-2</v>
      </c>
      <c r="Q29" s="58">
        <v>144</v>
      </c>
      <c r="R29" s="59">
        <v>9</v>
      </c>
      <c r="S29" s="51">
        <v>-0.31192660550458717</v>
      </c>
      <c r="T29" s="49">
        <v>21</v>
      </c>
      <c r="U29" s="51">
        <v>0.60550458715596323</v>
      </c>
      <c r="V29" s="61">
        <v>-2.3E-3</v>
      </c>
      <c r="W29" s="51">
        <v>3.6450079239302768E-2</v>
      </c>
      <c r="X29" s="51">
        <v>5.4838709677419439E-2</v>
      </c>
      <c r="Y29" s="51">
        <v>4.5563549160671402E-2</v>
      </c>
      <c r="Z29" s="51">
        <v>-8.786610878661083E-2</v>
      </c>
      <c r="AA29" s="51">
        <v>1.7107309486780853E-2</v>
      </c>
      <c r="AB29" s="59" t="s">
        <v>84</v>
      </c>
      <c r="AC29" s="63" t="s">
        <v>85</v>
      </c>
      <c r="AD29" s="63" t="s">
        <v>85</v>
      </c>
      <c r="AE29" s="49" t="s">
        <v>142</v>
      </c>
      <c r="AF29" s="49" t="s">
        <v>95</v>
      </c>
      <c r="AG29" s="49" t="s">
        <v>100</v>
      </c>
      <c r="AH29" s="67" t="s">
        <v>143</v>
      </c>
      <c r="AI29" s="67" t="s">
        <v>144</v>
      </c>
      <c r="AJ29" s="51"/>
      <c r="AK29" s="51"/>
      <c r="AL29" s="51"/>
      <c r="AM29" s="51" t="str">
        <f ca="1">IFERROR(__xludf.DUMMYFUNCTION("GoogleFinance(B29,""price"",DATE(2025,9,19))"),"Date")</f>
        <v>Date</v>
      </c>
      <c r="AN29" s="69" t="str">
        <f ca="1">IFERROR(__xludf.DUMMYFUNCTION("""COMPUTED_VALUE"""),"Close")</f>
        <v>Close</v>
      </c>
      <c r="AO29" s="51" t="str">
        <f ca="1">IFERROR(__xludf.DUMMYFUNCTION("GoogleFinance(B29,""price"",DATE(2025,8,29))"),"Date")</f>
        <v>Date</v>
      </c>
      <c r="AP29" s="69" t="str">
        <f ca="1">IFERROR(__xludf.DUMMYFUNCTION("""COMPUTED_VALUE"""),"Close")</f>
        <v>Close</v>
      </c>
      <c r="AQ29" s="51" t="str">
        <f ca="1">IFERROR(__xludf.DUMMYFUNCTION("GoogleFinance(B29,""price"",today()-93)"),"#N/A")</f>
        <v>#N/A</v>
      </c>
      <c r="AR29" s="69"/>
      <c r="AS29" s="51" t="str">
        <f ca="1">IFERROR(__xludf.DUMMYFUNCTION("GoogleFinance(B29,""price"",today()-184)"),"#N/A")</f>
        <v>#N/A</v>
      </c>
      <c r="AT29" s="69"/>
      <c r="AU29" s="70" t="str">
        <f ca="1">IFERROR(__xludf.DUMMYFUNCTION("GoogleFinance(B29,""price"",DATE(2024,12,31))"),"Date")</f>
        <v>Date</v>
      </c>
      <c r="AV29" s="69" t="str">
        <f ca="1">IFERROR(__xludf.DUMMYFUNCTION("""COMPUTED_VALUE"""),"Close")</f>
        <v>Close</v>
      </c>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4"/>
      <c r="BT29" s="154"/>
      <c r="BU29" s="154"/>
      <c r="BV29" s="154"/>
      <c r="BW29" s="154"/>
      <c r="BX29" s="154"/>
      <c r="BY29" s="154"/>
      <c r="BZ29" s="154"/>
      <c r="CA29" s="154"/>
    </row>
    <row r="30" spans="1:79" ht="13.2" hidden="1">
      <c r="A30" s="45" t="e">
        <f t="shared" si="3"/>
        <v>#REF!</v>
      </c>
      <c r="B30" s="161"/>
      <c r="C30" s="162"/>
      <c r="D30" s="162"/>
      <c r="E30" s="161"/>
      <c r="F30" s="161"/>
      <c r="G30" s="163"/>
      <c r="H30" s="79"/>
      <c r="I30" s="164"/>
      <c r="J30" s="161"/>
      <c r="K30" s="165"/>
      <c r="L30" s="161"/>
      <c r="M30" s="161"/>
      <c r="N30" s="161"/>
      <c r="O30" s="78"/>
      <c r="P30" s="79"/>
      <c r="Q30" s="166"/>
      <c r="R30" s="79"/>
      <c r="S30" s="79"/>
      <c r="T30" s="79"/>
      <c r="U30" s="166"/>
      <c r="V30" s="70" t="e">
        <v>#N/A</v>
      </c>
      <c r="W30" s="70" t="e">
        <v>#REF!</v>
      </c>
      <c r="X30" s="70" t="e">
        <v>#REF!</v>
      </c>
      <c r="Y30" s="70" t="e">
        <v>#REF!</v>
      </c>
      <c r="Z30" s="70" t="e">
        <v>#REF!</v>
      </c>
      <c r="AA30" s="167" t="e">
        <v>#REF!</v>
      </c>
      <c r="AB30" s="59" t="s">
        <v>91</v>
      </c>
      <c r="AC30" s="79"/>
      <c r="AD30" s="79"/>
      <c r="AE30" s="79"/>
      <c r="AF30" s="79"/>
      <c r="AG30" s="79"/>
      <c r="AH30" s="87"/>
      <c r="AI30" s="87"/>
      <c r="AJ30" s="79"/>
      <c r="AK30" s="79"/>
      <c r="AL30" s="79"/>
      <c r="AM30" s="168">
        <f ca="1">IFERROR(__xludf.DUMMYFUNCTION("""COMPUTED_VALUE"""),45919.6666666666)</f>
        <v>45919.666666666599</v>
      </c>
      <c r="AN30" s="83">
        <f ca="1">IFERROR(__xludf.DUMMYFUNCTION("""COMPUTED_VALUE"""),12.62)</f>
        <v>12.62</v>
      </c>
      <c r="AO30" s="168">
        <f ca="1">IFERROR(__xludf.DUMMYFUNCTION("""COMPUTED_VALUE"""),45898.6666666666)</f>
        <v>45898.666666666599</v>
      </c>
      <c r="AP30" s="83">
        <f ca="1">IFERROR(__xludf.DUMMYFUNCTION("""COMPUTED_VALUE"""),12.4)</f>
        <v>12.4</v>
      </c>
      <c r="AQ30" s="168"/>
      <c r="AR30" s="83"/>
      <c r="AS30" s="168"/>
      <c r="AT30" s="83"/>
      <c r="AU30" s="168">
        <f ca="1">IFERROR(__xludf.DUMMYFUNCTION("""COMPUTED_VALUE"""),45657.6666666666)</f>
        <v>45657.666666666599</v>
      </c>
      <c r="AV30" s="83">
        <f ca="1">IFERROR(__xludf.DUMMYFUNCTION("""COMPUTED_VALUE"""),12.86)</f>
        <v>12.86</v>
      </c>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72"/>
      <c r="BT30" s="72"/>
      <c r="BU30" s="72"/>
      <c r="BV30" s="72"/>
      <c r="BW30" s="72"/>
      <c r="BX30" s="72"/>
      <c r="BY30" s="72"/>
      <c r="BZ30" s="72"/>
      <c r="CA30" s="72"/>
    </row>
    <row r="31" spans="1:79" ht="38.4">
      <c r="A31" s="45">
        <f t="shared" si="3"/>
        <v>15</v>
      </c>
      <c r="B31" s="46" t="s">
        <v>145</v>
      </c>
      <c r="C31" s="152" t="str">
        <f ca="1">IFERROR(__xludf.DUMMYFUNCTION("GoogleFinance(B31,""name"")"),"Vista Energy SAB de CV - ADR")</f>
        <v>Vista Energy SAB de CV - ADR</v>
      </c>
      <c r="D31" s="48">
        <f ca="1">IFERROR(__xludf.DUMMYFUNCTION("GoogleFinance(B31,""marketcap"")/1000000"),3769.846995)</f>
        <v>3769.8469949999999</v>
      </c>
      <c r="E31" s="49" t="s">
        <v>15</v>
      </c>
      <c r="F31" s="49" t="s">
        <v>141</v>
      </c>
      <c r="G31" s="82">
        <v>45909</v>
      </c>
      <c r="H31" s="51">
        <v>0.02</v>
      </c>
      <c r="I31" s="52">
        <f ca="1">N31/$M$84</f>
        <v>2.3310873909833239E-2</v>
      </c>
      <c r="J31" s="53">
        <v>36.17</v>
      </c>
      <c r="K31" s="54">
        <v>36.299999999999997</v>
      </c>
      <c r="L31" s="55">
        <v>96.418732782369148</v>
      </c>
      <c r="M31" s="56">
        <v>3500</v>
      </c>
      <c r="N31" s="57">
        <v>3487.4655647382924</v>
      </c>
      <c r="O31" s="57">
        <v>-12.534435261707586</v>
      </c>
      <c r="P31" s="51">
        <v>-3.5812672176307458E-3</v>
      </c>
      <c r="Q31" s="58">
        <v>20</v>
      </c>
      <c r="R31" s="59">
        <v>30</v>
      </c>
      <c r="S31" s="51">
        <v>-0.17058335637268462</v>
      </c>
      <c r="T31" s="49">
        <v>72</v>
      </c>
      <c r="U31" s="51">
        <v>0.9905999447055569</v>
      </c>
      <c r="V31" s="61">
        <v>-2.3199999999999998E-2</v>
      </c>
      <c r="W31" s="51">
        <v>7.3293768545994009E-2</v>
      </c>
      <c r="X31" s="51">
        <v>-7.2088250384812591E-2</v>
      </c>
      <c r="Y31" s="51">
        <v>-0.2434637105208115</v>
      </c>
      <c r="Z31" s="51">
        <v>-0.2231529209621993</v>
      </c>
      <c r="AA31" s="51">
        <v>-0.33154684901127329</v>
      </c>
      <c r="AB31" s="59" t="s">
        <v>84</v>
      </c>
      <c r="AC31" s="63" t="s">
        <v>85</v>
      </c>
      <c r="AD31" s="63" t="s">
        <v>85</v>
      </c>
      <c r="AE31" s="49" t="s">
        <v>142</v>
      </c>
      <c r="AF31" s="49" t="s">
        <v>95</v>
      </c>
      <c r="AG31" s="49" t="s">
        <v>100</v>
      </c>
      <c r="AH31" s="67" t="s">
        <v>146</v>
      </c>
      <c r="AI31" s="67" t="s">
        <v>147</v>
      </c>
      <c r="AJ31" s="51"/>
      <c r="AK31" s="51"/>
      <c r="AL31" s="51"/>
      <c r="AM31" s="51" t="str">
        <f ca="1">IFERROR(__xludf.DUMMYFUNCTION("GoogleFinance(B31,""price"",DATE(2025,9,19))"),"Date")</f>
        <v>Date</v>
      </c>
      <c r="AN31" s="69" t="str">
        <f ca="1">IFERROR(__xludf.DUMMYFUNCTION("""COMPUTED_VALUE"""),"Close")</f>
        <v>Close</v>
      </c>
      <c r="AO31" s="51" t="str">
        <f ca="1">IFERROR(__xludf.DUMMYFUNCTION("GoogleFinance(B31,""price"",DATE(2025,8,29))"),"Date")</f>
        <v>Date</v>
      </c>
      <c r="AP31" s="69" t="str">
        <f ca="1">IFERROR(__xludf.DUMMYFUNCTION("""COMPUTED_VALUE"""),"Close")</f>
        <v>Close</v>
      </c>
      <c r="AQ31" s="51" t="str">
        <f ca="1">IFERROR(__xludf.DUMMYFUNCTION("GoogleFinance(B31,""price"",today()-93)"),"#N/A")</f>
        <v>#N/A</v>
      </c>
      <c r="AR31" s="69"/>
      <c r="AS31" s="51" t="str">
        <f ca="1">IFERROR(__xludf.DUMMYFUNCTION("GoogleFinance(B31,""price"",today()-184)"),"#N/A")</f>
        <v>#N/A</v>
      </c>
      <c r="AT31" s="69"/>
      <c r="AU31" s="70" t="str">
        <f ca="1">IFERROR(__xludf.DUMMYFUNCTION("GoogleFinance(B31,""price"",DATE(2024,12,31))"),"Date")</f>
        <v>Date</v>
      </c>
      <c r="AV31" s="69" t="str">
        <f ca="1">IFERROR(__xludf.DUMMYFUNCTION("""COMPUTED_VALUE"""),"Close")</f>
        <v>Close</v>
      </c>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4"/>
      <c r="BT31" s="154"/>
      <c r="BU31" s="154"/>
      <c r="BV31" s="154"/>
      <c r="BW31" s="154"/>
      <c r="BX31" s="154"/>
      <c r="BY31" s="154"/>
      <c r="BZ31" s="154"/>
      <c r="CA31" s="154"/>
    </row>
    <row r="32" spans="1:79" ht="13.2" hidden="1">
      <c r="A32" s="89" t="e">
        <f t="shared" si="3"/>
        <v>#REF!</v>
      </c>
      <c r="B32" s="169"/>
      <c r="C32" s="170"/>
      <c r="D32" s="170"/>
      <c r="E32" s="169"/>
      <c r="F32" s="169"/>
      <c r="G32" s="171"/>
      <c r="H32" s="98"/>
      <c r="I32" s="172"/>
      <c r="J32" s="169"/>
      <c r="K32" s="173"/>
      <c r="L32" s="169"/>
      <c r="M32" s="169"/>
      <c r="N32" s="169"/>
      <c r="O32" s="97"/>
      <c r="P32" s="98"/>
      <c r="Q32" s="174"/>
      <c r="R32" s="98"/>
      <c r="S32" s="98"/>
      <c r="T32" s="98"/>
      <c r="U32" s="174"/>
      <c r="V32" s="175" t="e">
        <v>#N/A</v>
      </c>
      <c r="W32" s="175" t="e">
        <v>#REF!</v>
      </c>
      <c r="X32" s="175" t="e">
        <v>#REF!</v>
      </c>
      <c r="Y32" s="175" t="e">
        <v>#REF!</v>
      </c>
      <c r="Z32" s="175" t="e">
        <v>#REF!</v>
      </c>
      <c r="AA32" s="176" t="e">
        <v>#REF!</v>
      </c>
      <c r="AB32" s="103" t="s">
        <v>91</v>
      </c>
      <c r="AC32" s="98"/>
      <c r="AD32" s="98"/>
      <c r="AE32" s="98"/>
      <c r="AF32" s="98"/>
      <c r="AG32" s="98"/>
      <c r="AH32" s="177"/>
      <c r="AI32" s="177"/>
      <c r="AJ32" s="98"/>
      <c r="AK32" s="98"/>
      <c r="AL32" s="98"/>
      <c r="AM32" s="178">
        <f ca="1">IFERROR(__xludf.DUMMYFUNCTION("""COMPUTED_VALUE"""),45919.6666666666)</f>
        <v>45919.666666666599</v>
      </c>
      <c r="AN32" s="106">
        <f ca="1">IFERROR(__xludf.DUMMYFUNCTION("""COMPUTED_VALUE"""),33.7)</f>
        <v>33.700000000000003</v>
      </c>
      <c r="AO32" s="178">
        <f ca="1">IFERROR(__xludf.DUMMYFUNCTION("""COMPUTED_VALUE"""),45898.6666666666)</f>
        <v>45898.666666666599</v>
      </c>
      <c r="AP32" s="106">
        <f ca="1">IFERROR(__xludf.DUMMYFUNCTION("""COMPUTED_VALUE"""),38.98)</f>
        <v>38.979999999999997</v>
      </c>
      <c r="AQ32" s="178"/>
      <c r="AR32" s="106"/>
      <c r="AS32" s="178"/>
      <c r="AT32" s="106"/>
      <c r="AU32" s="178">
        <f ca="1">IFERROR(__xludf.DUMMYFUNCTION("""COMPUTED_VALUE"""),45657.6666666666)</f>
        <v>45657.666666666599</v>
      </c>
      <c r="AV32" s="106">
        <f ca="1">IFERROR(__xludf.DUMMYFUNCTION("""COMPUTED_VALUE"""),54.11)</f>
        <v>54.11</v>
      </c>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07"/>
      <c r="BT32" s="107"/>
      <c r="BU32" s="107"/>
      <c r="BV32" s="107"/>
      <c r="BW32" s="107"/>
      <c r="BX32" s="107"/>
      <c r="BY32" s="107"/>
      <c r="BZ32" s="107"/>
      <c r="CA32" s="107"/>
    </row>
    <row r="33" spans="1:79" ht="28.8">
      <c r="A33" s="45">
        <f t="shared" si="3"/>
        <v>16</v>
      </c>
      <c r="B33" s="46" t="s">
        <v>148</v>
      </c>
      <c r="C33" s="152" t="str">
        <f ca="1">IFERROR(__xludf.DUMMYFUNCTION("GoogleFinance(B33,""name"")"),"Itau Unibanco Holding SA ADR")</f>
        <v>Itau Unibanco Holding SA ADR</v>
      </c>
      <c r="D33" s="48">
        <f ca="1">IFERROR(__xludf.DUMMYFUNCTION("GoogleFinance(B33,""marketcap"")/1000000"),393250.679379)</f>
        <v>393250.67937899998</v>
      </c>
      <c r="E33" s="49" t="s">
        <v>14</v>
      </c>
      <c r="F33" s="49" t="s">
        <v>21</v>
      </c>
      <c r="G33" s="82">
        <v>45427</v>
      </c>
      <c r="H33" s="51">
        <v>0.02</v>
      </c>
      <c r="I33" s="52">
        <f ca="1">N33/$M$84</f>
        <v>1.729780790992597E-2</v>
      </c>
      <c r="J33" s="53">
        <v>7.24</v>
      </c>
      <c r="K33" s="54">
        <v>5.94</v>
      </c>
      <c r="L33" s="55">
        <v>357.44059686967796</v>
      </c>
      <c r="M33" s="56">
        <v>2123.1971454058871</v>
      </c>
      <c r="N33" s="57">
        <v>2587.8699213364685</v>
      </c>
      <c r="O33" s="57">
        <v>464.67277593058134</v>
      </c>
      <c r="P33" s="51">
        <v>0.21885521885521886</v>
      </c>
      <c r="Q33" s="58">
        <v>502</v>
      </c>
      <c r="R33" s="59">
        <v>4.7</v>
      </c>
      <c r="S33" s="51">
        <v>-0.350828729281768</v>
      </c>
      <c r="T33" s="49">
        <v>7</v>
      </c>
      <c r="U33" s="51">
        <v>-3.3149171270718258E-2</v>
      </c>
      <c r="V33" s="61">
        <v>5.6000000000000008E-3</v>
      </c>
      <c r="W33" s="51">
        <v>-1.2278308321964526E-2</v>
      </c>
      <c r="X33" s="51">
        <v>1.4005602240896531E-2</v>
      </c>
      <c r="Y33" s="51">
        <v>6.6273932253313683E-2</v>
      </c>
      <c r="Z33" s="51">
        <v>0.3163636363636364</v>
      </c>
      <c r="AA33" s="51">
        <v>0.60532150776053228</v>
      </c>
      <c r="AB33" s="59" t="s">
        <v>93</v>
      </c>
      <c r="AC33" s="63" t="s">
        <v>93</v>
      </c>
      <c r="AD33" s="63" t="s">
        <v>85</v>
      </c>
      <c r="AE33" s="49" t="s">
        <v>142</v>
      </c>
      <c r="AF33" s="49" t="s">
        <v>95</v>
      </c>
      <c r="AG33" s="49" t="s">
        <v>100</v>
      </c>
      <c r="AH33" s="87" t="s">
        <v>149</v>
      </c>
      <c r="AI33" s="87" t="s">
        <v>150</v>
      </c>
      <c r="AJ33" s="179"/>
      <c r="AK33" s="51"/>
      <c r="AL33" s="51"/>
      <c r="AM33" s="51" t="str">
        <f ca="1">IFERROR(__xludf.DUMMYFUNCTION("GoogleFinance(B33,""price"",DATE(2025,9,19))"),"Date")</f>
        <v>Date</v>
      </c>
      <c r="AN33" s="69" t="str">
        <f ca="1">IFERROR(__xludf.DUMMYFUNCTION("""COMPUTED_VALUE"""),"Close")</f>
        <v>Close</v>
      </c>
      <c r="AO33" s="51" t="str">
        <f ca="1">IFERROR(__xludf.DUMMYFUNCTION("GoogleFinance(B33,""price"",DATE(2025,8,29))"),"Date")</f>
        <v>Date</v>
      </c>
      <c r="AP33" s="69" t="str">
        <f ca="1">IFERROR(__xludf.DUMMYFUNCTION("""COMPUTED_VALUE"""),"Close")</f>
        <v>Close</v>
      </c>
      <c r="AQ33" s="51" t="str">
        <f ca="1">IFERROR(__xludf.DUMMYFUNCTION("GoogleFinance(B33,""price"",today()-93)"),"#N/A")</f>
        <v>#N/A</v>
      </c>
      <c r="AR33" s="69"/>
      <c r="AS33" s="51" t="str">
        <f ca="1">IFERROR(__xludf.DUMMYFUNCTION("GoogleFinance(B33,""price"",today()-184)"),"#N/A")</f>
        <v>#N/A</v>
      </c>
      <c r="AT33" s="69"/>
      <c r="AU33" s="70" t="str">
        <f ca="1">IFERROR(__xludf.DUMMYFUNCTION("GoogleFinance(B33,""price"",DATE(2024,12,31))"),"Date")</f>
        <v>Date</v>
      </c>
      <c r="AV33" s="69" t="str">
        <f ca="1">IFERROR(__xludf.DUMMYFUNCTION("""COMPUTED_VALUE"""),"Close")</f>
        <v>Close</v>
      </c>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4"/>
      <c r="BT33" s="154"/>
      <c r="BU33" s="154"/>
      <c r="BV33" s="154"/>
      <c r="BW33" s="154"/>
      <c r="BX33" s="154"/>
      <c r="BY33" s="154"/>
      <c r="BZ33" s="154"/>
      <c r="CA33" s="154"/>
    </row>
    <row r="34" spans="1:79" ht="13.2" hidden="1">
      <c r="A34" s="45" t="e">
        <f>#REF!+1</f>
        <v>#REF!</v>
      </c>
      <c r="B34" s="169"/>
      <c r="C34" s="170"/>
      <c r="D34" s="170"/>
      <c r="E34" s="169"/>
      <c r="F34" s="169"/>
      <c r="G34" s="171"/>
      <c r="H34" s="98"/>
      <c r="I34" s="172"/>
      <c r="J34" s="169"/>
      <c r="K34" s="173"/>
      <c r="L34" s="169"/>
      <c r="M34" s="169"/>
      <c r="N34" s="169"/>
      <c r="O34" s="97"/>
      <c r="P34" s="98"/>
      <c r="Q34" s="174"/>
      <c r="R34" s="98"/>
      <c r="S34" s="98"/>
      <c r="T34" s="98"/>
      <c r="U34" s="174"/>
      <c r="V34" s="175" t="e">
        <v>#N/A</v>
      </c>
      <c r="W34" s="175" t="e">
        <v>#REF!</v>
      </c>
      <c r="X34" s="175" t="e">
        <v>#REF!</v>
      </c>
      <c r="Y34" s="175" t="e">
        <v>#REF!</v>
      </c>
      <c r="Z34" s="175" t="e">
        <v>#REF!</v>
      </c>
      <c r="AA34" s="176" t="e">
        <v>#REF!</v>
      </c>
      <c r="AB34" s="59" t="s">
        <v>91</v>
      </c>
      <c r="AC34" s="98"/>
      <c r="AD34" s="98"/>
      <c r="AE34" s="98"/>
      <c r="AF34" s="98"/>
      <c r="AG34" s="98"/>
      <c r="AH34" s="98"/>
      <c r="AI34" s="98"/>
      <c r="AJ34" s="98"/>
      <c r="AK34" s="98"/>
      <c r="AL34" s="98"/>
      <c r="AM34" s="178">
        <f ca="1">IFERROR(__xludf.DUMMYFUNCTION("""COMPUTED_VALUE"""),45919.6666666666)</f>
        <v>45919.666666666599</v>
      </c>
      <c r="AN34" s="106">
        <f ca="1">IFERROR(__xludf.DUMMYFUNCTION("""COMPUTED_VALUE"""),7.33)</f>
        <v>7.33</v>
      </c>
      <c r="AO34" s="178">
        <f ca="1">IFERROR(__xludf.DUMMYFUNCTION("""COMPUTED_VALUE"""),45898.6666666666)</f>
        <v>45898.666666666599</v>
      </c>
      <c r="AP34" s="106">
        <f ca="1">IFERROR(__xludf.DUMMYFUNCTION("""COMPUTED_VALUE"""),7.14)</f>
        <v>7.14</v>
      </c>
      <c r="AQ34" s="178"/>
      <c r="AR34" s="106"/>
      <c r="AS34" s="178"/>
      <c r="AT34" s="106"/>
      <c r="AU34" s="178">
        <f ca="1">IFERROR(__xludf.DUMMYFUNCTION("""COMPUTED_VALUE"""),45657.6666666666)</f>
        <v>45657.666666666599</v>
      </c>
      <c r="AV34" s="106">
        <f ca="1">IFERROR(__xludf.DUMMYFUNCTION("""COMPUTED_VALUE"""),4.51)</f>
        <v>4.51</v>
      </c>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07"/>
      <c r="BT34" s="107"/>
      <c r="BU34" s="107"/>
      <c r="BV34" s="107"/>
      <c r="BW34" s="107"/>
      <c r="BX34" s="107"/>
      <c r="BY34" s="107"/>
      <c r="BZ34" s="107"/>
      <c r="CA34" s="107"/>
    </row>
    <row r="35" spans="1:79" ht="19.2">
      <c r="A35" s="45">
        <f>A33+1</f>
        <v>17</v>
      </c>
      <c r="B35" s="46" t="s">
        <v>43</v>
      </c>
      <c r="C35" s="152" t="str">
        <f ca="1">IFERROR(__xludf.DUMMYFUNCTION("GoogleFinance(B35,""name"")"),"iShares Bitcoin Trust ETF")</f>
        <v>iShares Bitcoin Trust ETF</v>
      </c>
      <c r="D35" s="48">
        <f ca="1">IFERROR(__xludf.DUMMYFUNCTION("GoogleFinance(B35,""marketcap"")/1000000"),179080.091223)</f>
        <v>179080.091223</v>
      </c>
      <c r="E35" s="49" t="s">
        <v>151</v>
      </c>
      <c r="F35" s="49" t="s">
        <v>44</v>
      </c>
      <c r="G35" s="82">
        <v>45509</v>
      </c>
      <c r="H35" s="51">
        <v>1.4999999999999999E-2</v>
      </c>
      <c r="I35" s="52">
        <f ca="1">N35/$M$84</f>
        <v>1.3662613036511215E-2</v>
      </c>
      <c r="J35" s="53">
        <v>61.94</v>
      </c>
      <c r="K35" s="54">
        <v>54.933333333333337</v>
      </c>
      <c r="L35" s="55">
        <v>33</v>
      </c>
      <c r="M35" s="56">
        <v>1812.8000000000002</v>
      </c>
      <c r="N35" s="57">
        <v>2044.02</v>
      </c>
      <c r="O35" s="57">
        <v>231.2199999999998</v>
      </c>
      <c r="P35" s="51">
        <v>0.12754854368932023</v>
      </c>
      <c r="Q35" s="58">
        <v>420</v>
      </c>
      <c r="R35" s="59">
        <v>43</v>
      </c>
      <c r="S35" s="51">
        <v>-0.3057797868905392</v>
      </c>
      <c r="T35" s="49">
        <v>72</v>
      </c>
      <c r="U35" s="52">
        <v>0.16241524055537626</v>
      </c>
      <c r="V35" s="61">
        <v>-2.5999999999999999E-3</v>
      </c>
      <c r="W35" s="51">
        <v>-5.2470552241089319E-2</v>
      </c>
      <c r="X35" s="51">
        <v>8.1380208333332593E-3</v>
      </c>
      <c r="Y35" s="51">
        <v>1.1926155856886167E-2</v>
      </c>
      <c r="Z35" s="51">
        <v>0.32322153386028618</v>
      </c>
      <c r="AA35" s="51">
        <v>0.16757775683317622</v>
      </c>
      <c r="AB35" s="59" t="s">
        <v>93</v>
      </c>
      <c r="AC35" s="63" t="s">
        <v>93</v>
      </c>
      <c r="AD35" s="63" t="s">
        <v>93</v>
      </c>
      <c r="AE35" s="49" t="s">
        <v>142</v>
      </c>
      <c r="AF35" s="49" t="s">
        <v>95</v>
      </c>
      <c r="AG35" s="49" t="s">
        <v>100</v>
      </c>
      <c r="AH35" s="87" t="s">
        <v>152</v>
      </c>
      <c r="AI35" s="87" t="s">
        <v>153</v>
      </c>
      <c r="AJ35" s="51"/>
      <c r="AK35" s="51"/>
      <c r="AL35" s="51"/>
      <c r="AM35" s="51" t="str">
        <f ca="1">IFERROR(__xludf.DUMMYFUNCTION("GoogleFinance(B35,""price"",DATE(2025,9,19))"),"Date")</f>
        <v>Date</v>
      </c>
      <c r="AN35" s="69" t="str">
        <f ca="1">IFERROR(__xludf.DUMMYFUNCTION("""COMPUTED_VALUE"""),"Close")</f>
        <v>Close</v>
      </c>
      <c r="AO35" s="51" t="str">
        <f ca="1">IFERROR(__xludf.DUMMYFUNCTION("GoogleFinance(B35,""price"",DATE(2025,8,29))"),"Date")</f>
        <v>Date</v>
      </c>
      <c r="AP35" s="69" t="str">
        <f ca="1">IFERROR(__xludf.DUMMYFUNCTION("""COMPUTED_VALUE"""),"Close")</f>
        <v>Close</v>
      </c>
      <c r="AQ35" s="51" t="str">
        <f ca="1">IFERROR(__xludf.DUMMYFUNCTION("GoogleFinance(B35,""price"",today()-92)"),"#N/A")</f>
        <v>#N/A</v>
      </c>
      <c r="AR35" s="69"/>
      <c r="AS35" s="51" t="str">
        <f ca="1">IFERROR(__xludf.DUMMYFUNCTION("GoogleFinance(B35,""price"",today()-182)"),"#N/A")</f>
        <v>#N/A</v>
      </c>
      <c r="AT35" s="69"/>
      <c r="AU35" s="70" t="str">
        <f ca="1">IFERROR(__xludf.DUMMYFUNCTION("GoogleFinance(B35,""price"",DATE(2024,12,31))"),"Date")</f>
        <v>Date</v>
      </c>
      <c r="AV35" s="69" t="str">
        <f ca="1">IFERROR(__xludf.DUMMYFUNCTION("""COMPUTED_VALUE"""),"Close")</f>
        <v>Close</v>
      </c>
      <c r="AW35" s="153"/>
      <c r="AX35" s="153"/>
      <c r="AY35" s="153"/>
      <c r="AZ35" s="153"/>
      <c r="BA35" s="153"/>
      <c r="BB35" s="153"/>
      <c r="BC35" s="153"/>
      <c r="BD35" s="153"/>
      <c r="BE35" s="153"/>
      <c r="BF35" s="153"/>
      <c r="BG35" s="153"/>
      <c r="BH35" s="153"/>
      <c r="BI35" s="153"/>
      <c r="BJ35" s="153"/>
      <c r="BK35" s="153"/>
      <c r="BL35" s="153"/>
      <c r="BM35" s="153"/>
      <c r="BN35" s="153"/>
      <c r="BO35" s="153"/>
      <c r="BP35" s="153"/>
      <c r="BQ35" s="153"/>
      <c r="BR35" s="153"/>
      <c r="BS35" s="154"/>
      <c r="BT35" s="154"/>
      <c r="BU35" s="154"/>
      <c r="BV35" s="154"/>
      <c r="BW35" s="154"/>
      <c r="BX35" s="154"/>
      <c r="BY35" s="154"/>
      <c r="BZ35" s="154"/>
      <c r="CA35" s="154"/>
    </row>
    <row r="36" spans="1:79" ht="19.2" hidden="1">
      <c r="A36" s="45" t="e">
        <f>#REF!+1</f>
        <v>#REF!</v>
      </c>
      <c r="B36" s="46"/>
      <c r="C36" s="152"/>
      <c r="D36" s="48"/>
      <c r="E36" s="49"/>
      <c r="F36" s="49"/>
      <c r="G36" s="82"/>
      <c r="H36" s="51"/>
      <c r="I36" s="155"/>
      <c r="J36" s="53"/>
      <c r="K36" s="54"/>
      <c r="L36" s="49"/>
      <c r="M36" s="49"/>
      <c r="N36" s="156"/>
      <c r="O36" s="157"/>
      <c r="P36" s="158"/>
      <c r="Q36" s="159"/>
      <c r="R36" s="61"/>
      <c r="S36" s="51"/>
      <c r="T36" s="51"/>
      <c r="U36" s="52"/>
      <c r="V36" s="61"/>
      <c r="W36" s="51"/>
      <c r="X36" s="51"/>
      <c r="Y36" s="51"/>
      <c r="Z36" s="51"/>
      <c r="AA36" s="51"/>
      <c r="AB36" s="59" t="s">
        <v>91</v>
      </c>
      <c r="AC36" s="160"/>
      <c r="AD36" s="160"/>
      <c r="AE36" s="160"/>
      <c r="AF36" s="160"/>
      <c r="AG36" s="160"/>
      <c r="AH36" s="87" t="s">
        <v>154</v>
      </c>
      <c r="AI36" s="87" t="s">
        <v>155</v>
      </c>
      <c r="AJ36" s="51"/>
      <c r="AK36" s="51"/>
      <c r="AL36" s="51"/>
      <c r="AM36" s="82">
        <f ca="1">IFERROR(__xludf.DUMMYFUNCTION("""COMPUTED_VALUE"""),45919.6666666666)</f>
        <v>45919.666666666599</v>
      </c>
      <c r="AN36" s="69">
        <f ca="1">IFERROR(__xludf.DUMMYFUNCTION("""COMPUTED_VALUE"""),65.37)</f>
        <v>65.37</v>
      </c>
      <c r="AO36" s="82">
        <f ca="1">IFERROR(__xludf.DUMMYFUNCTION("""COMPUTED_VALUE"""),45898.6666666666)</f>
        <v>45898.666666666599</v>
      </c>
      <c r="AP36" s="69">
        <f ca="1">IFERROR(__xludf.DUMMYFUNCTION("""COMPUTED_VALUE"""),61.44)</f>
        <v>61.44</v>
      </c>
      <c r="AQ36" s="82"/>
      <c r="AR36" s="69"/>
      <c r="AS36" s="82"/>
      <c r="AT36" s="69"/>
      <c r="AU36" s="82">
        <f ca="1">IFERROR(__xludf.DUMMYFUNCTION("""COMPUTED_VALUE"""),45657.6666666666)</f>
        <v>45657.666666666599</v>
      </c>
      <c r="AV36" s="69">
        <f ca="1">IFERROR(__xludf.DUMMYFUNCTION("""COMPUTED_VALUE"""),53.05)</f>
        <v>53.05</v>
      </c>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4"/>
      <c r="BT36" s="154"/>
      <c r="BU36" s="154"/>
      <c r="BV36" s="154"/>
      <c r="BW36" s="154"/>
      <c r="BX36" s="154"/>
      <c r="BY36" s="154"/>
      <c r="BZ36" s="154"/>
      <c r="CA36" s="154"/>
    </row>
    <row r="37" spans="1:79" ht="13.2">
      <c r="A37" s="45">
        <f t="shared" ref="A37:A39" si="4">A35+1</f>
        <v>18</v>
      </c>
      <c r="B37" s="46" t="s">
        <v>156</v>
      </c>
      <c r="C37" s="152" t="str">
        <f ca="1">IFERROR(__xludf.DUMMYFUNCTION("GoogleFinance(B37,""name"")"),"Grayscale Ethereum Trust ETF")</f>
        <v>Grayscale Ethereum Trust ETF</v>
      </c>
      <c r="D37" s="48">
        <f ca="1">IFERROR(__xludf.DUMMYFUNCTION("GoogleFinance(B37,""marketcap"")/1000000"),4286.174091)</f>
        <v>4286.1740909999999</v>
      </c>
      <c r="E37" s="49" t="s">
        <v>151</v>
      </c>
      <c r="F37" s="49" t="s">
        <v>157</v>
      </c>
      <c r="G37" s="82">
        <v>45509</v>
      </c>
      <c r="H37" s="51">
        <v>1.4999999999999999E-2</v>
      </c>
      <c r="I37" s="52">
        <f ca="1">N37/$M$84</f>
        <v>1.6406873077151739E-2</v>
      </c>
      <c r="J37" s="53">
        <v>33.17</v>
      </c>
      <c r="K37" s="54">
        <v>30.808108108108112</v>
      </c>
      <c r="L37" s="55">
        <v>74</v>
      </c>
      <c r="M37" s="56">
        <v>2279.8000000000002</v>
      </c>
      <c r="N37" s="57">
        <v>2454.58</v>
      </c>
      <c r="O37" s="57">
        <v>174.77999999999975</v>
      </c>
      <c r="P37" s="51">
        <v>7.6664619703482595E-2</v>
      </c>
      <c r="Q37" s="58">
        <v>420</v>
      </c>
      <c r="R37" s="59">
        <v>11</v>
      </c>
      <c r="S37" s="51">
        <v>-0.66837503768465489</v>
      </c>
      <c r="T37" s="49">
        <v>40</v>
      </c>
      <c r="U37" s="52">
        <v>0.20590895387398245</v>
      </c>
      <c r="V37" s="61">
        <v>2.9500000000000002E-2</v>
      </c>
      <c r="W37" s="51">
        <v>-9.322033898305071E-2</v>
      </c>
      <c r="X37" s="51">
        <v>-7.3463687150837842E-2</v>
      </c>
      <c r="Y37" s="51">
        <v>0.59012464046021096</v>
      </c>
      <c r="Z37" s="51">
        <v>1.1793692509855456</v>
      </c>
      <c r="AA37" s="51">
        <v>0.18379728765167735</v>
      </c>
      <c r="AB37" s="59" t="s">
        <v>93</v>
      </c>
      <c r="AC37" s="63" t="s">
        <v>93</v>
      </c>
      <c r="AD37" s="63" t="s">
        <v>93</v>
      </c>
      <c r="AE37" s="49" t="s">
        <v>142</v>
      </c>
      <c r="AF37" s="49" t="s">
        <v>95</v>
      </c>
      <c r="AG37" s="49" t="s">
        <v>100</v>
      </c>
      <c r="AH37" s="87" t="s">
        <v>158</v>
      </c>
      <c r="AI37" s="87" t="s">
        <v>153</v>
      </c>
      <c r="AJ37" s="51"/>
      <c r="AK37" s="51"/>
      <c r="AL37" s="51"/>
      <c r="AM37" s="51" t="str">
        <f ca="1">IFERROR(__xludf.DUMMYFUNCTION("GoogleFinance(B37,""price"",DATE(2025,9,19))"),"Date")</f>
        <v>Date</v>
      </c>
      <c r="AN37" s="69" t="str">
        <f ca="1">IFERROR(__xludf.DUMMYFUNCTION("""COMPUTED_VALUE"""),"Close")</f>
        <v>Close</v>
      </c>
      <c r="AO37" s="51" t="str">
        <f ca="1">IFERROR(__xludf.DUMMYFUNCTION("GoogleFinance(B37,""price"",DATE(2025,8,29))"),"Date")</f>
        <v>Date</v>
      </c>
      <c r="AP37" s="69" t="str">
        <f ca="1">IFERROR(__xludf.DUMMYFUNCTION("""COMPUTED_VALUE"""),"Close")</f>
        <v>Close</v>
      </c>
      <c r="AQ37" s="51" t="str">
        <f ca="1">IFERROR(__xludf.DUMMYFUNCTION("GoogleFinance(B37,""price"",today()-93)"),"#N/A")</f>
        <v>#N/A</v>
      </c>
      <c r="AR37" s="69"/>
      <c r="AS37" s="51" t="str">
        <f ca="1">IFERROR(__xludf.DUMMYFUNCTION("GoogleFinance(B37,""price"",today()-184)"),"#N/A")</f>
        <v>#N/A</v>
      </c>
      <c r="AT37" s="69"/>
      <c r="AU37" s="70" t="str">
        <f ca="1">IFERROR(__xludf.DUMMYFUNCTION("GoogleFinance(B37,""price"",DATE(2024,12,31))"),"Date")</f>
        <v>Date</v>
      </c>
      <c r="AV37" s="69" t="str">
        <f ca="1">IFERROR(__xludf.DUMMYFUNCTION("""COMPUTED_VALUE"""),"Close")</f>
        <v>Close</v>
      </c>
      <c r="AW37" s="153"/>
      <c r="AX37" s="153"/>
      <c r="AY37" s="153"/>
      <c r="AZ37" s="153"/>
      <c r="BA37" s="153"/>
      <c r="BB37" s="153"/>
      <c r="BC37" s="153"/>
      <c r="BD37" s="153"/>
      <c r="BE37" s="153"/>
      <c r="BF37" s="153"/>
      <c r="BG37" s="153"/>
      <c r="BH37" s="153"/>
      <c r="BI37" s="153"/>
      <c r="BJ37" s="153"/>
      <c r="BK37" s="153"/>
      <c r="BL37" s="153"/>
      <c r="BM37" s="153"/>
      <c r="BN37" s="153"/>
      <c r="BO37" s="153"/>
      <c r="BP37" s="153"/>
      <c r="BQ37" s="153"/>
      <c r="BR37" s="153"/>
      <c r="BS37" s="154"/>
      <c r="BT37" s="154"/>
      <c r="BU37" s="154"/>
      <c r="BV37" s="154"/>
      <c r="BW37" s="154"/>
      <c r="BX37" s="154"/>
      <c r="BY37" s="154"/>
      <c r="BZ37" s="154"/>
      <c r="CA37" s="154"/>
    </row>
    <row r="38" spans="1:79" ht="13.2" hidden="1">
      <c r="A38" s="45" t="e">
        <f t="shared" si="4"/>
        <v>#REF!</v>
      </c>
      <c r="B38" s="46"/>
      <c r="C38" s="152"/>
      <c r="D38" s="48"/>
      <c r="E38" s="49"/>
      <c r="F38" s="49"/>
      <c r="G38" s="105"/>
      <c r="H38" s="51"/>
      <c r="I38" s="155"/>
      <c r="J38" s="180"/>
      <c r="K38" s="54"/>
      <c r="L38" s="49"/>
      <c r="M38" s="49"/>
      <c r="N38" s="156"/>
      <c r="O38" s="157"/>
      <c r="P38" s="158"/>
      <c r="Q38" s="159"/>
      <c r="R38" s="61"/>
      <c r="S38" s="51"/>
      <c r="T38" s="51"/>
      <c r="U38" s="52"/>
      <c r="V38" s="61"/>
      <c r="W38" s="51"/>
      <c r="X38" s="51"/>
      <c r="Y38" s="51"/>
      <c r="Z38" s="51"/>
      <c r="AA38" s="51"/>
      <c r="AB38" s="59" t="s">
        <v>91</v>
      </c>
      <c r="AC38" s="160"/>
      <c r="AD38" s="160"/>
      <c r="AE38" s="160"/>
      <c r="AF38" s="160"/>
      <c r="AG38" s="160"/>
      <c r="AH38" s="160"/>
      <c r="AI38" s="160"/>
      <c r="AJ38" s="51"/>
      <c r="AK38" s="51"/>
      <c r="AL38" s="51"/>
      <c r="AM38" s="105">
        <f ca="1">IFERROR(__xludf.DUMMYFUNCTION("""COMPUTED_VALUE"""),45919.6666666666)</f>
        <v>45919.666666666599</v>
      </c>
      <c r="AN38" s="181">
        <f ca="1">IFERROR(__xludf.DUMMYFUNCTION("""COMPUTED_VALUE"""),36.58)</f>
        <v>36.58</v>
      </c>
      <c r="AO38" s="105">
        <f ca="1">IFERROR(__xludf.DUMMYFUNCTION("""COMPUTED_VALUE"""),45898.6666666666)</f>
        <v>45898.666666666599</v>
      </c>
      <c r="AP38" s="181">
        <f ca="1">IFERROR(__xludf.DUMMYFUNCTION("""COMPUTED_VALUE"""),35.8)</f>
        <v>35.799999999999997</v>
      </c>
      <c r="AQ38" s="105"/>
      <c r="AR38" s="181"/>
      <c r="AS38" s="105"/>
      <c r="AT38" s="181"/>
      <c r="AU38" s="105">
        <f ca="1">IFERROR(__xludf.DUMMYFUNCTION("""COMPUTED_VALUE"""),45657.6666666666)</f>
        <v>45657.666666666599</v>
      </c>
      <c r="AV38" s="181">
        <f ca="1">IFERROR(__xludf.DUMMYFUNCTION("""COMPUTED_VALUE"""),28.02)</f>
        <v>28.02</v>
      </c>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4"/>
      <c r="BT38" s="154"/>
      <c r="BU38" s="154"/>
      <c r="BV38" s="154"/>
      <c r="BW38" s="154"/>
      <c r="BX38" s="154"/>
      <c r="BY38" s="154"/>
      <c r="BZ38" s="154"/>
      <c r="CA38" s="154"/>
    </row>
    <row r="39" spans="1:79" ht="19.2">
      <c r="A39" s="45">
        <f t="shared" si="4"/>
        <v>19</v>
      </c>
      <c r="B39" s="46" t="s">
        <v>159</v>
      </c>
      <c r="C39" s="152" t="str">
        <f ca="1">IFERROR(__xludf.DUMMYFUNCTION("GoogleFinance(B39,""name"")"),"Albemarle Corp")</f>
        <v>Albemarle Corp</v>
      </c>
      <c r="D39" s="48">
        <f ca="1">IFERROR(__xludf.DUMMYFUNCTION("GoogleFinance(B39,""marketcap"")/1000000"),10367.86331)</f>
        <v>10367.863310000001</v>
      </c>
      <c r="E39" s="49" t="s">
        <v>12</v>
      </c>
      <c r="F39" s="49" t="s">
        <v>30</v>
      </c>
      <c r="G39" s="82">
        <v>45776</v>
      </c>
      <c r="H39" s="51">
        <v>0.03</v>
      </c>
      <c r="I39" s="52">
        <f ca="1">N39/$M$84</f>
        <v>4.4165769238435945E-2</v>
      </c>
      <c r="J39" s="53">
        <v>88.1</v>
      </c>
      <c r="K39" s="54">
        <v>65.750119999999995</v>
      </c>
      <c r="L39" s="55">
        <v>75</v>
      </c>
      <c r="M39" s="56">
        <v>4931.259</v>
      </c>
      <c r="N39" s="57">
        <v>6607.5</v>
      </c>
      <c r="O39" s="57">
        <v>1676.241</v>
      </c>
      <c r="P39" s="51">
        <v>0.33992150888850081</v>
      </c>
      <c r="Q39" s="58">
        <v>153</v>
      </c>
      <c r="R39" s="59">
        <v>49</v>
      </c>
      <c r="S39" s="51">
        <v>-0.44381384790011347</v>
      </c>
      <c r="T39" s="49">
        <v>110</v>
      </c>
      <c r="U39" s="51">
        <v>0.24858115777525547</v>
      </c>
      <c r="V39" s="61">
        <v>3.85E-2</v>
      </c>
      <c r="W39" s="51">
        <v>7.6490713587487713E-2</v>
      </c>
      <c r="X39" s="51">
        <v>3.7447008949599514E-2</v>
      </c>
      <c r="Y39" s="51">
        <v>0.40577628849529268</v>
      </c>
      <c r="Z39" s="51">
        <v>0.22327131352402119</v>
      </c>
      <c r="AA39" s="51">
        <v>2.3466542750929298E-2</v>
      </c>
      <c r="AB39" s="59" t="s">
        <v>84</v>
      </c>
      <c r="AC39" s="63" t="s">
        <v>85</v>
      </c>
      <c r="AD39" s="63" t="s">
        <v>85</v>
      </c>
      <c r="AE39" s="49" t="s">
        <v>142</v>
      </c>
      <c r="AF39" s="49" t="s">
        <v>95</v>
      </c>
      <c r="AG39" s="49" t="s">
        <v>100</v>
      </c>
      <c r="AH39" s="182" t="s">
        <v>160</v>
      </c>
      <c r="AI39" s="182" t="s">
        <v>161</v>
      </c>
      <c r="AJ39" s="51"/>
      <c r="AK39" s="51"/>
      <c r="AL39" s="51"/>
      <c r="AM39" s="51" t="str">
        <f ca="1">IFERROR(__xludf.DUMMYFUNCTION("GoogleFinance(B39,""price"",DATE(2025,9,19))"),"Date")</f>
        <v>Date</v>
      </c>
      <c r="AN39" s="69" t="str">
        <f ca="1">IFERROR(__xludf.DUMMYFUNCTION("""COMPUTED_VALUE"""),"Close")</f>
        <v>Close</v>
      </c>
      <c r="AO39" s="51" t="str">
        <f ca="1">IFERROR(__xludf.DUMMYFUNCTION("GoogleFinance(B39,""price"",DATE(2025,8,29))"),"Date")</f>
        <v>Date</v>
      </c>
      <c r="AP39" s="69" t="str">
        <f ca="1">IFERROR(__xludf.DUMMYFUNCTION("""COMPUTED_VALUE"""),"Close")</f>
        <v>Close</v>
      </c>
      <c r="AQ39" s="51" t="str">
        <f ca="1">IFERROR(__xludf.DUMMYFUNCTION("GoogleFinance(B39,""price"",today()-93)"),"#N/A")</f>
        <v>#N/A</v>
      </c>
      <c r="AR39" s="69"/>
      <c r="AS39" s="51" t="str">
        <f ca="1">IFERROR(__xludf.DUMMYFUNCTION("GoogleFinance(B39,""price"",today()-184)"),"#N/A")</f>
        <v>#N/A</v>
      </c>
      <c r="AT39" s="69"/>
      <c r="AU39" s="70" t="str">
        <f ca="1">IFERROR(__xludf.DUMMYFUNCTION("GoogleFinance(B39,""price"",DATE(2024,12,31))"),"Date")</f>
        <v>Date</v>
      </c>
      <c r="AV39" s="69" t="str">
        <f ca="1">IFERROR(__xludf.DUMMYFUNCTION("""COMPUTED_VALUE"""),"Close")</f>
        <v>Close</v>
      </c>
      <c r="AW39" s="153"/>
      <c r="AX39" s="153"/>
      <c r="AY39" s="154"/>
      <c r="AZ39" s="154"/>
      <c r="BA39" s="154"/>
      <c r="BB39" s="154"/>
      <c r="BC39" s="154"/>
      <c r="BD39" s="154"/>
      <c r="BE39" s="154"/>
      <c r="BF39" s="154"/>
      <c r="BG39" s="154"/>
      <c r="BH39" s="154"/>
      <c r="BI39" s="153"/>
      <c r="BJ39" s="153"/>
      <c r="BK39" s="153"/>
      <c r="BL39" s="153"/>
      <c r="BM39" s="153"/>
      <c r="BN39" s="153"/>
      <c r="BO39" s="153"/>
      <c r="BP39" s="153"/>
      <c r="BQ39" s="153"/>
      <c r="BR39" s="153"/>
      <c r="BS39" s="154"/>
      <c r="BT39" s="154"/>
      <c r="BU39" s="154"/>
      <c r="BV39" s="154"/>
      <c r="BW39" s="154"/>
      <c r="BX39" s="154"/>
      <c r="BY39" s="154"/>
      <c r="BZ39" s="154"/>
      <c r="CA39" s="154"/>
    </row>
    <row r="40" spans="1:79" ht="13.2" hidden="1">
      <c r="A40" s="45" t="e">
        <f>#REF!+1</f>
        <v>#REF!</v>
      </c>
      <c r="B40" s="46"/>
      <c r="C40" s="152"/>
      <c r="D40" s="48"/>
      <c r="E40" s="49"/>
      <c r="F40" s="49"/>
      <c r="G40" s="82"/>
      <c r="H40" s="51"/>
      <c r="I40" s="155"/>
      <c r="J40" s="53"/>
      <c r="K40" s="54"/>
      <c r="L40" s="49"/>
      <c r="M40" s="49"/>
      <c r="N40" s="156"/>
      <c r="O40" s="157"/>
      <c r="P40" s="158"/>
      <c r="Q40" s="159"/>
      <c r="R40" s="61"/>
      <c r="S40" s="51"/>
      <c r="T40" s="51"/>
      <c r="U40" s="51"/>
      <c r="V40" s="61"/>
      <c r="W40" s="51"/>
      <c r="X40" s="51"/>
      <c r="Y40" s="51"/>
      <c r="Z40" s="51"/>
      <c r="AA40" s="51"/>
      <c r="AB40" s="59" t="s">
        <v>91</v>
      </c>
      <c r="AC40" s="160"/>
      <c r="AD40" s="160"/>
      <c r="AE40" s="160"/>
      <c r="AF40" s="160"/>
      <c r="AG40" s="160"/>
      <c r="AH40" s="182"/>
      <c r="AI40" s="182"/>
      <c r="AJ40" s="51"/>
      <c r="AK40" s="51"/>
      <c r="AL40" s="51"/>
      <c r="AM40" s="82">
        <f ca="1">IFERROR(__xludf.DUMMYFUNCTION("""COMPUTED_VALUE"""),45919.6666666666)</f>
        <v>45919.666666666599</v>
      </c>
      <c r="AN40" s="69">
        <f ca="1">IFERROR(__xludf.DUMMYFUNCTION("""COMPUTED_VALUE"""),81.84)</f>
        <v>81.84</v>
      </c>
      <c r="AO40" s="82">
        <f ca="1">IFERROR(__xludf.DUMMYFUNCTION("""COMPUTED_VALUE"""),45898.6666666666)</f>
        <v>45898.666666666599</v>
      </c>
      <c r="AP40" s="69">
        <f ca="1">IFERROR(__xludf.DUMMYFUNCTION("""COMPUTED_VALUE"""),84.92)</f>
        <v>84.92</v>
      </c>
      <c r="AQ40" s="82"/>
      <c r="AR40" s="69"/>
      <c r="AS40" s="82"/>
      <c r="AT40" s="69"/>
      <c r="AU40" s="82">
        <f ca="1">IFERROR(__xludf.DUMMYFUNCTION("""COMPUTED_VALUE"""),45657.6666666666)</f>
        <v>45657.666666666599</v>
      </c>
      <c r="AV40" s="69">
        <f ca="1">IFERROR(__xludf.DUMMYFUNCTION("""COMPUTED_VALUE"""),86.08)</f>
        <v>86.08</v>
      </c>
      <c r="AW40" s="153"/>
      <c r="AX40" s="153"/>
      <c r="AY40" s="154"/>
      <c r="AZ40" s="154"/>
      <c r="BA40" s="154"/>
      <c r="BB40" s="154"/>
      <c r="BC40" s="154"/>
      <c r="BD40" s="154"/>
      <c r="BE40" s="154"/>
      <c r="BF40" s="153"/>
      <c r="BG40" s="153"/>
      <c r="BH40" s="153"/>
      <c r="BI40" s="153"/>
      <c r="BJ40" s="153"/>
      <c r="BK40" s="153"/>
      <c r="BL40" s="153"/>
      <c r="BM40" s="153"/>
      <c r="BN40" s="153"/>
      <c r="BO40" s="153"/>
      <c r="BP40" s="153"/>
      <c r="BQ40" s="153"/>
      <c r="BR40" s="153"/>
      <c r="BS40" s="154"/>
      <c r="BT40" s="154"/>
      <c r="BU40" s="154"/>
      <c r="BV40" s="154"/>
      <c r="BW40" s="154"/>
      <c r="BX40" s="154"/>
      <c r="BY40" s="154"/>
      <c r="BZ40" s="154"/>
      <c r="CA40" s="154"/>
    </row>
    <row r="41" spans="1:79" ht="28.8">
      <c r="A41" s="45">
        <f t="shared" ref="A41:A44" si="5">A39+1</f>
        <v>20</v>
      </c>
      <c r="B41" s="46" t="s">
        <v>162</v>
      </c>
      <c r="C41" s="152" t="str">
        <f ca="1">IFERROR(__xludf.DUMMYFUNCTION("GoogleFinance(B41,""name"")"),"Sociedad Quimica y Minr de Chile SA")</f>
        <v>Sociedad Quimica y Minr de Chile SA</v>
      </c>
      <c r="D41" s="48">
        <f ca="1">IFERROR(__xludf.DUMMYFUNCTION("GoogleFinance(B41,""marketcap"")/1000000"),12274.428281)</f>
        <v>12274.428281</v>
      </c>
      <c r="E41" s="49" t="s">
        <v>12</v>
      </c>
      <c r="F41" s="49" t="s">
        <v>163</v>
      </c>
      <c r="G41" s="82">
        <v>45862</v>
      </c>
      <c r="H41" s="51">
        <v>0.02</v>
      </c>
      <c r="I41" s="52">
        <f ca="1">N41/$M$84</f>
        <v>4.3096504889089858E-2</v>
      </c>
      <c r="J41" s="53">
        <v>44.24</v>
      </c>
      <c r="K41" s="54">
        <v>39.027272727272724</v>
      </c>
      <c r="L41" s="55">
        <v>145.739845568319</v>
      </c>
      <c r="M41" s="56">
        <v>5687.8287002253946</v>
      </c>
      <c r="N41" s="57">
        <v>6447.5307679424332</v>
      </c>
      <c r="O41" s="57">
        <v>759.70206771703852</v>
      </c>
      <c r="P41" s="51">
        <v>0.13356627067318905</v>
      </c>
      <c r="Q41" s="58">
        <v>67</v>
      </c>
      <c r="R41" s="59">
        <v>29</v>
      </c>
      <c r="S41" s="51">
        <v>-0.34448462929475587</v>
      </c>
      <c r="T41" s="49">
        <v>75</v>
      </c>
      <c r="U41" s="51">
        <v>0.69529837251356241</v>
      </c>
      <c r="V41" s="61">
        <v>-4.8999999999999998E-3</v>
      </c>
      <c r="W41" s="51">
        <v>1.7713365539452575E-2</v>
      </c>
      <c r="X41" s="51">
        <v>-2.7905954735222949E-2</v>
      </c>
      <c r="Y41" s="51">
        <v>0.25432378792174637</v>
      </c>
      <c r="Z41" s="51">
        <v>0.1135162345834384</v>
      </c>
      <c r="AA41" s="51">
        <v>0.21672167216721672</v>
      </c>
      <c r="AB41" s="59" t="s">
        <v>84</v>
      </c>
      <c r="AC41" s="63" t="s">
        <v>85</v>
      </c>
      <c r="AD41" s="63" t="s">
        <v>85</v>
      </c>
      <c r="AE41" s="49" t="s">
        <v>142</v>
      </c>
      <c r="AF41" s="49" t="s">
        <v>95</v>
      </c>
      <c r="AG41" s="49" t="s">
        <v>100</v>
      </c>
      <c r="AH41" s="182" t="s">
        <v>164</v>
      </c>
      <c r="AI41" s="182" t="s">
        <v>161</v>
      </c>
      <c r="AJ41" s="51"/>
      <c r="AK41" s="51"/>
      <c r="AL41" s="51"/>
      <c r="AM41" s="51" t="str">
        <f ca="1">IFERROR(__xludf.DUMMYFUNCTION("GoogleFinance(B41,""price"",DATE(2025,9,19))"),"Date")</f>
        <v>Date</v>
      </c>
      <c r="AN41" s="69" t="str">
        <f ca="1">IFERROR(__xludf.DUMMYFUNCTION("""COMPUTED_VALUE"""),"Close")</f>
        <v>Close</v>
      </c>
      <c r="AO41" s="51" t="str">
        <f ca="1">IFERROR(__xludf.DUMMYFUNCTION("GoogleFinance(B41,""price"",DATE(2025,8,29))"),"Date")</f>
        <v>Date</v>
      </c>
      <c r="AP41" s="69" t="str">
        <f ca="1">IFERROR(__xludf.DUMMYFUNCTION("""COMPUTED_VALUE"""),"Close")</f>
        <v>Close</v>
      </c>
      <c r="AQ41" s="51" t="str">
        <f ca="1">IFERROR(__xludf.DUMMYFUNCTION("GoogleFinance(B41,""price"",today()-93)"),"#N/A")</f>
        <v>#N/A</v>
      </c>
      <c r="AR41" s="69"/>
      <c r="AS41" s="51" t="str">
        <f ca="1">IFERROR(__xludf.DUMMYFUNCTION("GoogleFinance(B41,""price"",today()-184)"),"#N/A")</f>
        <v>#N/A</v>
      </c>
      <c r="AT41" s="69"/>
      <c r="AU41" s="70" t="str">
        <f ca="1">IFERROR(__xludf.DUMMYFUNCTION("GoogleFinance(B41,""price"",DATE(2024,12,31))"),"Date")</f>
        <v>Date</v>
      </c>
      <c r="AV41" s="69" t="str">
        <f ca="1">IFERROR(__xludf.DUMMYFUNCTION("""COMPUTED_VALUE"""),"Close")</f>
        <v>Close</v>
      </c>
      <c r="AW41" s="153"/>
      <c r="AX41" s="153"/>
      <c r="AY41" s="154"/>
      <c r="AZ41" s="154"/>
      <c r="BA41" s="154"/>
      <c r="BB41" s="154"/>
      <c r="BC41" s="154"/>
      <c r="BD41" s="154"/>
      <c r="BE41" s="154"/>
      <c r="BF41" s="154"/>
      <c r="BG41" s="154"/>
      <c r="BH41" s="154"/>
      <c r="BI41" s="153"/>
      <c r="BJ41" s="153"/>
      <c r="BK41" s="153"/>
      <c r="BL41" s="153"/>
      <c r="BM41" s="153"/>
      <c r="BN41" s="153"/>
      <c r="BO41" s="153"/>
      <c r="BP41" s="153"/>
      <c r="BQ41" s="153"/>
      <c r="BR41" s="153"/>
      <c r="BS41" s="154"/>
      <c r="BT41" s="154"/>
      <c r="BU41" s="154"/>
      <c r="BV41" s="154"/>
      <c r="BW41" s="154"/>
      <c r="BX41" s="154"/>
      <c r="BY41" s="154"/>
      <c r="BZ41" s="154"/>
      <c r="CA41" s="154"/>
    </row>
    <row r="42" spans="1:79" ht="13.2" hidden="1">
      <c r="A42" s="45" t="e">
        <f t="shared" si="5"/>
        <v>#REF!</v>
      </c>
      <c r="B42" s="46"/>
      <c r="C42" s="152"/>
      <c r="D42" s="48"/>
      <c r="E42" s="49"/>
      <c r="F42" s="49"/>
      <c r="G42" s="82"/>
      <c r="H42" s="51"/>
      <c r="I42" s="155"/>
      <c r="J42" s="53"/>
      <c r="K42" s="54"/>
      <c r="L42" s="49"/>
      <c r="M42" s="49"/>
      <c r="N42" s="156"/>
      <c r="O42" s="157"/>
      <c r="P42" s="158"/>
      <c r="Q42" s="159"/>
      <c r="R42" s="61"/>
      <c r="S42" s="51"/>
      <c r="T42" s="51"/>
      <c r="U42" s="51"/>
      <c r="V42" s="61"/>
      <c r="W42" s="51"/>
      <c r="X42" s="51"/>
      <c r="Y42" s="51"/>
      <c r="Z42" s="51"/>
      <c r="AA42" s="51"/>
      <c r="AB42" s="59" t="s">
        <v>91</v>
      </c>
      <c r="AC42" s="160"/>
      <c r="AD42" s="160"/>
      <c r="AE42" s="160"/>
      <c r="AF42" s="160"/>
      <c r="AG42" s="160"/>
      <c r="AH42" s="183"/>
      <c r="AI42" s="183"/>
      <c r="AJ42" s="51"/>
      <c r="AK42" s="51"/>
      <c r="AL42" s="51"/>
      <c r="AM42" s="82">
        <f ca="1">IFERROR(__xludf.DUMMYFUNCTION("""COMPUTED_VALUE"""),45919.6666666666)</f>
        <v>45919.666666666599</v>
      </c>
      <c r="AN42" s="69">
        <f ca="1">IFERROR(__xludf.DUMMYFUNCTION("""COMPUTED_VALUE"""),43.47)</f>
        <v>43.47</v>
      </c>
      <c r="AO42" s="82">
        <f ca="1">IFERROR(__xludf.DUMMYFUNCTION("""COMPUTED_VALUE"""),45898.6666666666)</f>
        <v>45898.666666666599</v>
      </c>
      <c r="AP42" s="69">
        <f ca="1">IFERROR(__xludf.DUMMYFUNCTION("""COMPUTED_VALUE"""),45.51)</f>
        <v>45.51</v>
      </c>
      <c r="AQ42" s="82"/>
      <c r="AR42" s="69"/>
      <c r="AS42" s="82"/>
      <c r="AT42" s="69"/>
      <c r="AU42" s="82">
        <f ca="1">IFERROR(__xludf.DUMMYFUNCTION("""COMPUTED_VALUE"""),45657.6666666666)</f>
        <v>45657.666666666599</v>
      </c>
      <c r="AV42" s="69">
        <f ca="1">IFERROR(__xludf.DUMMYFUNCTION("""COMPUTED_VALUE"""),36.36)</f>
        <v>36.36</v>
      </c>
      <c r="AW42" s="153"/>
      <c r="AX42" s="153"/>
      <c r="AY42" s="154"/>
      <c r="AZ42" s="154"/>
      <c r="BA42" s="154"/>
      <c r="BB42" s="154"/>
      <c r="BC42" s="154"/>
      <c r="BD42" s="154"/>
      <c r="BE42" s="154"/>
      <c r="BF42" s="153"/>
      <c r="BG42" s="153"/>
      <c r="BH42" s="153"/>
      <c r="BI42" s="153"/>
      <c r="BJ42" s="153"/>
      <c r="BK42" s="153"/>
      <c r="BL42" s="153"/>
      <c r="BM42" s="153"/>
      <c r="BN42" s="153"/>
      <c r="BO42" s="153"/>
      <c r="BP42" s="153"/>
      <c r="BQ42" s="153"/>
      <c r="BR42" s="153"/>
      <c r="BS42" s="154"/>
      <c r="BT42" s="154"/>
      <c r="BU42" s="154"/>
      <c r="BV42" s="154"/>
      <c r="BW42" s="154"/>
      <c r="BX42" s="154"/>
      <c r="BY42" s="154"/>
      <c r="BZ42" s="154"/>
      <c r="CA42" s="154"/>
    </row>
    <row r="43" spans="1:79" ht="38.4">
      <c r="A43" s="45">
        <f t="shared" si="5"/>
        <v>21</v>
      </c>
      <c r="B43" s="46" t="s">
        <v>165</v>
      </c>
      <c r="C43" s="152" t="str">
        <f ca="1">IFERROR(__xludf.DUMMYFUNCTION("GoogleFinance(B43,""name"")"),"Mosaic Co")</f>
        <v>Mosaic Co</v>
      </c>
      <c r="D43" s="48">
        <f ca="1">IFERROR(__xludf.DUMMYFUNCTION("GoogleFinance(B43,""marketcap"")/1000000"),11209.797927)</f>
        <v>11209.797927</v>
      </c>
      <c r="E43" s="49" t="s">
        <v>12</v>
      </c>
      <c r="F43" s="49" t="s">
        <v>166</v>
      </c>
      <c r="G43" s="82">
        <v>45904</v>
      </c>
      <c r="H43" s="51">
        <v>0.02</v>
      </c>
      <c r="I43" s="52">
        <f ca="1">N43/$M$84</f>
        <v>2.1792508086985875E-2</v>
      </c>
      <c r="J43" s="53">
        <v>35.32</v>
      </c>
      <c r="K43" s="54">
        <v>32.5</v>
      </c>
      <c r="L43" s="55">
        <v>92.307692307692307</v>
      </c>
      <c r="M43" s="56">
        <v>3000</v>
      </c>
      <c r="N43" s="57">
        <v>3260.3076923076924</v>
      </c>
      <c r="O43" s="57">
        <v>260.30769230769238</v>
      </c>
      <c r="P43" s="51">
        <v>8.676923076923071E-2</v>
      </c>
      <c r="Q43" s="58">
        <v>25</v>
      </c>
      <c r="R43" s="59">
        <v>28</v>
      </c>
      <c r="S43" s="51">
        <v>-0.20724801812004534</v>
      </c>
      <c r="T43" s="49">
        <v>54</v>
      </c>
      <c r="U43" s="51">
        <v>0.52887882219705551</v>
      </c>
      <c r="V43" s="61">
        <v>1.52E-2</v>
      </c>
      <c r="W43" s="51">
        <v>3.9434961742201402E-2</v>
      </c>
      <c r="X43" s="51">
        <v>5.7485029940119725E-2</v>
      </c>
      <c r="Y43" s="51">
        <v>-3.1798245614034992E-2</v>
      </c>
      <c r="Z43" s="51">
        <v>0.3076638282117734</v>
      </c>
      <c r="AA43" s="51">
        <v>0.43694060211554131</v>
      </c>
      <c r="AB43" s="59" t="s">
        <v>84</v>
      </c>
      <c r="AC43" s="63" t="s">
        <v>85</v>
      </c>
      <c r="AD43" s="63" t="s">
        <v>85</v>
      </c>
      <c r="AE43" s="49" t="s">
        <v>142</v>
      </c>
      <c r="AF43" s="49" t="s">
        <v>95</v>
      </c>
      <c r="AG43" s="49" t="s">
        <v>100</v>
      </c>
      <c r="AH43" s="182" t="s">
        <v>167</v>
      </c>
      <c r="AI43" s="182" t="s">
        <v>168</v>
      </c>
      <c r="AJ43" s="51"/>
      <c r="AK43" s="51"/>
      <c r="AL43" s="51"/>
      <c r="AM43" s="51" t="str">
        <f ca="1">IFERROR(__xludf.DUMMYFUNCTION("GoogleFinance(B43,""price"",DATE(2025,9,19))"),"Date")</f>
        <v>Date</v>
      </c>
      <c r="AN43" s="69" t="str">
        <f ca="1">IFERROR(__xludf.DUMMYFUNCTION("""COMPUTED_VALUE"""),"Close")</f>
        <v>Close</v>
      </c>
      <c r="AO43" s="51" t="str">
        <f ca="1">IFERROR(__xludf.DUMMYFUNCTION("GoogleFinance(B43,""price"",DATE(2025,8,29))"),"Date")</f>
        <v>Date</v>
      </c>
      <c r="AP43" s="69" t="str">
        <f ca="1">IFERROR(__xludf.DUMMYFUNCTION("""COMPUTED_VALUE"""),"Close")</f>
        <v>Close</v>
      </c>
      <c r="AQ43" s="51" t="str">
        <f ca="1">IFERROR(__xludf.DUMMYFUNCTION("GoogleFinance(B43,""price"",today()-93)"),"#N/A")</f>
        <v>#N/A</v>
      </c>
      <c r="AR43" s="69"/>
      <c r="AS43" s="51" t="str">
        <f ca="1">IFERROR(__xludf.DUMMYFUNCTION("GoogleFinance(B43,""price"",today()-184)"),"#N/A")</f>
        <v>#N/A</v>
      </c>
      <c r="AT43" s="69"/>
      <c r="AU43" s="70" t="str">
        <f ca="1">IFERROR(__xludf.DUMMYFUNCTION("GoogleFinance(B43,""price"",DATE(2024,12,31))"),"Date")</f>
        <v>Date</v>
      </c>
      <c r="AV43" s="69" t="str">
        <f ca="1">IFERROR(__xludf.DUMMYFUNCTION("""COMPUTED_VALUE"""),"Close")</f>
        <v>Close</v>
      </c>
      <c r="AW43" s="153"/>
      <c r="AX43" s="153"/>
      <c r="AY43" s="154"/>
      <c r="AZ43" s="154"/>
      <c r="BA43" s="154"/>
      <c r="BB43" s="154"/>
      <c r="BC43" s="154"/>
      <c r="BD43" s="154"/>
      <c r="BE43" s="154"/>
      <c r="BF43" s="154"/>
      <c r="BG43" s="154"/>
      <c r="BH43" s="154"/>
      <c r="BI43" s="153"/>
      <c r="BJ43" s="153"/>
      <c r="BK43" s="153"/>
      <c r="BL43" s="153"/>
      <c r="BM43" s="153"/>
      <c r="BN43" s="153"/>
      <c r="BO43" s="153"/>
      <c r="BP43" s="153"/>
      <c r="BQ43" s="153"/>
      <c r="BR43" s="153"/>
      <c r="BS43" s="154"/>
      <c r="BT43" s="154"/>
      <c r="BU43" s="154"/>
      <c r="BV43" s="154"/>
      <c r="BW43" s="154"/>
      <c r="BX43" s="154"/>
      <c r="BY43" s="154"/>
      <c r="BZ43" s="154"/>
      <c r="CA43" s="154"/>
    </row>
    <row r="44" spans="1:79" ht="13.2" hidden="1">
      <c r="A44" s="89" t="e">
        <f t="shared" si="5"/>
        <v>#REF!</v>
      </c>
      <c r="B44" s="184"/>
      <c r="C44" s="185"/>
      <c r="D44" s="186"/>
      <c r="E44" s="187"/>
      <c r="F44" s="187"/>
      <c r="G44" s="105"/>
      <c r="H44" s="102"/>
      <c r="I44" s="188"/>
      <c r="J44" s="180"/>
      <c r="K44" s="189"/>
      <c r="L44" s="187"/>
      <c r="M44" s="187"/>
      <c r="N44" s="190"/>
      <c r="O44" s="191"/>
      <c r="P44" s="192"/>
      <c r="Q44" s="193"/>
      <c r="R44" s="101"/>
      <c r="S44" s="102"/>
      <c r="T44" s="102"/>
      <c r="U44" s="102"/>
      <c r="V44" s="101"/>
      <c r="W44" s="102"/>
      <c r="X44" s="102"/>
      <c r="Y44" s="102"/>
      <c r="Z44" s="102"/>
      <c r="AA44" s="102"/>
      <c r="AB44" s="103" t="s">
        <v>91</v>
      </c>
      <c r="AC44" s="194"/>
      <c r="AD44" s="194"/>
      <c r="AE44" s="194"/>
      <c r="AF44" s="194"/>
      <c r="AG44" s="194"/>
      <c r="AH44" s="195"/>
      <c r="AI44" s="195"/>
      <c r="AJ44" s="102"/>
      <c r="AK44" s="102"/>
      <c r="AL44" s="102"/>
      <c r="AM44" s="105">
        <f ca="1">IFERROR(__xludf.DUMMYFUNCTION("""COMPUTED_VALUE"""),45919.6666666666)</f>
        <v>45919.666666666599</v>
      </c>
      <c r="AN44" s="181">
        <f ca="1">IFERROR(__xludf.DUMMYFUNCTION("""COMPUTED_VALUE"""),33.98)</f>
        <v>33.979999999999997</v>
      </c>
      <c r="AO44" s="105">
        <f ca="1">IFERROR(__xludf.DUMMYFUNCTION("""COMPUTED_VALUE"""),45898.6666666666)</f>
        <v>45898.666666666599</v>
      </c>
      <c r="AP44" s="181">
        <f ca="1">IFERROR(__xludf.DUMMYFUNCTION("""COMPUTED_VALUE"""),33.4)</f>
        <v>33.4</v>
      </c>
      <c r="AQ44" s="105"/>
      <c r="AR44" s="181"/>
      <c r="AS44" s="105"/>
      <c r="AT44" s="181"/>
      <c r="AU44" s="105">
        <f ca="1">IFERROR(__xludf.DUMMYFUNCTION("""COMPUTED_VALUE"""),45657.6666666666)</f>
        <v>45657.666666666599</v>
      </c>
      <c r="AV44" s="181">
        <f ca="1">IFERROR(__xludf.DUMMYFUNCTION("""COMPUTED_VALUE"""),24.58)</f>
        <v>24.58</v>
      </c>
      <c r="AW44" s="196"/>
      <c r="AX44" s="196"/>
      <c r="AY44" s="197"/>
      <c r="AZ44" s="197"/>
      <c r="BA44" s="197"/>
      <c r="BB44" s="197"/>
      <c r="BC44" s="197"/>
      <c r="BD44" s="197"/>
      <c r="BE44" s="197"/>
      <c r="BF44" s="196"/>
      <c r="BG44" s="196"/>
      <c r="BH44" s="196"/>
      <c r="BI44" s="196"/>
      <c r="BJ44" s="196"/>
      <c r="BK44" s="196"/>
      <c r="BL44" s="196"/>
      <c r="BM44" s="196"/>
      <c r="BN44" s="196"/>
      <c r="BO44" s="196"/>
      <c r="BP44" s="196"/>
      <c r="BQ44" s="196"/>
      <c r="BR44" s="196"/>
      <c r="BS44" s="197"/>
      <c r="BT44" s="197"/>
      <c r="BU44" s="197"/>
      <c r="BV44" s="197"/>
      <c r="BW44" s="197"/>
      <c r="BX44" s="197"/>
      <c r="BY44" s="197"/>
      <c r="BZ44" s="197"/>
      <c r="CA44" s="197"/>
    </row>
    <row r="45" spans="1:79" ht="19.2">
      <c r="A45" s="45">
        <f>A41+1</f>
        <v>21</v>
      </c>
      <c r="B45" s="46" t="s">
        <v>169</v>
      </c>
      <c r="C45" s="152" t="str">
        <f ca="1">IFERROR(__xludf.DUMMYFUNCTION("GoogleFinance(B45,""name"")"),"Chevron Corp")</f>
        <v>Chevron Corp</v>
      </c>
      <c r="D45" s="48">
        <f ca="1">IFERROR(__xludf.DUMMYFUNCTION("GoogleFinance(B45,""marketcap"")/1000000"),327910.630537)</f>
        <v>327910.63053700002</v>
      </c>
      <c r="E45" s="49" t="s">
        <v>15</v>
      </c>
      <c r="F45" s="49" t="s">
        <v>141</v>
      </c>
      <c r="G45" s="82">
        <v>45776</v>
      </c>
      <c r="H45" s="51">
        <v>0.02</v>
      </c>
      <c r="I45" s="52">
        <f ca="1">N45/$M$84</f>
        <v>3.5767756185343703E-2</v>
      </c>
      <c r="J45" s="53">
        <v>160.16</v>
      </c>
      <c r="K45" s="54">
        <v>152.88394456596626</v>
      </c>
      <c r="L45" s="55">
        <v>33.410964208841456</v>
      </c>
      <c r="M45" s="56">
        <v>5108</v>
      </c>
      <c r="N45" s="57">
        <v>5351.1000276880477</v>
      </c>
      <c r="O45" s="57">
        <v>243.1000276880477</v>
      </c>
      <c r="P45" s="51">
        <v>4.7592017949891874E-2</v>
      </c>
      <c r="Q45" s="58">
        <v>153</v>
      </c>
      <c r="R45" s="59">
        <v>130</v>
      </c>
      <c r="S45" s="51">
        <v>-0.18831168831168832</v>
      </c>
      <c r="T45" s="49">
        <v>190</v>
      </c>
      <c r="U45" s="51">
        <v>0.18631368631368628</v>
      </c>
      <c r="V45" s="61">
        <v>-3.4999999999999996E-3</v>
      </c>
      <c r="W45" s="51">
        <v>2.5286473337174264E-2</v>
      </c>
      <c r="X45" s="51">
        <v>-2.739726027397249E-3</v>
      </c>
      <c r="Y45" s="51">
        <v>0.11851386269990916</v>
      </c>
      <c r="Z45" s="51">
        <v>-4.262059895989001E-2</v>
      </c>
      <c r="AA45" s="51">
        <v>0.10577188621927647</v>
      </c>
      <c r="AB45" s="59" t="s">
        <v>84</v>
      </c>
      <c r="AC45" s="63" t="s">
        <v>85</v>
      </c>
      <c r="AD45" s="63" t="s">
        <v>85</v>
      </c>
      <c r="AE45" s="49" t="s">
        <v>142</v>
      </c>
      <c r="AF45" s="49" t="s">
        <v>95</v>
      </c>
      <c r="AG45" s="49" t="s">
        <v>88</v>
      </c>
      <c r="AH45" s="182" t="s">
        <v>170</v>
      </c>
      <c r="AI45" s="182" t="s">
        <v>171</v>
      </c>
      <c r="AJ45" s="51"/>
      <c r="AK45" s="51"/>
      <c r="AL45" s="51"/>
      <c r="AM45" s="51" t="str">
        <f ca="1">IFERROR(__xludf.DUMMYFUNCTION("GoogleFinance(B45,""price"",DATE(2025,9,19))"),"Date")</f>
        <v>Date</v>
      </c>
      <c r="AN45" s="69" t="str">
        <f ca="1">IFERROR(__xludf.DUMMYFUNCTION("""COMPUTED_VALUE"""),"Close")</f>
        <v>Close</v>
      </c>
      <c r="AO45" s="51" t="str">
        <f ca="1">IFERROR(__xludf.DUMMYFUNCTION("GoogleFinance(B45,""price"",DATE(2025,8,29))"),"Date")</f>
        <v>Date</v>
      </c>
      <c r="AP45" s="69" t="str">
        <f ca="1">IFERROR(__xludf.DUMMYFUNCTION("""COMPUTED_VALUE"""),"Close")</f>
        <v>Close</v>
      </c>
      <c r="AQ45" s="51" t="str">
        <f ca="1">IFERROR(__xludf.DUMMYFUNCTION("GoogleFinance(B45,""price"",today()-93)"),"#N/A")</f>
        <v>#N/A</v>
      </c>
      <c r="AR45" s="69"/>
      <c r="AS45" s="51" t="str">
        <f ca="1">IFERROR(__xludf.DUMMYFUNCTION("GoogleFinance(B45,""price"",today()-184)"),"#N/A")</f>
        <v>#N/A</v>
      </c>
      <c r="AT45" s="69"/>
      <c r="AU45" s="70" t="str">
        <f ca="1">IFERROR(__xludf.DUMMYFUNCTION("GoogleFinance(B45,""price"",DATE(2024,12,31))"),"Date")</f>
        <v>Date</v>
      </c>
      <c r="AV45" s="69" t="str">
        <f ca="1">IFERROR(__xludf.DUMMYFUNCTION("""COMPUTED_VALUE"""),"Close")</f>
        <v>Close</v>
      </c>
      <c r="AW45" s="153"/>
      <c r="AX45" s="153"/>
      <c r="AY45" s="154"/>
      <c r="AZ45" s="154"/>
      <c r="BA45" s="154"/>
      <c r="BB45" s="154"/>
      <c r="BC45" s="154"/>
      <c r="BD45" s="154"/>
      <c r="BE45" s="154"/>
      <c r="BF45" s="154"/>
      <c r="BG45" s="154"/>
      <c r="BH45" s="154"/>
      <c r="BI45" s="153"/>
      <c r="BJ45" s="153"/>
      <c r="BK45" s="153"/>
      <c r="BL45" s="153"/>
      <c r="BM45" s="153"/>
      <c r="BN45" s="153"/>
      <c r="BO45" s="153"/>
      <c r="BP45" s="153"/>
      <c r="BQ45" s="153"/>
      <c r="BR45" s="153"/>
      <c r="BS45" s="154"/>
      <c r="BT45" s="154"/>
      <c r="BU45" s="154"/>
      <c r="BV45" s="154"/>
      <c r="BW45" s="154"/>
      <c r="BX45" s="154"/>
      <c r="BY45" s="154"/>
      <c r="BZ45" s="154"/>
      <c r="CA45" s="154"/>
    </row>
    <row r="46" spans="1:79" ht="13.2" hidden="1">
      <c r="A46" s="45" t="e">
        <f>A40+1</f>
        <v>#REF!</v>
      </c>
      <c r="B46" s="46"/>
      <c r="C46" s="152"/>
      <c r="D46" s="48"/>
      <c r="E46" s="49"/>
      <c r="F46" s="49"/>
      <c r="G46" s="82"/>
      <c r="H46" s="51"/>
      <c r="I46" s="155"/>
      <c r="J46" s="53"/>
      <c r="K46" s="54"/>
      <c r="L46" s="49"/>
      <c r="M46" s="49"/>
      <c r="N46" s="156"/>
      <c r="O46" s="157"/>
      <c r="P46" s="158"/>
      <c r="Q46" s="159"/>
      <c r="R46" s="61"/>
      <c r="S46" s="51"/>
      <c r="T46" s="51"/>
      <c r="U46" s="51"/>
      <c r="V46" s="61"/>
      <c r="W46" s="51"/>
      <c r="X46" s="51"/>
      <c r="Y46" s="51"/>
      <c r="Z46" s="51"/>
      <c r="AA46" s="51"/>
      <c r="AB46" s="59" t="s">
        <v>91</v>
      </c>
      <c r="AC46" s="160"/>
      <c r="AD46" s="160"/>
      <c r="AE46" s="160"/>
      <c r="AF46" s="160"/>
      <c r="AG46" s="160"/>
      <c r="AH46" s="182"/>
      <c r="AI46" s="182"/>
      <c r="AJ46" s="51"/>
      <c r="AK46" s="51"/>
      <c r="AL46" s="51"/>
      <c r="AM46" s="82">
        <f ca="1">IFERROR(__xludf.DUMMYFUNCTION("""COMPUTED_VALUE"""),45919.6666666666)</f>
        <v>45919.666666666599</v>
      </c>
      <c r="AN46" s="69">
        <f ca="1">IFERROR(__xludf.DUMMYFUNCTION("""COMPUTED_VALUE"""),156.21)</f>
        <v>156.21</v>
      </c>
      <c r="AO46" s="82">
        <f ca="1">IFERROR(__xludf.DUMMYFUNCTION("""COMPUTED_VALUE"""),45898.6666666666)</f>
        <v>45898.666666666599</v>
      </c>
      <c r="AP46" s="69">
        <f ca="1">IFERROR(__xludf.DUMMYFUNCTION("""COMPUTED_VALUE"""),160.6)</f>
        <v>160.6</v>
      </c>
      <c r="AQ46" s="82"/>
      <c r="AR46" s="69"/>
      <c r="AS46" s="82"/>
      <c r="AT46" s="69"/>
      <c r="AU46" s="82">
        <f ca="1">IFERROR(__xludf.DUMMYFUNCTION("""COMPUTED_VALUE"""),45657.6666666666)</f>
        <v>45657.666666666599</v>
      </c>
      <c r="AV46" s="69">
        <f ca="1">IFERROR(__xludf.DUMMYFUNCTION("""COMPUTED_VALUE"""),144.84)</f>
        <v>144.84</v>
      </c>
      <c r="AW46" s="153"/>
      <c r="AX46" s="153"/>
      <c r="AY46" s="154"/>
      <c r="AZ46" s="154"/>
      <c r="BA46" s="154"/>
      <c r="BB46" s="154"/>
      <c r="BC46" s="154"/>
      <c r="BD46" s="154"/>
      <c r="BE46" s="154"/>
      <c r="BF46" s="153"/>
      <c r="BG46" s="153"/>
      <c r="BH46" s="153"/>
      <c r="BI46" s="153"/>
      <c r="BJ46" s="153"/>
      <c r="BK46" s="153"/>
      <c r="BL46" s="153"/>
      <c r="BM46" s="153"/>
      <c r="BN46" s="153"/>
      <c r="BO46" s="153"/>
      <c r="BP46" s="153"/>
      <c r="BQ46" s="153"/>
      <c r="BR46" s="153"/>
      <c r="BS46" s="154"/>
      <c r="BT46" s="154"/>
      <c r="BU46" s="154"/>
      <c r="BV46" s="154"/>
      <c r="BW46" s="154"/>
      <c r="BX46" s="154"/>
      <c r="BY46" s="154"/>
      <c r="BZ46" s="154"/>
      <c r="CA46" s="154"/>
    </row>
    <row r="47" spans="1:79" ht="19.2">
      <c r="A47" s="45">
        <f t="shared" ref="A47:A53" si="6">A45+1</f>
        <v>22</v>
      </c>
      <c r="B47" s="46" t="s">
        <v>172</v>
      </c>
      <c r="C47" s="152" t="str">
        <f ca="1">IFERROR(__xludf.DUMMYFUNCTION("GoogleFinance(B47,""name"")"),"Exxon Mobil Corp")</f>
        <v>Exxon Mobil Corp</v>
      </c>
      <c r="D47" s="48">
        <f ca="1">IFERROR(__xludf.DUMMYFUNCTION("GoogleFinance(B47,""marketcap"")/1000000"),499737.701324)</f>
        <v>499737.70132400002</v>
      </c>
      <c r="E47" s="49" t="s">
        <v>15</v>
      </c>
      <c r="F47" s="49" t="s">
        <v>141</v>
      </c>
      <c r="G47" s="82">
        <v>45817</v>
      </c>
      <c r="H47" s="51">
        <v>0.03</v>
      </c>
      <c r="I47" s="52">
        <f ca="1">N47/$M$84</f>
        <v>3.8822200210790837E-2</v>
      </c>
      <c r="J47" s="53">
        <v>117.22</v>
      </c>
      <c r="K47" s="54">
        <v>107.04680625782825</v>
      </c>
      <c r="L47" s="55">
        <v>49.54841891522684</v>
      </c>
      <c r="M47" s="56">
        <v>5304</v>
      </c>
      <c r="N47" s="57">
        <v>5808.0656652428897</v>
      </c>
      <c r="O47" s="57">
        <v>504.06566524288974</v>
      </c>
      <c r="P47" s="51">
        <v>9.5035004759217667E-2</v>
      </c>
      <c r="Q47" s="58">
        <v>112</v>
      </c>
      <c r="R47" s="59">
        <v>95</v>
      </c>
      <c r="S47" s="51">
        <v>-0.18955809588807371</v>
      </c>
      <c r="T47" s="49">
        <v>150</v>
      </c>
      <c r="U47" s="51">
        <v>0.27964511175567308</v>
      </c>
      <c r="V47" s="61">
        <v>1.41E-2</v>
      </c>
      <c r="W47" s="51">
        <v>3.900017727353311E-2</v>
      </c>
      <c r="X47" s="51">
        <v>2.563653862980142E-2</v>
      </c>
      <c r="Y47" s="51">
        <v>8.7384044526901627E-2</v>
      </c>
      <c r="Z47" s="51">
        <v>-1.4378205667199273E-2</v>
      </c>
      <c r="AA47" s="51">
        <v>8.970902668030134E-2</v>
      </c>
      <c r="AB47" s="59" t="s">
        <v>84</v>
      </c>
      <c r="AC47" s="63" t="s">
        <v>85</v>
      </c>
      <c r="AD47" s="63" t="s">
        <v>85</v>
      </c>
      <c r="AE47" s="49" t="s">
        <v>142</v>
      </c>
      <c r="AF47" s="49" t="s">
        <v>95</v>
      </c>
      <c r="AG47" s="49" t="s">
        <v>88</v>
      </c>
      <c r="AH47" s="182" t="s">
        <v>173</v>
      </c>
      <c r="AI47" s="182" t="s">
        <v>171</v>
      </c>
      <c r="AJ47" s="51"/>
      <c r="AK47" s="51"/>
      <c r="AL47" s="51"/>
      <c r="AM47" s="51" t="str">
        <f ca="1">IFERROR(__xludf.DUMMYFUNCTION("GoogleFinance(B47,""price"",DATE(2025,9,19))"),"Date")</f>
        <v>Date</v>
      </c>
      <c r="AN47" s="69" t="str">
        <f ca="1">IFERROR(__xludf.DUMMYFUNCTION("""COMPUTED_VALUE"""),"Close")</f>
        <v>Close</v>
      </c>
      <c r="AO47" s="51" t="str">
        <f ca="1">IFERROR(__xludf.DUMMYFUNCTION("GoogleFinance(B47,""price"",DATE(2025,8,29))"),"Date")</f>
        <v>Date</v>
      </c>
      <c r="AP47" s="69" t="str">
        <f ca="1">IFERROR(__xludf.DUMMYFUNCTION("""COMPUTED_VALUE"""),"Close")</f>
        <v>Close</v>
      </c>
      <c r="AQ47" s="51" t="str">
        <f ca="1">IFERROR(__xludf.DUMMYFUNCTION("GoogleFinance(B47,""price"",today()-93)"),"#N/A")</f>
        <v>#N/A</v>
      </c>
      <c r="AR47" s="69"/>
      <c r="AS47" s="51" t="str">
        <f ca="1">IFERROR(__xludf.DUMMYFUNCTION("GoogleFinance(B47,""price"",today()-184)"),"#N/A")</f>
        <v>#N/A</v>
      </c>
      <c r="AT47" s="69"/>
      <c r="AU47" s="70" t="str">
        <f ca="1">IFERROR(__xludf.DUMMYFUNCTION("GoogleFinance(B47,""price"",DATE(2024,12,31))"),"Date")</f>
        <v>Date</v>
      </c>
      <c r="AV47" s="69" t="str">
        <f ca="1">IFERROR(__xludf.DUMMYFUNCTION("""COMPUTED_VALUE"""),"Close")</f>
        <v>Close</v>
      </c>
      <c r="AW47" s="153"/>
      <c r="AX47" s="153"/>
      <c r="AY47" s="154"/>
      <c r="AZ47" s="154"/>
      <c r="BA47" s="154"/>
      <c r="BB47" s="154"/>
      <c r="BC47" s="154"/>
      <c r="BD47" s="154"/>
      <c r="BE47" s="154"/>
      <c r="BF47" s="154"/>
      <c r="BG47" s="154"/>
      <c r="BH47" s="154"/>
      <c r="BI47" s="153"/>
      <c r="BJ47" s="153"/>
      <c r="BK47" s="153"/>
      <c r="BL47" s="153"/>
      <c r="BM47" s="153"/>
      <c r="BN47" s="153"/>
      <c r="BO47" s="153"/>
      <c r="BP47" s="153"/>
      <c r="BQ47" s="153"/>
      <c r="BR47" s="153"/>
      <c r="BS47" s="154"/>
      <c r="BT47" s="154"/>
      <c r="BU47" s="154"/>
      <c r="BV47" s="154"/>
      <c r="BW47" s="154"/>
      <c r="BX47" s="154"/>
      <c r="BY47" s="154"/>
      <c r="BZ47" s="154"/>
      <c r="CA47" s="154"/>
    </row>
    <row r="48" spans="1:79" ht="13.2" hidden="1">
      <c r="A48" s="45" t="e">
        <f t="shared" si="6"/>
        <v>#REF!</v>
      </c>
      <c r="B48" s="46"/>
      <c r="C48" s="152"/>
      <c r="D48" s="48"/>
      <c r="E48" s="49"/>
      <c r="F48" s="49"/>
      <c r="G48" s="82"/>
      <c r="H48" s="51"/>
      <c r="I48" s="155"/>
      <c r="J48" s="53"/>
      <c r="K48" s="54"/>
      <c r="L48" s="49"/>
      <c r="M48" s="49"/>
      <c r="N48" s="156"/>
      <c r="O48" s="157"/>
      <c r="P48" s="158"/>
      <c r="Q48" s="159"/>
      <c r="R48" s="61"/>
      <c r="S48" s="51"/>
      <c r="T48" s="51"/>
      <c r="U48" s="51"/>
      <c r="V48" s="61"/>
      <c r="W48" s="51"/>
      <c r="X48" s="51"/>
      <c r="Y48" s="51"/>
      <c r="Z48" s="51"/>
      <c r="AA48" s="51"/>
      <c r="AB48" s="59" t="s">
        <v>91</v>
      </c>
      <c r="AC48" s="160"/>
      <c r="AD48" s="160"/>
      <c r="AE48" s="160"/>
      <c r="AF48" s="160"/>
      <c r="AG48" s="160"/>
      <c r="AH48" s="182"/>
      <c r="AI48" s="182"/>
      <c r="AJ48" s="51"/>
      <c r="AK48" s="51"/>
      <c r="AL48" s="51"/>
      <c r="AM48" s="82">
        <f ca="1">IFERROR(__xludf.DUMMYFUNCTION("""COMPUTED_VALUE"""),45919.6666666666)</f>
        <v>45919.666666666599</v>
      </c>
      <c r="AN48" s="69">
        <f ca="1">IFERROR(__xludf.DUMMYFUNCTION("""COMPUTED_VALUE"""),112.82)</f>
        <v>112.82</v>
      </c>
      <c r="AO48" s="82">
        <f ca="1">IFERROR(__xludf.DUMMYFUNCTION("""COMPUTED_VALUE"""),45898.6666666666)</f>
        <v>45898.666666666599</v>
      </c>
      <c r="AP48" s="69">
        <f ca="1">IFERROR(__xludf.DUMMYFUNCTION("""COMPUTED_VALUE"""),114.29)</f>
        <v>114.29</v>
      </c>
      <c r="AQ48" s="82"/>
      <c r="AR48" s="69"/>
      <c r="AS48" s="82"/>
      <c r="AT48" s="69"/>
      <c r="AU48" s="82">
        <f ca="1">IFERROR(__xludf.DUMMYFUNCTION("""COMPUTED_VALUE"""),45657.6666666666)</f>
        <v>45657.666666666599</v>
      </c>
      <c r="AV48" s="69">
        <f ca="1">IFERROR(__xludf.DUMMYFUNCTION("""COMPUTED_VALUE"""),107.57)</f>
        <v>107.57</v>
      </c>
      <c r="AW48" s="153"/>
      <c r="AX48" s="153"/>
      <c r="AY48" s="154"/>
      <c r="AZ48" s="154"/>
      <c r="BA48" s="154"/>
      <c r="BB48" s="154"/>
      <c r="BC48" s="154"/>
      <c r="BD48" s="154"/>
      <c r="BE48" s="154"/>
      <c r="BF48" s="153"/>
      <c r="BG48" s="153"/>
      <c r="BH48" s="153"/>
      <c r="BI48" s="153"/>
      <c r="BJ48" s="153"/>
      <c r="BK48" s="153"/>
      <c r="BL48" s="153"/>
      <c r="BM48" s="153"/>
      <c r="BN48" s="153"/>
      <c r="BO48" s="153"/>
      <c r="BP48" s="153"/>
      <c r="BQ48" s="153"/>
      <c r="BR48" s="153"/>
      <c r="BS48" s="154"/>
      <c r="BT48" s="154"/>
      <c r="BU48" s="154"/>
      <c r="BV48" s="154"/>
      <c r="BW48" s="154"/>
      <c r="BX48" s="154"/>
      <c r="BY48" s="154"/>
      <c r="BZ48" s="154"/>
      <c r="CA48" s="154"/>
    </row>
    <row r="49" spans="1:79" ht="28.8">
      <c r="A49" s="45">
        <f t="shared" si="6"/>
        <v>23</v>
      </c>
      <c r="B49" s="46" t="s">
        <v>174</v>
      </c>
      <c r="C49" s="152" t="str">
        <f ca="1">IFERROR(__xludf.DUMMYFUNCTION("GoogleFinance(B49,""name"")"),"Transocean LTD")</f>
        <v>Transocean LTD</v>
      </c>
      <c r="D49" s="48">
        <f ca="1">IFERROR(__xludf.DUMMYFUNCTION("GoogleFinance(B49,""marketcap"")/1000000"),3008.568803)</f>
        <v>3008.5688030000001</v>
      </c>
      <c r="E49" s="49" t="s">
        <v>15</v>
      </c>
      <c r="F49" s="49" t="s">
        <v>141</v>
      </c>
      <c r="G49" s="82">
        <v>45884</v>
      </c>
      <c r="H49" s="51">
        <v>0.01</v>
      </c>
      <c r="I49" s="52">
        <f ca="1">N49/$M$84</f>
        <v>3.1779280688576182E-2</v>
      </c>
      <c r="J49" s="53">
        <v>3.19</v>
      </c>
      <c r="K49" s="54">
        <v>3.019310387307677</v>
      </c>
      <c r="L49" s="55">
        <v>1490.4065573770492</v>
      </c>
      <c r="M49" s="56">
        <v>4500</v>
      </c>
      <c r="N49" s="57">
        <v>4754.3969180327867</v>
      </c>
      <c r="O49" s="57">
        <v>254.39691803278674</v>
      </c>
      <c r="P49" s="51">
        <v>5.6532648451730338E-2</v>
      </c>
      <c r="Q49" s="58">
        <v>45</v>
      </c>
      <c r="R49" s="59">
        <v>2.4</v>
      </c>
      <c r="S49" s="51">
        <v>-0.24764890282131657</v>
      </c>
      <c r="T49" s="49">
        <v>6</v>
      </c>
      <c r="U49" s="51">
        <v>0.88087774294670851</v>
      </c>
      <c r="V49" s="61">
        <v>9.4999999999999998E-3</v>
      </c>
      <c r="W49" s="51">
        <v>-3.9156626506024028E-2</v>
      </c>
      <c r="X49" s="51">
        <v>5.2805280528052778E-2</v>
      </c>
      <c r="Y49" s="51">
        <v>0.23166023166023164</v>
      </c>
      <c r="Z49" s="51">
        <v>6.3091482649841879E-3</v>
      </c>
      <c r="AA49" s="51">
        <v>-0.14933333333333332</v>
      </c>
      <c r="AB49" s="59" t="s">
        <v>84</v>
      </c>
      <c r="AC49" s="63" t="s">
        <v>85</v>
      </c>
      <c r="AD49" s="63" t="s">
        <v>85</v>
      </c>
      <c r="AE49" s="49" t="s">
        <v>142</v>
      </c>
      <c r="AF49" s="49" t="s">
        <v>95</v>
      </c>
      <c r="AG49" s="49" t="s">
        <v>100</v>
      </c>
      <c r="AH49" s="182" t="s">
        <v>175</v>
      </c>
      <c r="AI49" s="182" t="s">
        <v>171</v>
      </c>
      <c r="AJ49" s="51"/>
      <c r="AK49" s="51"/>
      <c r="AL49" s="51"/>
      <c r="AM49" s="51" t="str">
        <f ca="1">IFERROR(__xludf.DUMMYFUNCTION("GoogleFinance(B49,""price"",DATE(2025,9,19))"),"Date")</f>
        <v>Date</v>
      </c>
      <c r="AN49" s="69" t="str">
        <f ca="1">IFERROR(__xludf.DUMMYFUNCTION("""COMPUTED_VALUE"""),"Close")</f>
        <v>Close</v>
      </c>
      <c r="AO49" s="51" t="str">
        <f ca="1">IFERROR(__xludf.DUMMYFUNCTION("GoogleFinance(B49,""price"",DATE(2025,8,29))"),"Date")</f>
        <v>Date</v>
      </c>
      <c r="AP49" s="69" t="str">
        <f ca="1">IFERROR(__xludf.DUMMYFUNCTION("""COMPUTED_VALUE"""),"Close")</f>
        <v>Close</v>
      </c>
      <c r="AQ49" s="51" t="str">
        <f ca="1">IFERROR(__xludf.DUMMYFUNCTION("GoogleFinance(B49,""price"",today()-93)"),"#N/A")</f>
        <v>#N/A</v>
      </c>
      <c r="AR49" s="69"/>
      <c r="AS49" s="51" t="str">
        <f ca="1">IFERROR(__xludf.DUMMYFUNCTION("GoogleFinance(B49,""price"",today()-184)"),"#N/A")</f>
        <v>#N/A</v>
      </c>
      <c r="AT49" s="69"/>
      <c r="AU49" s="70" t="str">
        <f ca="1">IFERROR(__xludf.DUMMYFUNCTION("GoogleFinance(B49,""price"",DATE(2024,12,31))"),"Date")</f>
        <v>Date</v>
      </c>
      <c r="AV49" s="69" t="str">
        <f ca="1">IFERROR(__xludf.DUMMYFUNCTION("""COMPUTED_VALUE"""),"Close")</f>
        <v>Close</v>
      </c>
      <c r="AW49" s="153"/>
      <c r="AX49" s="153"/>
      <c r="AY49" s="154"/>
      <c r="AZ49" s="154"/>
      <c r="BA49" s="154"/>
      <c r="BB49" s="154"/>
      <c r="BC49" s="154"/>
      <c r="BD49" s="154"/>
      <c r="BE49" s="154"/>
      <c r="BF49" s="154"/>
      <c r="BG49" s="154"/>
      <c r="BH49" s="154"/>
      <c r="BI49" s="153"/>
      <c r="BJ49" s="153"/>
      <c r="BK49" s="153"/>
      <c r="BL49" s="153"/>
      <c r="BM49" s="153"/>
      <c r="BN49" s="153"/>
      <c r="BO49" s="153"/>
      <c r="BP49" s="153"/>
      <c r="BQ49" s="153"/>
      <c r="BR49" s="153"/>
      <c r="BS49" s="154"/>
      <c r="BT49" s="154"/>
      <c r="BU49" s="154"/>
      <c r="BV49" s="154"/>
      <c r="BW49" s="154"/>
      <c r="BX49" s="154"/>
      <c r="BY49" s="154"/>
      <c r="BZ49" s="154"/>
      <c r="CA49" s="154"/>
    </row>
    <row r="50" spans="1:79" ht="13.2" hidden="1">
      <c r="A50" s="45" t="e">
        <f t="shared" si="6"/>
        <v>#REF!</v>
      </c>
      <c r="B50" s="46"/>
      <c r="C50" s="152"/>
      <c r="D50" s="48"/>
      <c r="E50" s="49"/>
      <c r="F50" s="49"/>
      <c r="G50" s="82"/>
      <c r="H50" s="51"/>
      <c r="I50" s="155"/>
      <c r="J50" s="53"/>
      <c r="K50" s="54"/>
      <c r="L50" s="49"/>
      <c r="M50" s="49"/>
      <c r="N50" s="156"/>
      <c r="O50" s="157"/>
      <c r="P50" s="158"/>
      <c r="Q50" s="159"/>
      <c r="R50" s="61"/>
      <c r="S50" s="51"/>
      <c r="T50" s="51"/>
      <c r="U50" s="51"/>
      <c r="V50" s="61"/>
      <c r="W50" s="51"/>
      <c r="X50" s="51"/>
      <c r="Y50" s="51"/>
      <c r="Z50" s="51"/>
      <c r="AA50" s="51"/>
      <c r="AB50" s="59" t="s">
        <v>91</v>
      </c>
      <c r="AC50" s="160"/>
      <c r="AD50" s="160"/>
      <c r="AE50" s="160"/>
      <c r="AF50" s="160"/>
      <c r="AG50" s="160"/>
      <c r="AH50" s="183"/>
      <c r="AI50" s="183"/>
      <c r="AJ50" s="51"/>
      <c r="AK50" s="51"/>
      <c r="AL50" s="51"/>
      <c r="AM50" s="82">
        <f ca="1">IFERROR(__xludf.DUMMYFUNCTION("""COMPUTED_VALUE"""),45919.6666666666)</f>
        <v>45919.666666666599</v>
      </c>
      <c r="AN50" s="69">
        <f ca="1">IFERROR(__xludf.DUMMYFUNCTION("""COMPUTED_VALUE"""),3.32)</f>
        <v>3.32</v>
      </c>
      <c r="AO50" s="82">
        <f ca="1">IFERROR(__xludf.DUMMYFUNCTION("""COMPUTED_VALUE"""),45898.6666666666)</f>
        <v>45898.666666666599</v>
      </c>
      <c r="AP50" s="69">
        <f ca="1">IFERROR(__xludf.DUMMYFUNCTION("""COMPUTED_VALUE"""),3.03)</f>
        <v>3.03</v>
      </c>
      <c r="AQ50" s="82"/>
      <c r="AR50" s="69"/>
      <c r="AS50" s="82"/>
      <c r="AT50" s="69"/>
      <c r="AU50" s="82">
        <f ca="1">IFERROR(__xludf.DUMMYFUNCTION("""COMPUTED_VALUE"""),45657.6666666666)</f>
        <v>45657.666666666599</v>
      </c>
      <c r="AV50" s="69">
        <f ca="1">IFERROR(__xludf.DUMMYFUNCTION("""COMPUTED_VALUE"""),3.75)</f>
        <v>3.75</v>
      </c>
      <c r="AW50" s="153"/>
      <c r="AX50" s="153"/>
      <c r="AY50" s="154"/>
      <c r="AZ50" s="154"/>
      <c r="BA50" s="154"/>
      <c r="BB50" s="154"/>
      <c r="BC50" s="154"/>
      <c r="BD50" s="154"/>
      <c r="BE50" s="154"/>
      <c r="BF50" s="153"/>
      <c r="BG50" s="153"/>
      <c r="BH50" s="153"/>
      <c r="BI50" s="153"/>
      <c r="BJ50" s="153"/>
      <c r="BK50" s="153"/>
      <c r="BL50" s="153"/>
      <c r="BM50" s="153"/>
      <c r="BN50" s="153"/>
      <c r="BO50" s="153"/>
      <c r="BP50" s="153"/>
      <c r="BQ50" s="153"/>
      <c r="BR50" s="153"/>
      <c r="BS50" s="154"/>
      <c r="BT50" s="154"/>
      <c r="BU50" s="154"/>
      <c r="BV50" s="154"/>
      <c r="BW50" s="154"/>
      <c r="BX50" s="154"/>
      <c r="BY50" s="154"/>
      <c r="BZ50" s="154"/>
      <c r="CA50" s="154"/>
    </row>
    <row r="51" spans="1:79" ht="19.2">
      <c r="A51" s="45">
        <f t="shared" si="6"/>
        <v>24</v>
      </c>
      <c r="B51" s="46" t="s">
        <v>176</v>
      </c>
      <c r="C51" s="152" t="str">
        <f ca="1">IFERROR(__xludf.DUMMYFUNCTION("GoogleFinance(B51,""name"")"),"First Trust Natural Gas ETF")</f>
        <v>First Trust Natural Gas ETF</v>
      </c>
      <c r="D51" s="48" t="str">
        <f ca="1">IFERROR(__xludf.DUMMYFUNCTION("GoogleFinance(B51,""marketcap"")/1000000"),"#N/A")</f>
        <v>#N/A</v>
      </c>
      <c r="E51" s="49" t="s">
        <v>15</v>
      </c>
      <c r="F51" s="49" t="s">
        <v>177</v>
      </c>
      <c r="G51" s="82">
        <v>45894</v>
      </c>
      <c r="H51" s="51">
        <v>0.03</v>
      </c>
      <c r="I51" s="52">
        <f ca="1">N51/$M$84</f>
        <v>3.4798529002607624E-2</v>
      </c>
      <c r="J51" s="53">
        <v>24.25</v>
      </c>
      <c r="K51" s="54">
        <v>23.29</v>
      </c>
      <c r="L51" s="55">
        <v>214.68441391155002</v>
      </c>
      <c r="M51" s="56">
        <v>5000</v>
      </c>
      <c r="N51" s="57">
        <v>5206.0970373550881</v>
      </c>
      <c r="O51" s="57">
        <v>206.0970373550881</v>
      </c>
      <c r="P51" s="51">
        <v>4.1219407471017711E-2</v>
      </c>
      <c r="Q51" s="58">
        <v>35</v>
      </c>
      <c r="R51" s="59">
        <v>20</v>
      </c>
      <c r="S51" s="51">
        <v>-0.17525773195876293</v>
      </c>
      <c r="T51" s="49">
        <v>35</v>
      </c>
      <c r="U51" s="51">
        <v>0.44329896907216493</v>
      </c>
      <c r="V51" s="61">
        <v>1.1299999999999999E-2</v>
      </c>
      <c r="W51" s="51">
        <v>5.4806437581557343E-2</v>
      </c>
      <c r="X51" s="51">
        <v>7.478188616535153E-3</v>
      </c>
      <c r="Y51" s="51">
        <v>4.9329294677628699E-2</v>
      </c>
      <c r="Z51" s="51">
        <v>-2.4144869215291798E-2</v>
      </c>
      <c r="AA51" s="51">
        <v>-1.542833942346733E-2</v>
      </c>
      <c r="AB51" s="59" t="s">
        <v>84</v>
      </c>
      <c r="AC51" s="63" t="s">
        <v>85</v>
      </c>
      <c r="AD51" s="63" t="s">
        <v>85</v>
      </c>
      <c r="AE51" s="49" t="s">
        <v>142</v>
      </c>
      <c r="AF51" s="49" t="s">
        <v>95</v>
      </c>
      <c r="AG51" s="49" t="s">
        <v>100</v>
      </c>
      <c r="AH51" s="182" t="s">
        <v>178</v>
      </c>
      <c r="AI51" s="182" t="s">
        <v>179</v>
      </c>
      <c r="AJ51" s="51"/>
      <c r="AK51" s="51"/>
      <c r="AL51" s="51"/>
      <c r="AM51" s="51" t="str">
        <f ca="1">IFERROR(__xludf.DUMMYFUNCTION("GoogleFinance(B51,""price"",DATE(2025,9,19))"),"Date")</f>
        <v>Date</v>
      </c>
      <c r="AN51" s="69" t="str">
        <f ca="1">IFERROR(__xludf.DUMMYFUNCTION("""COMPUTED_VALUE"""),"Close")</f>
        <v>Close</v>
      </c>
      <c r="AO51" s="51" t="str">
        <f ca="1">IFERROR(__xludf.DUMMYFUNCTION("GoogleFinance(B51,""price"",DATE(2025,8,29))"),"Date")</f>
        <v>Date</v>
      </c>
      <c r="AP51" s="69" t="str">
        <f ca="1">IFERROR(__xludf.DUMMYFUNCTION("""COMPUTED_VALUE"""),"Close")</f>
        <v>Close</v>
      </c>
      <c r="AQ51" s="51" t="str">
        <f ca="1">IFERROR(__xludf.DUMMYFUNCTION("GoogleFinance(B51,""price"",today()-93)"),"#N/A")</f>
        <v>#N/A</v>
      </c>
      <c r="AR51" s="69"/>
      <c r="AS51" s="51" t="str">
        <f ca="1">IFERROR(__xludf.DUMMYFUNCTION("GoogleFinance(B51,""price"",today()-184)"),"#N/A")</f>
        <v>#N/A</v>
      </c>
      <c r="AT51" s="69"/>
      <c r="AU51" s="70" t="str">
        <f ca="1">IFERROR(__xludf.DUMMYFUNCTION("GoogleFinance(B51,""price"",DATE(2024,12,31))"),"Date")</f>
        <v>Date</v>
      </c>
      <c r="AV51" s="69" t="str">
        <f ca="1">IFERROR(__xludf.DUMMYFUNCTION("""COMPUTED_VALUE"""),"Close")</f>
        <v>Close</v>
      </c>
      <c r="AW51" s="153"/>
      <c r="AX51" s="153"/>
      <c r="AY51" s="154"/>
      <c r="AZ51" s="154"/>
      <c r="BA51" s="154"/>
      <c r="BB51" s="154"/>
      <c r="BC51" s="154"/>
      <c r="BD51" s="154"/>
      <c r="BE51" s="154"/>
      <c r="BF51" s="154"/>
      <c r="BG51" s="154"/>
      <c r="BH51" s="154"/>
      <c r="BI51" s="153"/>
      <c r="BJ51" s="153"/>
      <c r="BK51" s="153"/>
      <c r="BL51" s="153"/>
      <c r="BM51" s="153"/>
      <c r="BN51" s="153"/>
      <c r="BO51" s="153"/>
      <c r="BP51" s="153"/>
      <c r="BQ51" s="153"/>
      <c r="BR51" s="153"/>
      <c r="BS51" s="154"/>
      <c r="BT51" s="154"/>
      <c r="BU51" s="154"/>
      <c r="BV51" s="154"/>
      <c r="BW51" s="154"/>
      <c r="BX51" s="154"/>
      <c r="BY51" s="154"/>
      <c r="BZ51" s="154"/>
      <c r="CA51" s="154"/>
    </row>
    <row r="52" spans="1:79" ht="13.2" hidden="1">
      <c r="A52" s="89" t="e">
        <f t="shared" si="6"/>
        <v>#REF!</v>
      </c>
      <c r="B52" s="184"/>
      <c r="C52" s="185"/>
      <c r="D52" s="186"/>
      <c r="E52" s="187"/>
      <c r="F52" s="187"/>
      <c r="G52" s="105"/>
      <c r="H52" s="102"/>
      <c r="I52" s="188"/>
      <c r="J52" s="180"/>
      <c r="K52" s="189"/>
      <c r="L52" s="187"/>
      <c r="M52" s="187"/>
      <c r="N52" s="190"/>
      <c r="O52" s="191"/>
      <c r="P52" s="192"/>
      <c r="Q52" s="193"/>
      <c r="R52" s="101"/>
      <c r="S52" s="102"/>
      <c r="T52" s="102"/>
      <c r="U52" s="102"/>
      <c r="V52" s="101"/>
      <c r="W52" s="102"/>
      <c r="X52" s="102"/>
      <c r="Y52" s="102"/>
      <c r="Z52" s="102"/>
      <c r="AA52" s="102"/>
      <c r="AB52" s="103" t="s">
        <v>91</v>
      </c>
      <c r="AC52" s="194"/>
      <c r="AD52" s="194"/>
      <c r="AE52" s="194"/>
      <c r="AF52" s="194"/>
      <c r="AG52" s="194"/>
      <c r="AH52" s="195"/>
      <c r="AI52" s="195"/>
      <c r="AJ52" s="102"/>
      <c r="AK52" s="102"/>
      <c r="AL52" s="102"/>
      <c r="AM52" s="105">
        <f ca="1">IFERROR(__xludf.DUMMYFUNCTION("""COMPUTED_VALUE"""),45919.6666666666)</f>
        <v>45919.666666666599</v>
      </c>
      <c r="AN52" s="181">
        <f ca="1">IFERROR(__xludf.DUMMYFUNCTION("""COMPUTED_VALUE"""),22.99)</f>
        <v>22.99</v>
      </c>
      <c r="AO52" s="105">
        <f ca="1">IFERROR(__xludf.DUMMYFUNCTION("""COMPUTED_VALUE"""),45898.6666666666)</f>
        <v>45898.666666666599</v>
      </c>
      <c r="AP52" s="181">
        <f ca="1">IFERROR(__xludf.DUMMYFUNCTION("""COMPUTED_VALUE"""),24.07)</f>
        <v>24.07</v>
      </c>
      <c r="AQ52" s="105"/>
      <c r="AR52" s="181"/>
      <c r="AS52" s="105"/>
      <c r="AT52" s="181"/>
      <c r="AU52" s="105">
        <f ca="1">IFERROR(__xludf.DUMMYFUNCTION("""COMPUTED_VALUE"""),45657.6666666666)</f>
        <v>45657.666666666599</v>
      </c>
      <c r="AV52" s="181">
        <f ca="1">IFERROR(__xludf.DUMMYFUNCTION("""COMPUTED_VALUE"""),24.63)</f>
        <v>24.63</v>
      </c>
      <c r="AW52" s="196"/>
      <c r="AX52" s="196"/>
      <c r="AY52" s="197"/>
      <c r="AZ52" s="197"/>
      <c r="BA52" s="197"/>
      <c r="BB52" s="197"/>
      <c r="BC52" s="197"/>
      <c r="BD52" s="197"/>
      <c r="BE52" s="197"/>
      <c r="BF52" s="196"/>
      <c r="BG52" s="196"/>
      <c r="BH52" s="196"/>
      <c r="BI52" s="196"/>
      <c r="BJ52" s="196"/>
      <c r="BK52" s="196"/>
      <c r="BL52" s="196"/>
      <c r="BM52" s="196"/>
      <c r="BN52" s="196"/>
      <c r="BO52" s="196"/>
      <c r="BP52" s="196"/>
      <c r="BQ52" s="196"/>
      <c r="BR52" s="196"/>
      <c r="BS52" s="197"/>
      <c r="BT52" s="197"/>
      <c r="BU52" s="197"/>
      <c r="BV52" s="197"/>
      <c r="BW52" s="197"/>
      <c r="BX52" s="197"/>
      <c r="BY52" s="197"/>
      <c r="BZ52" s="197"/>
      <c r="CA52" s="197"/>
    </row>
    <row r="53" spans="1:79" ht="19.2">
      <c r="A53" s="45">
        <f t="shared" si="6"/>
        <v>25</v>
      </c>
      <c r="B53" s="46" t="s">
        <v>16</v>
      </c>
      <c r="C53" s="152" t="str">
        <f ca="1">IFERROR(__xludf.DUMMYFUNCTION("GoogleFinance(B53,""name"")"),"Health Care Select Sector SPDR Fund")</f>
        <v>Health Care Select Sector SPDR Fund</v>
      </c>
      <c r="D53" s="48" t="str">
        <f ca="1">IFERROR(__xludf.DUMMYFUNCTION("GoogleFinance(B53,""marketcap"")/1000000"),"#N/A")</f>
        <v>#N/A</v>
      </c>
      <c r="E53" s="49" t="s">
        <v>17</v>
      </c>
      <c r="F53" s="49" t="s">
        <v>17</v>
      </c>
      <c r="G53" s="82">
        <v>45818</v>
      </c>
      <c r="H53" s="51">
        <v>0.08</v>
      </c>
      <c r="I53" s="52">
        <f ca="1">N53/$M$84</f>
        <v>3.0048073265397764E-2</v>
      </c>
      <c r="J53" s="53">
        <v>135.5</v>
      </c>
      <c r="K53" s="54">
        <v>135.69</v>
      </c>
      <c r="L53" s="55">
        <v>33.176357874567032</v>
      </c>
      <c r="M53" s="56">
        <v>4501.7000000000007</v>
      </c>
      <c r="N53" s="57">
        <v>4495.3964920038325</v>
      </c>
      <c r="O53" s="57">
        <v>-6.3035079961682641</v>
      </c>
      <c r="P53" s="51">
        <v>-1.4002505711547819E-3</v>
      </c>
      <c r="Q53" s="58">
        <v>111</v>
      </c>
      <c r="R53" s="59">
        <v>120</v>
      </c>
      <c r="S53" s="51">
        <v>-0.11439114391143912</v>
      </c>
      <c r="T53" s="49">
        <v>160</v>
      </c>
      <c r="U53" s="51">
        <v>0.18081180811808117</v>
      </c>
      <c r="V53" s="61">
        <v>1.0200000000000001E-2</v>
      </c>
      <c r="W53" s="51">
        <v>-1.3038094544394974E-2</v>
      </c>
      <c r="X53" s="51">
        <v>-1.404351306119489E-2</v>
      </c>
      <c r="Y53" s="51">
        <v>5.2674530751539717E-3</v>
      </c>
      <c r="Z53" s="51">
        <v>-7.1981371138963079E-2</v>
      </c>
      <c r="AA53" s="51">
        <v>-1.5046885222068762E-2</v>
      </c>
      <c r="AB53" s="59" t="s">
        <v>84</v>
      </c>
      <c r="AC53" s="63" t="s">
        <v>85</v>
      </c>
      <c r="AD53" s="63" t="s">
        <v>85</v>
      </c>
      <c r="AE53" s="49" t="s">
        <v>142</v>
      </c>
      <c r="AF53" s="49" t="s">
        <v>95</v>
      </c>
      <c r="AG53" s="49" t="s">
        <v>88</v>
      </c>
      <c r="AH53" s="182" t="s">
        <v>180</v>
      </c>
      <c r="AI53" s="182" t="s">
        <v>181</v>
      </c>
      <c r="AJ53" s="51"/>
      <c r="AK53" s="51"/>
      <c r="AL53" s="51"/>
      <c r="AM53" s="51" t="str">
        <f ca="1">IFERROR(__xludf.DUMMYFUNCTION("GoogleFinance(B53,""price"",DATE(2025,9,19))"),"Date")</f>
        <v>Date</v>
      </c>
      <c r="AN53" s="69" t="str">
        <f ca="1">IFERROR(__xludf.DUMMYFUNCTION("""COMPUTED_VALUE"""),"Close")</f>
        <v>Close</v>
      </c>
      <c r="AO53" s="51" t="str">
        <f ca="1">IFERROR(__xludf.DUMMYFUNCTION("GoogleFinance(B53,""price"",DATE(2025,8,29))"),"Date")</f>
        <v>Date</v>
      </c>
      <c r="AP53" s="69" t="str">
        <f ca="1">IFERROR(__xludf.DUMMYFUNCTION("""COMPUTED_VALUE"""),"Close")</f>
        <v>Close</v>
      </c>
      <c r="AQ53" s="51" t="str">
        <f ca="1">IFERROR(__xludf.DUMMYFUNCTION("GoogleFinance(B53,""price"",today()-93)"),"#N/A")</f>
        <v>#N/A</v>
      </c>
      <c r="AR53" s="69"/>
      <c r="AS53" s="51" t="str">
        <f ca="1">IFERROR(__xludf.DUMMYFUNCTION("GoogleFinance(B53,""price"",today()-184)"),"#N/A")</f>
        <v>#N/A</v>
      </c>
      <c r="AT53" s="69"/>
      <c r="AU53" s="70" t="str">
        <f ca="1">IFERROR(__xludf.DUMMYFUNCTION("GoogleFinance(B53,""price"",DATE(2024,12,31))"),"Date")</f>
        <v>Date</v>
      </c>
      <c r="AV53" s="69" t="str">
        <f ca="1">IFERROR(__xludf.DUMMYFUNCTION("""COMPUTED_VALUE"""),"Close")</f>
        <v>Close</v>
      </c>
      <c r="AW53" s="153"/>
      <c r="AX53" s="153"/>
      <c r="AY53" s="154"/>
      <c r="AZ53" s="154"/>
      <c r="BA53" s="154"/>
      <c r="BB53" s="154"/>
      <c r="BC53" s="154"/>
      <c r="BD53" s="154"/>
      <c r="BE53" s="154"/>
      <c r="BF53" s="154"/>
      <c r="BG53" s="154"/>
      <c r="BH53" s="154"/>
      <c r="BI53" s="153"/>
      <c r="BJ53" s="153"/>
      <c r="BK53" s="153"/>
      <c r="BL53" s="153"/>
      <c r="BM53" s="153"/>
      <c r="BN53" s="153"/>
      <c r="BO53" s="153"/>
      <c r="BP53" s="153"/>
      <c r="BQ53" s="153"/>
      <c r="BR53" s="153"/>
      <c r="BS53" s="154"/>
      <c r="BT53" s="154"/>
      <c r="BU53" s="154"/>
      <c r="BV53" s="154"/>
      <c r="BW53" s="154"/>
      <c r="BX53" s="154"/>
      <c r="BY53" s="154"/>
      <c r="BZ53" s="154"/>
      <c r="CA53" s="154"/>
    </row>
    <row r="54" spans="1:79" ht="13.2" hidden="1">
      <c r="A54" s="89" t="e">
        <f>A48+1</f>
        <v>#REF!</v>
      </c>
      <c r="B54" s="184"/>
      <c r="C54" s="185"/>
      <c r="D54" s="186"/>
      <c r="E54" s="187"/>
      <c r="F54" s="187"/>
      <c r="G54" s="105"/>
      <c r="H54" s="102"/>
      <c r="I54" s="188"/>
      <c r="J54" s="180"/>
      <c r="K54" s="189"/>
      <c r="L54" s="187"/>
      <c r="M54" s="187"/>
      <c r="N54" s="190"/>
      <c r="O54" s="191"/>
      <c r="P54" s="192"/>
      <c r="Q54" s="193"/>
      <c r="R54" s="101"/>
      <c r="S54" s="102"/>
      <c r="T54" s="102"/>
      <c r="U54" s="102"/>
      <c r="V54" s="101"/>
      <c r="W54" s="102"/>
      <c r="X54" s="102"/>
      <c r="Y54" s="102"/>
      <c r="Z54" s="102"/>
      <c r="AA54" s="102"/>
      <c r="AB54" s="103" t="s">
        <v>91</v>
      </c>
      <c r="AC54" s="194"/>
      <c r="AD54" s="194"/>
      <c r="AE54" s="194"/>
      <c r="AF54" s="194"/>
      <c r="AG54" s="194"/>
      <c r="AH54" s="195"/>
      <c r="AI54" s="195"/>
      <c r="AJ54" s="102"/>
      <c r="AK54" s="102"/>
      <c r="AL54" s="102"/>
      <c r="AM54" s="105">
        <f ca="1">IFERROR(__xludf.DUMMYFUNCTION("""COMPUTED_VALUE"""),45919.6666666666)</f>
        <v>45919.666666666599</v>
      </c>
      <c r="AN54" s="181">
        <f ca="1">IFERROR(__xludf.DUMMYFUNCTION("""COMPUTED_VALUE"""),137.29)</f>
        <v>137.29</v>
      </c>
      <c r="AO54" s="105">
        <f ca="1">IFERROR(__xludf.DUMMYFUNCTION("""COMPUTED_VALUE"""),45898.6666666666)</f>
        <v>45898.666666666599</v>
      </c>
      <c r="AP54" s="181">
        <f ca="1">IFERROR(__xludf.DUMMYFUNCTION("""COMPUTED_VALUE"""),137.43)</f>
        <v>137.43</v>
      </c>
      <c r="AQ54" s="105"/>
      <c r="AR54" s="181"/>
      <c r="AS54" s="105"/>
      <c r="AT54" s="181"/>
      <c r="AU54" s="105">
        <f ca="1">IFERROR(__xludf.DUMMYFUNCTION("""COMPUTED_VALUE"""),45657.6666666666)</f>
        <v>45657.666666666599</v>
      </c>
      <c r="AV54" s="181">
        <f ca="1">IFERROR(__xludf.DUMMYFUNCTION("""COMPUTED_VALUE"""),137.57)</f>
        <v>137.57</v>
      </c>
      <c r="AW54" s="196"/>
      <c r="AX54" s="196"/>
      <c r="AY54" s="197"/>
      <c r="AZ54" s="197"/>
      <c r="BA54" s="197"/>
      <c r="BB54" s="197"/>
      <c r="BC54" s="197"/>
      <c r="BD54" s="197"/>
      <c r="BE54" s="197"/>
      <c r="BF54" s="196"/>
      <c r="BG54" s="196"/>
      <c r="BH54" s="196"/>
      <c r="BI54" s="196"/>
      <c r="BJ54" s="196"/>
      <c r="BK54" s="196"/>
      <c r="BL54" s="196"/>
      <c r="BM54" s="196"/>
      <c r="BN54" s="196"/>
      <c r="BO54" s="196"/>
      <c r="BP54" s="196"/>
      <c r="BQ54" s="196"/>
      <c r="BR54" s="196"/>
      <c r="BS54" s="197"/>
      <c r="BT54" s="197"/>
      <c r="BU54" s="197"/>
      <c r="BV54" s="197"/>
      <c r="BW54" s="197"/>
      <c r="BX54" s="197"/>
      <c r="BY54" s="197"/>
      <c r="BZ54" s="197"/>
      <c r="CA54" s="197"/>
    </row>
    <row r="55" spans="1:79" ht="28.8">
      <c r="A55" s="45">
        <f t="shared" ref="A55:A57" si="7">A53+1</f>
        <v>26</v>
      </c>
      <c r="B55" s="46" t="s">
        <v>182</v>
      </c>
      <c r="C55" s="152" t="str">
        <f ca="1">IFERROR(__xludf.DUMMYFUNCTION("GoogleFinance(B55,""name"")"),"UnitedHealth Group Inc")</f>
        <v>UnitedHealth Group Inc</v>
      </c>
      <c r="D55" s="48">
        <f ca="1">IFERROR(__xludf.DUMMYFUNCTION("GoogleFinance(B55,""marketcap"")/1000000"),311624.160126)</f>
        <v>311624.160126</v>
      </c>
      <c r="E55" s="49" t="s">
        <v>17</v>
      </c>
      <c r="F55" s="49" t="s">
        <v>17</v>
      </c>
      <c r="G55" s="82">
        <v>45877</v>
      </c>
      <c r="H55" s="51">
        <v>0.02</v>
      </c>
      <c r="I55" s="52">
        <f ca="1">N55/$M$84</f>
        <v>2.9450439405180356E-2</v>
      </c>
      <c r="J55" s="53">
        <v>344.08</v>
      </c>
      <c r="K55" s="54">
        <v>249.9</v>
      </c>
      <c r="L55" s="55">
        <v>12.805122048819527</v>
      </c>
      <c r="M55" s="56">
        <v>3200</v>
      </c>
      <c r="N55" s="57">
        <v>4405.9863945578227</v>
      </c>
      <c r="O55" s="57">
        <v>1205.9863945578227</v>
      </c>
      <c r="P55" s="51">
        <v>0.37687074829931966</v>
      </c>
      <c r="Q55" s="58">
        <v>52</v>
      </c>
      <c r="R55" s="59">
        <v>230</v>
      </c>
      <c r="S55" s="51">
        <v>-0.33155080213903743</v>
      </c>
      <c r="T55" s="49">
        <v>400</v>
      </c>
      <c r="U55" s="51">
        <v>0.1625203441060219</v>
      </c>
      <c r="V55" s="61">
        <v>-4.3E-3</v>
      </c>
      <c r="W55" s="51">
        <v>2.1948973833496588E-2</v>
      </c>
      <c r="X55" s="51">
        <v>0.11040113596024126</v>
      </c>
      <c r="Y55" s="51">
        <v>0.10292656345161388</v>
      </c>
      <c r="Z55" s="51">
        <v>-0.3430453460620525</v>
      </c>
      <c r="AA55" s="51">
        <v>-0.31981180563792355</v>
      </c>
      <c r="AB55" s="59" t="s">
        <v>84</v>
      </c>
      <c r="AC55" s="63" t="s">
        <v>85</v>
      </c>
      <c r="AD55" s="63" t="s">
        <v>85</v>
      </c>
      <c r="AE55" s="49" t="s">
        <v>142</v>
      </c>
      <c r="AF55" s="49" t="s">
        <v>95</v>
      </c>
      <c r="AG55" s="49" t="s">
        <v>88</v>
      </c>
      <c r="AH55" s="182" t="s">
        <v>183</v>
      </c>
      <c r="AI55" s="182" t="s">
        <v>184</v>
      </c>
      <c r="AJ55" s="51"/>
      <c r="AK55" s="51"/>
      <c r="AL55" s="51"/>
      <c r="AM55" s="51" t="str">
        <f ca="1">IFERROR(__xludf.DUMMYFUNCTION("GoogleFinance(B55,""price"",DATE(2025,9,19))"),"Date")</f>
        <v>Date</v>
      </c>
      <c r="AN55" s="69" t="str">
        <f ca="1">IFERROR(__xludf.DUMMYFUNCTION("""COMPUTED_VALUE"""),"Close")</f>
        <v>Close</v>
      </c>
      <c r="AO55" s="51" t="str">
        <f ca="1">IFERROR(__xludf.DUMMYFUNCTION("GoogleFinance(B55,""price"",DATE(2025,8,29))"),"Date")</f>
        <v>Date</v>
      </c>
      <c r="AP55" s="69" t="str">
        <f ca="1">IFERROR(__xludf.DUMMYFUNCTION("""COMPUTED_VALUE"""),"Close")</f>
        <v>Close</v>
      </c>
      <c r="AQ55" s="51" t="str">
        <f ca="1">IFERROR(__xludf.DUMMYFUNCTION("GoogleFinance(B55,""price"",today()-93)"),"#N/A")</f>
        <v>#N/A</v>
      </c>
      <c r="AR55" s="69"/>
      <c r="AS55" s="51" t="str">
        <f ca="1">IFERROR(__xludf.DUMMYFUNCTION("GoogleFinance(B55,""price"",today()-184)"),"#N/A")</f>
        <v>#N/A</v>
      </c>
      <c r="AT55" s="69"/>
      <c r="AU55" s="70" t="str">
        <f ca="1">IFERROR(__xludf.DUMMYFUNCTION("GoogleFinance(B55,""price"",DATE(2024,12,31))"),"Date")</f>
        <v>Date</v>
      </c>
      <c r="AV55" s="69" t="str">
        <f ca="1">IFERROR(__xludf.DUMMYFUNCTION("""COMPUTED_VALUE"""),"Close")</f>
        <v>Close</v>
      </c>
      <c r="AW55" s="153"/>
      <c r="AX55" s="153"/>
      <c r="AY55" s="154"/>
      <c r="AZ55" s="154"/>
      <c r="BA55" s="154"/>
      <c r="BB55" s="154"/>
      <c r="BC55" s="154"/>
      <c r="BD55" s="154"/>
      <c r="BE55" s="154"/>
      <c r="BF55" s="154"/>
      <c r="BG55" s="154"/>
      <c r="BH55" s="154"/>
      <c r="BI55" s="153"/>
      <c r="BJ55" s="153"/>
      <c r="BK55" s="153"/>
      <c r="BL55" s="153"/>
      <c r="BM55" s="153"/>
      <c r="BN55" s="153"/>
      <c r="BO55" s="153"/>
      <c r="BP55" s="153"/>
      <c r="BQ55" s="153"/>
      <c r="BR55" s="153"/>
      <c r="BS55" s="154"/>
      <c r="BT55" s="154"/>
      <c r="BU55" s="154"/>
      <c r="BV55" s="154"/>
      <c r="BW55" s="154"/>
      <c r="BX55" s="154"/>
      <c r="BY55" s="154"/>
      <c r="BZ55" s="154"/>
      <c r="CA55" s="154"/>
    </row>
    <row r="56" spans="1:79" ht="13.2" hidden="1">
      <c r="A56" s="45" t="e">
        <f t="shared" si="7"/>
        <v>#REF!</v>
      </c>
      <c r="B56" s="46"/>
      <c r="C56" s="152"/>
      <c r="D56" s="48"/>
      <c r="E56" s="49"/>
      <c r="F56" s="49"/>
      <c r="G56" s="82"/>
      <c r="H56" s="51"/>
      <c r="I56" s="155"/>
      <c r="J56" s="53"/>
      <c r="K56" s="54"/>
      <c r="L56" s="49"/>
      <c r="M56" s="49"/>
      <c r="N56" s="156"/>
      <c r="O56" s="157"/>
      <c r="P56" s="158"/>
      <c r="Q56" s="159"/>
      <c r="R56" s="61"/>
      <c r="S56" s="51"/>
      <c r="T56" s="51"/>
      <c r="U56" s="51"/>
      <c r="V56" s="61"/>
      <c r="W56" s="51"/>
      <c r="X56" s="51"/>
      <c r="Y56" s="51"/>
      <c r="Z56" s="51"/>
      <c r="AA56" s="51"/>
      <c r="AB56" s="59" t="s">
        <v>91</v>
      </c>
      <c r="AC56" s="160"/>
      <c r="AD56" s="160"/>
      <c r="AE56" s="160"/>
      <c r="AF56" s="160"/>
      <c r="AG56" s="160"/>
      <c r="AH56" s="183"/>
      <c r="AI56" s="183"/>
      <c r="AJ56" s="51"/>
      <c r="AK56" s="51"/>
      <c r="AL56" s="51"/>
      <c r="AM56" s="82">
        <f ca="1">IFERROR(__xludf.DUMMYFUNCTION("""COMPUTED_VALUE"""),45919.6666666666)</f>
        <v>45919.666666666599</v>
      </c>
      <c r="AN56" s="69">
        <f ca="1">IFERROR(__xludf.DUMMYFUNCTION("""COMPUTED_VALUE"""),336.69)</f>
        <v>336.69</v>
      </c>
      <c r="AO56" s="82">
        <f ca="1">IFERROR(__xludf.DUMMYFUNCTION("""COMPUTED_VALUE"""),45898.6666666666)</f>
        <v>45898.666666666599</v>
      </c>
      <c r="AP56" s="69">
        <f ca="1">IFERROR(__xludf.DUMMYFUNCTION("""COMPUTED_VALUE"""),309.87)</f>
        <v>309.87</v>
      </c>
      <c r="AQ56" s="82"/>
      <c r="AR56" s="69"/>
      <c r="AS56" s="82"/>
      <c r="AT56" s="69"/>
      <c r="AU56" s="82">
        <f ca="1">IFERROR(__xludf.DUMMYFUNCTION("""COMPUTED_VALUE"""),45657.6666666666)</f>
        <v>45657.666666666599</v>
      </c>
      <c r="AV56" s="69">
        <f ca="1">IFERROR(__xludf.DUMMYFUNCTION("""COMPUTED_VALUE"""),505.86)</f>
        <v>505.86</v>
      </c>
      <c r="AW56" s="153"/>
      <c r="AX56" s="153"/>
      <c r="AY56" s="154"/>
      <c r="AZ56" s="154"/>
      <c r="BA56" s="154"/>
      <c r="BB56" s="154"/>
      <c r="BC56" s="154"/>
      <c r="BD56" s="154"/>
      <c r="BE56" s="154"/>
      <c r="BF56" s="153"/>
      <c r="BG56" s="153"/>
      <c r="BH56" s="153"/>
      <c r="BI56" s="153"/>
      <c r="BJ56" s="153"/>
      <c r="BK56" s="153"/>
      <c r="BL56" s="153"/>
      <c r="BM56" s="153"/>
      <c r="BN56" s="153"/>
      <c r="BO56" s="153"/>
      <c r="BP56" s="153"/>
      <c r="BQ56" s="153"/>
      <c r="BR56" s="153"/>
      <c r="BS56" s="154"/>
      <c r="BT56" s="154"/>
      <c r="BU56" s="154"/>
      <c r="BV56" s="154"/>
      <c r="BW56" s="154"/>
      <c r="BX56" s="154"/>
      <c r="BY56" s="154"/>
      <c r="BZ56" s="154"/>
      <c r="CA56" s="154"/>
    </row>
    <row r="57" spans="1:79" ht="19.2">
      <c r="A57" s="45">
        <f t="shared" si="7"/>
        <v>27</v>
      </c>
      <c r="B57" s="198" t="s">
        <v>185</v>
      </c>
      <c r="C57" s="199" t="str">
        <f ca="1">IFERROR(__xludf.DUMMYFUNCTION("GoogleFinance(B57,""name"")"),"iShares MSCI India ETF")</f>
        <v>iShares MSCI India ETF</v>
      </c>
      <c r="D57" s="200" t="str">
        <f ca="1">IFERROR(__xludf.DUMMYFUNCTION("GoogleFinance(B57,""marketcap"")/1000000"),"#N/A")</f>
        <v>#N/A</v>
      </c>
      <c r="E57" s="201" t="s">
        <v>32</v>
      </c>
      <c r="F57" s="49" t="s">
        <v>186</v>
      </c>
      <c r="G57" s="82">
        <v>45735</v>
      </c>
      <c r="H57" s="70">
        <v>0.05</v>
      </c>
      <c r="I57" s="167">
        <f ca="1">N57/$M$84</f>
        <v>4.8894831930254859E-2</v>
      </c>
      <c r="J57" s="202">
        <v>52.25</v>
      </c>
      <c r="K57" s="54">
        <v>51.672857142857147</v>
      </c>
      <c r="L57" s="55">
        <v>140</v>
      </c>
      <c r="M57" s="56">
        <v>7234.2000000000007</v>
      </c>
      <c r="N57" s="203">
        <v>7315</v>
      </c>
      <c r="O57" s="57">
        <v>80.799999999999272</v>
      </c>
      <c r="P57" s="51">
        <v>1.1169168671034679E-2</v>
      </c>
      <c r="Q57" s="58">
        <v>194</v>
      </c>
      <c r="R57" s="59">
        <v>47</v>
      </c>
      <c r="S57" s="51">
        <v>-0.1004784688995215</v>
      </c>
      <c r="T57" s="49">
        <v>64</v>
      </c>
      <c r="U57" s="204">
        <v>0.22488038277511957</v>
      </c>
      <c r="V57" s="61">
        <v>-4.5999999999999999E-3</v>
      </c>
      <c r="W57" s="51">
        <v>-3.1331108639228722E-2</v>
      </c>
      <c r="X57" s="51">
        <v>5.1943055021161921E-3</v>
      </c>
      <c r="Y57" s="51">
        <v>-6.1602011494252817E-2</v>
      </c>
      <c r="Z57" s="51">
        <v>1.4957264957265126E-2</v>
      </c>
      <c r="AA57" s="51">
        <v>-7.408814589665691E-3</v>
      </c>
      <c r="AB57" s="59" t="s">
        <v>91</v>
      </c>
      <c r="AC57" s="63" t="s">
        <v>93</v>
      </c>
      <c r="AD57" s="63" t="s">
        <v>93</v>
      </c>
      <c r="AE57" s="49" t="s">
        <v>142</v>
      </c>
      <c r="AF57" s="205" t="s">
        <v>95</v>
      </c>
      <c r="AG57" s="206" t="s">
        <v>88</v>
      </c>
      <c r="AH57" s="151" t="s">
        <v>187</v>
      </c>
      <c r="AI57" s="151" t="s">
        <v>188</v>
      </c>
      <c r="AJ57" s="79"/>
      <c r="AK57" s="79"/>
      <c r="AL57" s="79"/>
      <c r="AM57" s="51" t="str">
        <f ca="1">IFERROR(__xludf.DUMMYFUNCTION("GoogleFinance(B57,""price"",DATE(2025,9,19))"),"Date")</f>
        <v>Date</v>
      </c>
      <c r="AN57" s="69" t="str">
        <f ca="1">IFERROR(__xludf.DUMMYFUNCTION("""COMPUTED_VALUE"""),"Close")</f>
        <v>Close</v>
      </c>
      <c r="AO57" s="51" t="str">
        <f ca="1">IFERROR(__xludf.DUMMYFUNCTION("GoogleFinance(B57,""price"",DATE(2025,8,29))"),"Date")</f>
        <v>Date</v>
      </c>
      <c r="AP57" s="69" t="str">
        <f ca="1">IFERROR(__xludf.DUMMYFUNCTION("""COMPUTED_VALUE"""),"Close")</f>
        <v>Close</v>
      </c>
      <c r="AQ57" s="51" t="str">
        <f ca="1">IFERROR(__xludf.DUMMYFUNCTION("GoogleFinance(B57,""price"",today()-93)"),"#N/A")</f>
        <v>#N/A</v>
      </c>
      <c r="AR57" s="69"/>
      <c r="AS57" s="51" t="str">
        <f ca="1">IFERROR(__xludf.DUMMYFUNCTION("GoogleFinance(B57,""price"",today()-184)"),"#N/A")</f>
        <v>#N/A</v>
      </c>
      <c r="AT57" s="69"/>
      <c r="AU57" s="70" t="str">
        <f ca="1">IFERROR(__xludf.DUMMYFUNCTION("GoogleFinance(B57,""price"",DATE(2024,12,31))"),"Date")</f>
        <v>Date</v>
      </c>
      <c r="AV57" s="69" t="str">
        <f ca="1">IFERROR(__xludf.DUMMYFUNCTION("""COMPUTED_VALUE"""),"Close")</f>
        <v>Close</v>
      </c>
      <c r="AW57" s="161"/>
      <c r="AX57" s="161"/>
      <c r="AY57" s="161"/>
      <c r="AZ57" s="161"/>
      <c r="BA57" s="161"/>
      <c r="BB57" s="161"/>
      <c r="BC57" s="161"/>
      <c r="BD57" s="161"/>
      <c r="BE57" s="161"/>
      <c r="BF57" s="161"/>
      <c r="BG57" s="161"/>
      <c r="BH57" s="161"/>
      <c r="BI57" s="161"/>
      <c r="BJ57" s="161"/>
      <c r="BK57" s="161"/>
      <c r="BL57" s="161"/>
      <c r="BM57" s="161"/>
      <c r="BN57" s="161"/>
      <c r="BO57" s="161"/>
      <c r="BP57" s="161"/>
      <c r="BQ57" s="161"/>
      <c r="BR57" s="161"/>
      <c r="BS57" s="72"/>
      <c r="BT57" s="72"/>
      <c r="BU57" s="72"/>
      <c r="BV57" s="72"/>
      <c r="BW57" s="72"/>
      <c r="BX57" s="72"/>
      <c r="BY57" s="72"/>
      <c r="BZ57" s="72"/>
      <c r="CA57" s="72"/>
    </row>
    <row r="58" spans="1:79" ht="13.2" hidden="1">
      <c r="A58" s="45" t="e">
        <f>#REF!+1</f>
        <v>#REF!</v>
      </c>
      <c r="B58" s="161"/>
      <c r="C58" s="162"/>
      <c r="D58" s="162"/>
      <c r="E58" s="161"/>
      <c r="F58" s="161"/>
      <c r="G58" s="163"/>
      <c r="H58" s="79"/>
      <c r="I58" s="166"/>
      <c r="J58" s="161"/>
      <c r="K58" s="165"/>
      <c r="L58" s="207"/>
      <c r="M58" s="208"/>
      <c r="N58" s="208"/>
      <c r="O58" s="57"/>
      <c r="P58" s="51"/>
      <c r="Q58" s="58"/>
      <c r="R58" s="59"/>
      <c r="S58" s="51"/>
      <c r="T58" s="49"/>
      <c r="U58" s="166"/>
      <c r="V58" s="79"/>
      <c r="W58" s="79"/>
      <c r="X58" s="79"/>
      <c r="Y58" s="79"/>
      <c r="Z58" s="79"/>
      <c r="AA58" s="166"/>
      <c r="AB58" s="59" t="s">
        <v>91</v>
      </c>
      <c r="AC58" s="79"/>
      <c r="AD58" s="79"/>
      <c r="AE58" s="79"/>
      <c r="AF58" s="79"/>
      <c r="AG58" s="79"/>
      <c r="AH58" s="79"/>
      <c r="AI58" s="79"/>
      <c r="AJ58" s="79"/>
      <c r="AK58" s="79"/>
      <c r="AL58" s="79"/>
      <c r="AM58" s="168">
        <f ca="1">IFERROR(__xludf.DUMMYFUNCTION("""COMPUTED_VALUE"""),45919.6666666666)</f>
        <v>45919.666666666599</v>
      </c>
      <c r="AN58" s="83">
        <f ca="1">IFERROR(__xludf.DUMMYFUNCTION("""COMPUTED_VALUE"""),53.94)</f>
        <v>53.94</v>
      </c>
      <c r="AO58" s="168">
        <f ca="1">IFERROR(__xludf.DUMMYFUNCTION("""COMPUTED_VALUE"""),45898.6666666666)</f>
        <v>45898.666666666599</v>
      </c>
      <c r="AP58" s="83">
        <f ca="1">IFERROR(__xludf.DUMMYFUNCTION("""COMPUTED_VALUE"""),51.98)</f>
        <v>51.98</v>
      </c>
      <c r="AQ58" s="168"/>
      <c r="AR58" s="83"/>
      <c r="AS58" s="168"/>
      <c r="AT58" s="83"/>
      <c r="AU58" s="168">
        <f ca="1">IFERROR(__xludf.DUMMYFUNCTION("""COMPUTED_VALUE"""),45657.6666666666)</f>
        <v>45657.666666666599</v>
      </c>
      <c r="AV58" s="83">
        <f ca="1">IFERROR(__xludf.DUMMYFUNCTION("""COMPUTED_VALUE"""),52.64)</f>
        <v>52.64</v>
      </c>
      <c r="AW58" s="161"/>
      <c r="AX58" s="161"/>
      <c r="AY58" s="161"/>
      <c r="AZ58" s="161"/>
      <c r="BA58" s="161"/>
      <c r="BB58" s="161"/>
      <c r="BC58" s="161"/>
      <c r="BD58" s="161"/>
      <c r="BE58" s="161"/>
      <c r="BF58" s="161"/>
      <c r="BG58" s="161"/>
      <c r="BH58" s="161"/>
      <c r="BI58" s="161"/>
      <c r="BJ58" s="161"/>
      <c r="BK58" s="161"/>
      <c r="BL58" s="161"/>
      <c r="BM58" s="161"/>
      <c r="BN58" s="161"/>
      <c r="BO58" s="161"/>
      <c r="BP58" s="161"/>
      <c r="BQ58" s="161"/>
      <c r="BR58" s="161"/>
      <c r="BS58" s="72"/>
      <c r="BT58" s="72"/>
      <c r="BU58" s="72"/>
      <c r="BV58" s="72"/>
      <c r="BW58" s="72"/>
      <c r="BX58" s="72"/>
      <c r="BY58" s="72"/>
      <c r="BZ58" s="72"/>
      <c r="CA58" s="72"/>
    </row>
    <row r="59" spans="1:79" ht="19.2">
      <c r="A59" s="45">
        <f t="shared" ref="A59:A65" si="8">A57+1</f>
        <v>28</v>
      </c>
      <c r="B59" s="198" t="s">
        <v>189</v>
      </c>
      <c r="C59" s="199" t="str">
        <f ca="1">IFERROR(__xludf.DUMMYFUNCTION("GoogleFinance(B59,""name"")"),"iShares MSCI Europe Financials ETF")</f>
        <v>iShares MSCI Europe Financials ETF</v>
      </c>
      <c r="D59" s="200" t="str">
        <f ca="1">IFERROR(__xludf.DUMMYFUNCTION("GoogleFinance(B59,""marketcap"")/1000000"),"#N/A")</f>
        <v>#N/A</v>
      </c>
      <c r="E59" s="201" t="s">
        <v>33</v>
      </c>
      <c r="F59" s="49" t="s">
        <v>21</v>
      </c>
      <c r="G59" s="82">
        <v>45730</v>
      </c>
      <c r="H59" s="70">
        <v>0.03</v>
      </c>
      <c r="I59" s="167">
        <f ca="1">N59/$M$84</f>
        <v>1.9356949068404961E-2</v>
      </c>
      <c r="J59" s="202">
        <v>34.14</v>
      </c>
      <c r="K59" s="54">
        <v>28.6</v>
      </c>
      <c r="L59" s="55">
        <v>84.825174825174827</v>
      </c>
      <c r="M59" s="56">
        <v>2426</v>
      </c>
      <c r="N59" s="203">
        <v>2895.9314685314685</v>
      </c>
      <c r="O59" s="57">
        <v>469.93146853146845</v>
      </c>
      <c r="P59" s="51">
        <v>0.19370629370629366</v>
      </c>
      <c r="Q59" s="58">
        <v>199</v>
      </c>
      <c r="R59" s="59">
        <v>25</v>
      </c>
      <c r="S59" s="51">
        <v>-0.26772114821323967</v>
      </c>
      <c r="T59" s="49">
        <v>38</v>
      </c>
      <c r="U59" s="204">
        <v>0.11306385471587577</v>
      </c>
      <c r="V59" s="141">
        <v>1.7299999999999999E-2</v>
      </c>
      <c r="W59" s="51">
        <v>5.0044156608772816E-3</v>
      </c>
      <c r="X59" s="51">
        <v>2.123840861501658E-2</v>
      </c>
      <c r="Y59" s="51">
        <v>7.9355042680999022E-2</v>
      </c>
      <c r="Z59" s="51">
        <v>0.1983151983151985</v>
      </c>
      <c r="AA59" s="51">
        <v>0.46523605150214586</v>
      </c>
      <c r="AB59" s="59" t="s">
        <v>91</v>
      </c>
      <c r="AC59" s="63" t="s">
        <v>93</v>
      </c>
      <c r="AD59" s="63" t="s">
        <v>93</v>
      </c>
      <c r="AE59" s="49" t="s">
        <v>142</v>
      </c>
      <c r="AF59" s="205" t="s">
        <v>95</v>
      </c>
      <c r="AG59" s="206" t="s">
        <v>88</v>
      </c>
      <c r="AH59" s="151" t="s">
        <v>190</v>
      </c>
      <c r="AI59" s="151" t="s">
        <v>191</v>
      </c>
      <c r="AJ59" s="79"/>
      <c r="AK59" s="79"/>
      <c r="AL59" s="79"/>
      <c r="AM59" s="51" t="str">
        <f ca="1">IFERROR(__xludf.DUMMYFUNCTION("GoogleFinance(B59,""price"",DATE(2025,9,19))"),"Date")</f>
        <v>Date</v>
      </c>
      <c r="AN59" s="69" t="str">
        <f ca="1">IFERROR(__xludf.DUMMYFUNCTION("""COMPUTED_VALUE"""),"Close")</f>
        <v>Close</v>
      </c>
      <c r="AO59" s="51" t="str">
        <f ca="1">IFERROR(__xludf.DUMMYFUNCTION("GoogleFinance(B59,""price"",DATE(2025,8,29))"),"Date")</f>
        <v>Date</v>
      </c>
      <c r="AP59" s="69" t="str">
        <f ca="1">IFERROR(__xludf.DUMMYFUNCTION("""COMPUTED_VALUE"""),"Close")</f>
        <v>Close</v>
      </c>
      <c r="AQ59" s="51" t="str">
        <f ca="1">IFERROR(__xludf.DUMMYFUNCTION("GoogleFinance(B59,""price"",today()-93)"),"#N/A")</f>
        <v>#N/A</v>
      </c>
      <c r="AR59" s="69"/>
      <c r="AS59" s="51" t="str">
        <f ca="1">IFERROR(__xludf.DUMMYFUNCTION("GoogleFinance(B59,""price"",today()-184)"),"#N/A")</f>
        <v>#N/A</v>
      </c>
      <c r="AT59" s="69"/>
      <c r="AU59" s="70" t="str">
        <f ca="1">IFERROR(__xludf.DUMMYFUNCTION("GoogleFinance(B59,""price"",DATE(2024,12,31))"),"Date")</f>
        <v>Date</v>
      </c>
      <c r="AV59" s="69" t="str">
        <f ca="1">IFERROR(__xludf.DUMMYFUNCTION("""COMPUTED_VALUE"""),"Close")</f>
        <v>Close</v>
      </c>
      <c r="AW59" s="161"/>
      <c r="AX59" s="161"/>
      <c r="AY59" s="161"/>
      <c r="AZ59" s="161"/>
      <c r="BA59" s="161"/>
      <c r="BB59" s="161"/>
      <c r="BC59" s="161"/>
      <c r="BD59" s="161"/>
      <c r="BE59" s="161"/>
      <c r="BF59" s="161"/>
      <c r="BG59" s="161"/>
      <c r="BH59" s="161"/>
      <c r="BI59" s="161"/>
      <c r="BJ59" s="161"/>
      <c r="BK59" s="161"/>
      <c r="BL59" s="161"/>
      <c r="BM59" s="161"/>
      <c r="BN59" s="161"/>
      <c r="BO59" s="161"/>
      <c r="BP59" s="161"/>
      <c r="BQ59" s="161"/>
      <c r="BR59" s="161"/>
      <c r="BS59" s="72"/>
      <c r="BT59" s="72"/>
      <c r="BU59" s="72"/>
      <c r="BV59" s="72"/>
      <c r="BW59" s="72"/>
      <c r="BX59" s="72"/>
      <c r="BY59" s="72"/>
      <c r="BZ59" s="72"/>
      <c r="CA59" s="72"/>
    </row>
    <row r="60" spans="1:79" ht="13.2" hidden="1">
      <c r="A60" s="45" t="e">
        <f t="shared" si="8"/>
        <v>#REF!</v>
      </c>
      <c r="B60" s="161"/>
      <c r="C60" s="162"/>
      <c r="D60" s="162"/>
      <c r="E60" s="161"/>
      <c r="F60" s="161"/>
      <c r="G60" s="163"/>
      <c r="H60" s="79"/>
      <c r="I60" s="166"/>
      <c r="J60" s="161"/>
      <c r="K60" s="165"/>
      <c r="L60" s="207"/>
      <c r="M60" s="208"/>
      <c r="N60" s="208"/>
      <c r="O60" s="57"/>
      <c r="P60" s="51"/>
      <c r="Q60" s="58"/>
      <c r="R60" s="59"/>
      <c r="S60" s="51"/>
      <c r="T60" s="49"/>
      <c r="U60" s="166"/>
      <c r="V60" s="79"/>
      <c r="W60" s="79"/>
      <c r="X60" s="79"/>
      <c r="Y60" s="79"/>
      <c r="Z60" s="79"/>
      <c r="AA60" s="166"/>
      <c r="AB60" s="59" t="s">
        <v>91</v>
      </c>
      <c r="AC60" s="79"/>
      <c r="AD60" s="79"/>
      <c r="AE60" s="79"/>
      <c r="AF60" s="79"/>
      <c r="AG60" s="79"/>
      <c r="AH60" s="79"/>
      <c r="AI60" s="79"/>
      <c r="AJ60" s="79"/>
      <c r="AK60" s="79"/>
      <c r="AL60" s="79"/>
      <c r="AM60" s="168">
        <f ca="1">IFERROR(__xludf.DUMMYFUNCTION("""COMPUTED_VALUE"""),45919.6666666666)</f>
        <v>45919.666666666599</v>
      </c>
      <c r="AN60" s="83">
        <f ca="1">IFERROR(__xludf.DUMMYFUNCTION("""COMPUTED_VALUE"""),33.97)</f>
        <v>33.97</v>
      </c>
      <c r="AO60" s="168">
        <f ca="1">IFERROR(__xludf.DUMMYFUNCTION("""COMPUTED_VALUE"""),45898.6666666666)</f>
        <v>45898.666666666599</v>
      </c>
      <c r="AP60" s="83">
        <f ca="1">IFERROR(__xludf.DUMMYFUNCTION("""COMPUTED_VALUE"""),33.43)</f>
        <v>33.43</v>
      </c>
      <c r="AQ60" s="168"/>
      <c r="AR60" s="83"/>
      <c r="AS60" s="168"/>
      <c r="AT60" s="83"/>
      <c r="AU60" s="168">
        <f ca="1">IFERROR(__xludf.DUMMYFUNCTION("""COMPUTED_VALUE"""),45657.6666666666)</f>
        <v>45657.666666666599</v>
      </c>
      <c r="AV60" s="83">
        <f ca="1">IFERROR(__xludf.DUMMYFUNCTION("""COMPUTED_VALUE"""),23.3)</f>
        <v>23.3</v>
      </c>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72"/>
      <c r="BT60" s="72"/>
      <c r="BU60" s="72"/>
      <c r="BV60" s="72"/>
      <c r="BW60" s="72"/>
      <c r="BX60" s="72"/>
      <c r="BY60" s="72"/>
      <c r="BZ60" s="72"/>
      <c r="CA60" s="72"/>
    </row>
    <row r="61" spans="1:79" ht="19.2">
      <c r="A61" s="45">
        <f t="shared" si="8"/>
        <v>29</v>
      </c>
      <c r="B61" s="198" t="s">
        <v>192</v>
      </c>
      <c r="C61" s="199" t="str">
        <f ca="1">IFERROR(__xludf.DUMMYFUNCTION("GoogleFinance(B61,""name"")"),"abrdn Physical Palladium Shares ETF")</f>
        <v>abrdn Physical Palladium Shares ETF</v>
      </c>
      <c r="D61" s="200" t="str">
        <f ca="1">IFERROR(__xludf.DUMMYFUNCTION("GoogleFinance(B61,""marketcap"")/1000000"),"#N/A")</f>
        <v>#N/A</v>
      </c>
      <c r="E61" s="201" t="s">
        <v>38</v>
      </c>
      <c r="F61" s="49" t="s">
        <v>193</v>
      </c>
      <c r="G61" s="82">
        <v>45783</v>
      </c>
      <c r="H61" s="70">
        <v>0.02</v>
      </c>
      <c r="I61" s="167">
        <f ca="1">N61/$M$84</f>
        <v>2.5323720592039842E-2</v>
      </c>
      <c r="J61" s="202">
        <v>115.91</v>
      </c>
      <c r="K61" s="54">
        <v>95.430069930069934</v>
      </c>
      <c r="L61" s="55">
        <v>32.685714285714283</v>
      </c>
      <c r="M61" s="56">
        <v>3119.2</v>
      </c>
      <c r="N61" s="203">
        <v>3788.6011428571423</v>
      </c>
      <c r="O61" s="57">
        <v>669.40114285714253</v>
      </c>
      <c r="P61" s="51">
        <v>0.21460667570439296</v>
      </c>
      <c r="Q61" s="58">
        <v>146</v>
      </c>
      <c r="R61" s="59">
        <v>77</v>
      </c>
      <c r="S61" s="51">
        <v>-0.33569148477266841</v>
      </c>
      <c r="T61" s="49">
        <v>122</v>
      </c>
      <c r="U61" s="204">
        <v>5.2540764386161731E-2</v>
      </c>
      <c r="V61" s="61">
        <v>7.7000000000000002E-3</v>
      </c>
      <c r="W61" s="51">
        <v>0.10548402479732966</v>
      </c>
      <c r="X61" s="51">
        <v>0.14569536423841045</v>
      </c>
      <c r="Y61" s="51">
        <v>0.15207235861246393</v>
      </c>
      <c r="Z61" s="51">
        <v>0.28006626173384874</v>
      </c>
      <c r="AA61" s="51">
        <v>0.38781130268199226</v>
      </c>
      <c r="AB61" s="59" t="s">
        <v>93</v>
      </c>
      <c r="AC61" s="63" t="s">
        <v>85</v>
      </c>
      <c r="AD61" s="63" t="s">
        <v>85</v>
      </c>
      <c r="AE61" s="49" t="s">
        <v>142</v>
      </c>
      <c r="AF61" s="205" t="s">
        <v>95</v>
      </c>
      <c r="AG61" s="206" t="s">
        <v>88</v>
      </c>
      <c r="AH61" s="87" t="s">
        <v>194</v>
      </c>
      <c r="AI61" s="87" t="s">
        <v>195</v>
      </c>
      <c r="AJ61" s="79"/>
      <c r="AK61" s="79"/>
      <c r="AL61" s="79"/>
      <c r="AM61" s="51" t="str">
        <f ca="1">IFERROR(__xludf.DUMMYFUNCTION("GoogleFinance(B61,""price"",DATE(2025,9,19))"),"Date")</f>
        <v>Date</v>
      </c>
      <c r="AN61" s="69" t="str">
        <f ca="1">IFERROR(__xludf.DUMMYFUNCTION("""COMPUTED_VALUE"""),"Close")</f>
        <v>Close</v>
      </c>
      <c r="AO61" s="51" t="str">
        <f ca="1">IFERROR(__xludf.DUMMYFUNCTION("GoogleFinance(B61,""price"",DATE(2025,8,29))"),"Date")</f>
        <v>Date</v>
      </c>
      <c r="AP61" s="69" t="str">
        <f ca="1">IFERROR(__xludf.DUMMYFUNCTION("""COMPUTED_VALUE"""),"Close")</f>
        <v>Close</v>
      </c>
      <c r="AQ61" s="51" t="str">
        <f ca="1">IFERROR(__xludf.DUMMYFUNCTION("GoogleFinance(B61,""price"",today()-93)"),"#N/A")</f>
        <v>#N/A</v>
      </c>
      <c r="AR61" s="69"/>
      <c r="AS61" s="51" t="str">
        <f ca="1">IFERROR(__xludf.DUMMYFUNCTION("GoogleFinance(B61,""price"",today()-184)"),"#N/A")</f>
        <v>#N/A</v>
      </c>
      <c r="AT61" s="69"/>
      <c r="AU61" s="70" t="str">
        <f ca="1">IFERROR(__xludf.DUMMYFUNCTION("GoogleFinance(B61,""price"",DATE(2024,12,31))"),"Date")</f>
        <v>Date</v>
      </c>
      <c r="AV61" s="69" t="str">
        <f ca="1">IFERROR(__xludf.DUMMYFUNCTION("""COMPUTED_VALUE"""),"Close")</f>
        <v>Close</v>
      </c>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72"/>
      <c r="BT61" s="72"/>
      <c r="BU61" s="72"/>
      <c r="BV61" s="72"/>
      <c r="BW61" s="72"/>
      <c r="BX61" s="72"/>
      <c r="BY61" s="72"/>
      <c r="BZ61" s="72"/>
      <c r="CA61" s="72"/>
    </row>
    <row r="62" spans="1:79" ht="13.2" hidden="1">
      <c r="A62" s="45" t="e">
        <f t="shared" si="8"/>
        <v>#REF!</v>
      </c>
      <c r="B62" s="161"/>
      <c r="C62" s="162"/>
      <c r="D62" s="162"/>
      <c r="E62" s="161"/>
      <c r="F62" s="161"/>
      <c r="G62" s="163"/>
      <c r="H62" s="79"/>
      <c r="I62" s="166"/>
      <c r="J62" s="161"/>
      <c r="K62" s="165"/>
      <c r="L62" s="207"/>
      <c r="M62" s="208"/>
      <c r="N62" s="208"/>
      <c r="O62" s="57"/>
      <c r="P62" s="51"/>
      <c r="Q62" s="58"/>
      <c r="R62" s="59"/>
      <c r="S62" s="51"/>
      <c r="T62" s="49"/>
      <c r="U62" s="166"/>
      <c r="V62" s="79"/>
      <c r="W62" s="79"/>
      <c r="X62" s="79"/>
      <c r="Y62" s="79"/>
      <c r="Z62" s="79"/>
      <c r="AA62" s="166"/>
      <c r="AB62" s="59" t="s">
        <v>91</v>
      </c>
      <c r="AC62" s="79"/>
      <c r="AD62" s="79"/>
      <c r="AE62" s="79"/>
      <c r="AF62" s="79"/>
      <c r="AG62" s="79"/>
      <c r="AH62" s="87"/>
      <c r="AI62" s="87"/>
      <c r="AJ62" s="79"/>
      <c r="AK62" s="79"/>
      <c r="AL62" s="79"/>
      <c r="AM62" s="168">
        <f ca="1">IFERROR(__xludf.DUMMYFUNCTION("""COMPUTED_VALUE"""),45919.6666666666)</f>
        <v>45919.666666666599</v>
      </c>
      <c r="AN62" s="83">
        <f ca="1">IFERROR(__xludf.DUMMYFUNCTION("""COMPUTED_VALUE"""),104.85)</f>
        <v>104.85</v>
      </c>
      <c r="AO62" s="168">
        <f ca="1">IFERROR(__xludf.DUMMYFUNCTION("""COMPUTED_VALUE"""),45898.6666666666)</f>
        <v>45898.666666666599</v>
      </c>
      <c r="AP62" s="83">
        <f ca="1">IFERROR(__xludf.DUMMYFUNCTION("""COMPUTED_VALUE"""),101.17)</f>
        <v>101.17</v>
      </c>
      <c r="AQ62" s="168"/>
      <c r="AR62" s="83"/>
      <c r="AS62" s="168"/>
      <c r="AT62" s="83"/>
      <c r="AU62" s="168">
        <f ca="1">IFERROR(__xludf.DUMMYFUNCTION("""COMPUTED_VALUE"""),45657.6666666666)</f>
        <v>45657.666666666599</v>
      </c>
      <c r="AV62" s="83">
        <f ca="1">IFERROR(__xludf.DUMMYFUNCTION("""COMPUTED_VALUE"""),83.52)</f>
        <v>83.52</v>
      </c>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72"/>
      <c r="BT62" s="72"/>
      <c r="BU62" s="72"/>
      <c r="BV62" s="72"/>
      <c r="BW62" s="72"/>
      <c r="BX62" s="72"/>
      <c r="BY62" s="72"/>
      <c r="BZ62" s="72"/>
      <c r="CA62" s="72"/>
    </row>
    <row r="63" spans="1:79" ht="28.8">
      <c r="A63" s="45">
        <f t="shared" si="8"/>
        <v>30</v>
      </c>
      <c r="B63" s="198" t="s">
        <v>196</v>
      </c>
      <c r="C63" s="199" t="str">
        <f ca="1">IFERROR(__xludf.DUMMYFUNCTION("GoogleFinance(B63,""name"")"),"abrdn Physical Platinum Shares ETF")</f>
        <v>abrdn Physical Platinum Shares ETF</v>
      </c>
      <c r="D63" s="200" t="str">
        <f ca="1">IFERROR(__xludf.DUMMYFUNCTION("GoogleFinance(B63,""marketcap"")/1000000"),"#N/A")</f>
        <v>#N/A</v>
      </c>
      <c r="E63" s="201" t="s">
        <v>38</v>
      </c>
      <c r="F63" s="49" t="s">
        <v>197</v>
      </c>
      <c r="G63" s="82">
        <v>45783</v>
      </c>
      <c r="H63" s="70">
        <v>0.02</v>
      </c>
      <c r="I63" s="167">
        <f ca="1">N63/$M$84</f>
        <v>7.4988162237761792E-3</v>
      </c>
      <c r="J63" s="202">
        <v>143.83000000000001</v>
      </c>
      <c r="K63" s="54">
        <v>112.84964028776979</v>
      </c>
      <c r="L63" s="55">
        <v>7.8000000000000007</v>
      </c>
      <c r="M63" s="56">
        <v>880.22719424460445</v>
      </c>
      <c r="N63" s="203">
        <v>1121.8740000000003</v>
      </c>
      <c r="O63" s="57">
        <v>241.6468057553958</v>
      </c>
      <c r="P63" s="51">
        <v>0.27452776662140366</v>
      </c>
      <c r="Q63" s="58">
        <v>146</v>
      </c>
      <c r="R63" s="59">
        <v>82</v>
      </c>
      <c r="S63" s="51">
        <v>-0.42988250017381635</v>
      </c>
      <c r="T63" s="49">
        <v>110</v>
      </c>
      <c r="U63" s="204">
        <v>-0.23520823194048535</v>
      </c>
      <c r="V63" s="61">
        <v>2.8199999999999999E-2</v>
      </c>
      <c r="W63" s="51">
        <v>0.11964813949867659</v>
      </c>
      <c r="X63" s="51">
        <v>0.14861843156045373</v>
      </c>
      <c r="Y63" s="51">
        <v>0.1705867990559129</v>
      </c>
      <c r="Z63" s="51">
        <v>0.57414906424428147</v>
      </c>
      <c r="AA63" s="51">
        <v>0.7318482841661651</v>
      </c>
      <c r="AB63" s="59" t="s">
        <v>93</v>
      </c>
      <c r="AC63" s="63" t="s">
        <v>85</v>
      </c>
      <c r="AD63" s="63" t="s">
        <v>85</v>
      </c>
      <c r="AE63" s="49" t="s">
        <v>142</v>
      </c>
      <c r="AF63" s="205" t="s">
        <v>95</v>
      </c>
      <c r="AG63" s="206" t="s">
        <v>88</v>
      </c>
      <c r="AH63" s="87" t="s">
        <v>198</v>
      </c>
      <c r="AI63" s="87" t="s">
        <v>195</v>
      </c>
      <c r="AJ63" s="79"/>
      <c r="AK63" s="79"/>
      <c r="AL63" s="79"/>
      <c r="AM63" s="51" t="str">
        <f ca="1">IFERROR(__xludf.DUMMYFUNCTION("GoogleFinance(B63,""price"",DATE(2025,9,19))"),"Date")</f>
        <v>Date</v>
      </c>
      <c r="AN63" s="69" t="str">
        <f ca="1">IFERROR(__xludf.DUMMYFUNCTION("""COMPUTED_VALUE"""),"Close")</f>
        <v>Close</v>
      </c>
      <c r="AO63" s="51" t="str">
        <f ca="1">IFERROR(__xludf.DUMMYFUNCTION("GoogleFinance(B63,""price"",DATE(2025,8,29))"),"Date")</f>
        <v>Date</v>
      </c>
      <c r="AP63" s="69" t="str">
        <f ca="1">IFERROR(__xludf.DUMMYFUNCTION("""COMPUTED_VALUE"""),"Close")</f>
        <v>Close</v>
      </c>
      <c r="AQ63" s="51" t="str">
        <f ca="1">IFERROR(__xludf.DUMMYFUNCTION("GoogleFinance(B63,""price"",today()-93)"),"#N/A")</f>
        <v>#N/A</v>
      </c>
      <c r="AR63" s="69"/>
      <c r="AS63" s="51" t="str">
        <f ca="1">IFERROR(__xludf.DUMMYFUNCTION("GoogleFinance(B63,""price"",today()-184)"),"#N/A")</f>
        <v>#N/A</v>
      </c>
      <c r="AT63" s="69"/>
      <c r="AU63" s="70" t="str">
        <f ca="1">IFERROR(__xludf.DUMMYFUNCTION("GoogleFinance(B63,""price"",DATE(2024,12,31))"),"Date")</f>
        <v>Date</v>
      </c>
      <c r="AV63" s="69" t="str">
        <f ca="1">IFERROR(__xludf.DUMMYFUNCTION("""COMPUTED_VALUE"""),"Close")</f>
        <v>Close</v>
      </c>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72"/>
      <c r="BT63" s="72"/>
      <c r="BU63" s="72"/>
      <c r="BV63" s="72"/>
      <c r="BW63" s="72"/>
      <c r="BX63" s="72"/>
      <c r="BY63" s="72"/>
      <c r="BZ63" s="72"/>
      <c r="CA63" s="72"/>
    </row>
    <row r="64" spans="1:79" ht="13.2" hidden="1">
      <c r="A64" s="89" t="e">
        <f t="shared" si="8"/>
        <v>#REF!</v>
      </c>
      <c r="B64" s="161"/>
      <c r="C64" s="162"/>
      <c r="D64" s="162"/>
      <c r="E64" s="161"/>
      <c r="F64" s="161"/>
      <c r="G64" s="163"/>
      <c r="H64" s="79"/>
      <c r="I64" s="166"/>
      <c r="J64" s="161"/>
      <c r="K64" s="165"/>
      <c r="L64" s="207"/>
      <c r="M64" s="208"/>
      <c r="N64" s="208"/>
      <c r="O64" s="57"/>
      <c r="P64" s="51"/>
      <c r="Q64" s="58"/>
      <c r="R64" s="59"/>
      <c r="S64" s="51"/>
      <c r="T64" s="49"/>
      <c r="U64" s="166"/>
      <c r="V64" s="79"/>
      <c r="W64" s="79"/>
      <c r="X64" s="79"/>
      <c r="Y64" s="79"/>
      <c r="Z64" s="79"/>
      <c r="AA64" s="166"/>
      <c r="AB64" s="59" t="s">
        <v>91</v>
      </c>
      <c r="AC64" s="79"/>
      <c r="AD64" s="79"/>
      <c r="AE64" s="79"/>
      <c r="AF64" s="79"/>
      <c r="AG64" s="79"/>
      <c r="AH64" s="79"/>
      <c r="AI64" s="79"/>
      <c r="AJ64" s="79"/>
      <c r="AK64" s="79"/>
      <c r="AL64" s="79"/>
      <c r="AM64" s="168">
        <f ca="1">IFERROR(__xludf.DUMMYFUNCTION("""COMPUTED_VALUE"""),45919.6666666666)</f>
        <v>45919.666666666599</v>
      </c>
      <c r="AN64" s="83">
        <f ca="1">IFERROR(__xludf.DUMMYFUNCTION("""COMPUTED_VALUE"""),128.46)</f>
        <v>128.46</v>
      </c>
      <c r="AO64" s="168">
        <f ca="1">IFERROR(__xludf.DUMMYFUNCTION("""COMPUTED_VALUE"""),45898.6666666666)</f>
        <v>45898.666666666599</v>
      </c>
      <c r="AP64" s="83">
        <f ca="1">IFERROR(__xludf.DUMMYFUNCTION("""COMPUTED_VALUE"""),125.22)</f>
        <v>125.22</v>
      </c>
      <c r="AQ64" s="168"/>
      <c r="AR64" s="83"/>
      <c r="AS64" s="168"/>
      <c r="AT64" s="83"/>
      <c r="AU64" s="168">
        <f ca="1">IFERROR(__xludf.DUMMYFUNCTION("""COMPUTED_VALUE"""),45657.6666666666)</f>
        <v>45657.666666666599</v>
      </c>
      <c r="AV64" s="83">
        <f ca="1">IFERROR(__xludf.DUMMYFUNCTION("""COMPUTED_VALUE"""),83.05)</f>
        <v>83.05</v>
      </c>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72"/>
      <c r="BT64" s="72"/>
      <c r="BU64" s="72"/>
      <c r="BV64" s="72"/>
      <c r="BW64" s="72"/>
      <c r="BX64" s="72"/>
      <c r="BY64" s="72"/>
      <c r="BZ64" s="72"/>
      <c r="CA64" s="72"/>
    </row>
    <row r="65" spans="1:79" ht="28.8">
      <c r="A65" s="45">
        <f t="shared" si="8"/>
        <v>31</v>
      </c>
      <c r="B65" s="198" t="s">
        <v>199</v>
      </c>
      <c r="C65" s="199" t="str">
        <f ca="1">IFERROR(__xludf.DUMMYFUNCTION("GoogleFinance(B65,""name"")"),"Arm Holdings PLC - ADR")</f>
        <v>Arm Holdings PLC - ADR</v>
      </c>
      <c r="D65" s="200">
        <f ca="1">IFERROR(__xludf.DUMMYFUNCTION("GoogleFinance(B65,""marketcap"")/1000000"),147894.434507)</f>
        <v>147894.434507</v>
      </c>
      <c r="E65" s="201" t="s">
        <v>7</v>
      </c>
      <c r="F65" s="49" t="s">
        <v>200</v>
      </c>
      <c r="G65" s="82">
        <v>45761</v>
      </c>
      <c r="H65" s="70">
        <v>0.01</v>
      </c>
      <c r="I65" s="167">
        <f ca="1">N65/$M$84</f>
        <v>2.5661605890752628E-2</v>
      </c>
      <c r="J65" s="202">
        <v>139.62</v>
      </c>
      <c r="K65" s="54">
        <v>135.19434181818181</v>
      </c>
      <c r="L65" s="55">
        <v>27.497142857142858</v>
      </c>
      <c r="M65" s="56">
        <v>3717.4581304519479</v>
      </c>
      <c r="N65" s="203">
        <v>3839.1510857142862</v>
      </c>
      <c r="O65" s="57">
        <v>121.69295526233827</v>
      </c>
      <c r="P65" s="51">
        <v>3.2735528146363713E-2</v>
      </c>
      <c r="Q65" s="58">
        <v>168</v>
      </c>
      <c r="R65" s="59">
        <v>100</v>
      </c>
      <c r="S65" s="51">
        <v>-0.28377023349090391</v>
      </c>
      <c r="T65" s="49">
        <v>220</v>
      </c>
      <c r="U65" s="204">
        <v>0.57570548632001151</v>
      </c>
      <c r="V65" s="61">
        <v>-7.3000000000000001E-3</v>
      </c>
      <c r="W65" s="51">
        <v>-2.3021482051640785E-2</v>
      </c>
      <c r="X65" s="51">
        <v>9.4714771166219958E-3</v>
      </c>
      <c r="Y65" s="51">
        <v>-0.13676270557685177</v>
      </c>
      <c r="Z65" s="51">
        <v>0.30742578893154793</v>
      </c>
      <c r="AA65" s="51">
        <v>0.13180933852140075</v>
      </c>
      <c r="AB65" s="59" t="s">
        <v>84</v>
      </c>
      <c r="AC65" s="63" t="s">
        <v>85</v>
      </c>
      <c r="AD65" s="63" t="s">
        <v>93</v>
      </c>
      <c r="AE65" s="49" t="s">
        <v>201</v>
      </c>
      <c r="AF65" s="205" t="s">
        <v>95</v>
      </c>
      <c r="AG65" s="206" t="s">
        <v>100</v>
      </c>
      <c r="AH65" s="182" t="s">
        <v>202</v>
      </c>
      <c r="AI65" s="182" t="s">
        <v>203</v>
      </c>
      <c r="AJ65" s="79"/>
      <c r="AK65" s="79"/>
      <c r="AL65" s="79"/>
      <c r="AM65" s="51" t="str">
        <f ca="1">IFERROR(__xludf.DUMMYFUNCTION("GoogleFinance(B65,""price"",DATE(2025,9,19))"),"Date")</f>
        <v>Date</v>
      </c>
      <c r="AN65" s="69" t="str">
        <f ca="1">IFERROR(__xludf.DUMMYFUNCTION("""COMPUTED_VALUE"""),"Close")</f>
        <v>Close</v>
      </c>
      <c r="AO65" s="51" t="str">
        <f ca="1">IFERROR(__xludf.DUMMYFUNCTION("GoogleFinance(B65,""price"",DATE(2025,8,29))"),"Date")</f>
        <v>Date</v>
      </c>
      <c r="AP65" s="69" t="str">
        <f ca="1">IFERROR(__xludf.DUMMYFUNCTION("""COMPUTED_VALUE"""),"Close")</f>
        <v>Close</v>
      </c>
      <c r="AQ65" s="51" t="str">
        <f ca="1">IFERROR(__xludf.DUMMYFUNCTION("GoogleFinance(B65,""price"",today()-93)"),"#N/A")</f>
        <v>#N/A</v>
      </c>
      <c r="AR65" s="69"/>
      <c r="AS65" s="51" t="str">
        <f ca="1">IFERROR(__xludf.DUMMYFUNCTION("GoogleFinance(B65,""price"",today()-184)"),"#N/A")</f>
        <v>#N/A</v>
      </c>
      <c r="AT65" s="69"/>
      <c r="AU65" s="70" t="str">
        <f ca="1">IFERROR(__xludf.DUMMYFUNCTION("GoogleFinance(B65,""price"",DATE(2024,12,31))"),"Date")</f>
        <v>Date</v>
      </c>
      <c r="AV65" s="69" t="str">
        <f ca="1">IFERROR(__xludf.DUMMYFUNCTION("""COMPUTED_VALUE"""),"Close")</f>
        <v>Close</v>
      </c>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72"/>
      <c r="BT65" s="72"/>
      <c r="BU65" s="72"/>
      <c r="BV65" s="72"/>
      <c r="BW65" s="72"/>
      <c r="BX65" s="72"/>
      <c r="BY65" s="72"/>
      <c r="BZ65" s="72"/>
      <c r="CA65" s="72"/>
    </row>
    <row r="66" spans="1:79" ht="13.2" hidden="1">
      <c r="A66" s="131" t="e">
        <f>A60+1</f>
        <v>#REF!</v>
      </c>
      <c r="B66" s="209"/>
      <c r="C66" s="210"/>
      <c r="D66" s="210"/>
      <c r="E66" s="209"/>
      <c r="F66" s="209"/>
      <c r="G66" s="211"/>
      <c r="H66" s="138"/>
      <c r="I66" s="212"/>
      <c r="J66" s="209"/>
      <c r="K66" s="213"/>
      <c r="L66" s="214"/>
      <c r="M66" s="215"/>
      <c r="N66" s="215"/>
      <c r="O66" s="119"/>
      <c r="P66" s="113"/>
      <c r="Q66" s="216"/>
      <c r="R66" s="217"/>
      <c r="S66" s="113"/>
      <c r="T66" s="111"/>
      <c r="U66" s="212"/>
      <c r="V66" s="138"/>
      <c r="W66" s="138"/>
      <c r="X66" s="138"/>
      <c r="Y66" s="138"/>
      <c r="Z66" s="138"/>
      <c r="AA66" s="212"/>
      <c r="AB66" s="217" t="s">
        <v>91</v>
      </c>
      <c r="AC66" s="138"/>
      <c r="AD66" s="138"/>
      <c r="AE66" s="138"/>
      <c r="AF66" s="138"/>
      <c r="AG66" s="138"/>
      <c r="AH66" s="138"/>
      <c r="AI66" s="138"/>
      <c r="AJ66" s="138"/>
      <c r="AK66" s="138"/>
      <c r="AL66" s="138"/>
      <c r="AM66" s="218">
        <f ca="1">IFERROR(__xludf.DUMMYFUNCTION("""COMPUTED_VALUE"""),45919.6666666666)</f>
        <v>45919.666666666599</v>
      </c>
      <c r="AN66" s="145">
        <f ca="1">IFERROR(__xludf.DUMMYFUNCTION("""COMPUTED_VALUE"""),142.91)</f>
        <v>142.91</v>
      </c>
      <c r="AO66" s="218">
        <f ca="1">IFERROR(__xludf.DUMMYFUNCTION("""COMPUTED_VALUE"""),45898.6666666666)</f>
        <v>45898.666666666599</v>
      </c>
      <c r="AP66" s="145">
        <f ca="1">IFERROR(__xludf.DUMMYFUNCTION("""COMPUTED_VALUE"""),138.31)</f>
        <v>138.31</v>
      </c>
      <c r="AQ66" s="218"/>
      <c r="AR66" s="145"/>
      <c r="AS66" s="218"/>
      <c r="AT66" s="145"/>
      <c r="AU66" s="218">
        <f ca="1">IFERROR(__xludf.DUMMYFUNCTION("""COMPUTED_VALUE"""),45657.6666666666)</f>
        <v>45657.666666666599</v>
      </c>
      <c r="AV66" s="145">
        <f ca="1">IFERROR(__xludf.DUMMYFUNCTION("""COMPUTED_VALUE"""),123.36)</f>
        <v>123.36</v>
      </c>
      <c r="AW66" s="209"/>
      <c r="AX66" s="209"/>
      <c r="AY66" s="209"/>
      <c r="AZ66" s="209"/>
      <c r="BA66" s="209"/>
      <c r="BB66" s="209"/>
      <c r="BC66" s="209"/>
      <c r="BD66" s="209"/>
      <c r="BE66" s="209"/>
      <c r="BF66" s="209"/>
      <c r="BG66" s="209"/>
      <c r="BH66" s="209"/>
      <c r="BI66" s="209"/>
      <c r="BJ66" s="209"/>
      <c r="BK66" s="209"/>
      <c r="BL66" s="209"/>
      <c r="BM66" s="209"/>
      <c r="BN66" s="209"/>
      <c r="BO66" s="209"/>
      <c r="BP66" s="209"/>
      <c r="BQ66" s="209"/>
      <c r="BR66" s="209"/>
      <c r="BS66" s="130"/>
      <c r="BT66" s="130"/>
      <c r="BU66" s="130"/>
      <c r="BV66" s="130"/>
      <c r="BW66" s="130"/>
      <c r="BX66" s="130"/>
      <c r="BY66" s="130"/>
      <c r="BZ66" s="130"/>
      <c r="CA66" s="130"/>
    </row>
    <row r="67" spans="1:79" ht="19.2">
      <c r="A67" s="45">
        <f>A65+1</f>
        <v>32</v>
      </c>
      <c r="B67" s="198" t="s">
        <v>204</v>
      </c>
      <c r="C67" s="199" t="str">
        <f ca="1">IFERROR(__xludf.DUMMYFUNCTION("GoogleFinance(B67,""name"")"),"Nu Holdings Ltd")</f>
        <v>Nu Holdings Ltd</v>
      </c>
      <c r="D67" s="200">
        <f ca="1">IFERROR(__xludf.DUMMYFUNCTION("GoogleFinance(B67,""marketcap"")/1000000"),76038.421953)</f>
        <v>76038.421952999997</v>
      </c>
      <c r="E67" s="201" t="s">
        <v>14</v>
      </c>
      <c r="F67" s="49" t="s">
        <v>21</v>
      </c>
      <c r="G67" s="82">
        <v>45883</v>
      </c>
      <c r="H67" s="70">
        <v>0.02</v>
      </c>
      <c r="I67" s="167">
        <f ca="1">N67/$M$84</f>
        <v>2.4010905912301601E-2</v>
      </c>
      <c r="J67" s="202">
        <v>15.78</v>
      </c>
      <c r="K67" s="54">
        <v>12.3</v>
      </c>
      <c r="L67" s="55">
        <v>227.64227642276421</v>
      </c>
      <c r="M67" s="56">
        <v>2800</v>
      </c>
      <c r="N67" s="203">
        <v>3592.1951219512193</v>
      </c>
      <c r="O67" s="57">
        <v>792.19512195121933</v>
      </c>
      <c r="P67" s="51">
        <v>0.28292682926829249</v>
      </c>
      <c r="Q67" s="58">
        <v>46</v>
      </c>
      <c r="R67" s="59"/>
      <c r="S67" s="51">
        <v>-1</v>
      </c>
      <c r="T67" s="49">
        <v>21</v>
      </c>
      <c r="U67" s="204">
        <v>0.33079847908745252</v>
      </c>
      <c r="V67" s="61">
        <v>0</v>
      </c>
      <c r="W67" s="51">
        <v>-2.4118738404452778E-2</v>
      </c>
      <c r="X67" s="51">
        <v>6.6216216216216095E-2</v>
      </c>
      <c r="Y67" s="51">
        <v>0.15014577259475215</v>
      </c>
      <c r="Z67" s="51">
        <v>0.541015625</v>
      </c>
      <c r="AA67" s="51">
        <v>0.52316602316602312</v>
      </c>
      <c r="AB67" s="59" t="s">
        <v>84</v>
      </c>
      <c r="AC67" s="63" t="s">
        <v>85</v>
      </c>
      <c r="AD67" s="63" t="s">
        <v>85</v>
      </c>
      <c r="AE67" s="49" t="s">
        <v>201</v>
      </c>
      <c r="AF67" s="205" t="s">
        <v>95</v>
      </c>
      <c r="AG67" s="206" t="s">
        <v>100</v>
      </c>
      <c r="AH67" s="182" t="s">
        <v>205</v>
      </c>
      <c r="AI67" s="182" t="s">
        <v>206</v>
      </c>
      <c r="AJ67" s="79"/>
      <c r="AK67" s="79"/>
      <c r="AL67" s="79"/>
      <c r="AM67" s="51" t="str">
        <f ca="1">IFERROR(__xludf.DUMMYFUNCTION("GoogleFinance(B67,""price"",DATE(2025,9,19))"),"Date")</f>
        <v>Date</v>
      </c>
      <c r="AN67" s="69" t="str">
        <f ca="1">IFERROR(__xludf.DUMMYFUNCTION("""COMPUTED_VALUE"""),"Close")</f>
        <v>Close</v>
      </c>
      <c r="AO67" s="51" t="str">
        <f ca="1">IFERROR(__xludf.DUMMYFUNCTION("GoogleFinance(B67,""price"",DATE(2025,8,29))"),"Date")</f>
        <v>Date</v>
      </c>
      <c r="AP67" s="69" t="str">
        <f ca="1">IFERROR(__xludf.DUMMYFUNCTION("""COMPUTED_VALUE"""),"Close")</f>
        <v>Close</v>
      </c>
      <c r="AQ67" s="51" t="str">
        <f ca="1">IFERROR(__xludf.DUMMYFUNCTION("GoogleFinance(B67,""price"",today()-93)"),"#N/A")</f>
        <v>#N/A</v>
      </c>
      <c r="AR67" s="69"/>
      <c r="AS67" s="51" t="str">
        <f ca="1">IFERROR(__xludf.DUMMYFUNCTION("GoogleFinance(B67,""price"",today()-184)"),"#N/A")</f>
        <v>#N/A</v>
      </c>
      <c r="AT67" s="69"/>
      <c r="AU67" s="70" t="str">
        <f ca="1">IFERROR(__xludf.DUMMYFUNCTION("GoogleFinance(B67,""price"",DATE(2024,12,31))"),"Date")</f>
        <v>Date</v>
      </c>
      <c r="AV67" s="69" t="str">
        <f ca="1">IFERROR(__xludf.DUMMYFUNCTION("""COMPUTED_VALUE"""),"Close")</f>
        <v>Close</v>
      </c>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72"/>
      <c r="BT67" s="72"/>
      <c r="BU67" s="72"/>
      <c r="BV67" s="72"/>
      <c r="BW67" s="72"/>
      <c r="BX67" s="72"/>
      <c r="BY67" s="72"/>
      <c r="BZ67" s="72"/>
      <c r="CA67" s="72"/>
    </row>
    <row r="68" spans="1:79" ht="13.2" hidden="1">
      <c r="A68" s="3" t="e">
        <f>A62+1</f>
        <v>#REF!</v>
      </c>
      <c r="B68" s="219"/>
      <c r="C68" s="220"/>
      <c r="D68" s="220"/>
      <c r="E68" s="219"/>
      <c r="F68" s="219"/>
      <c r="G68" s="221"/>
      <c r="H68" s="27"/>
      <c r="I68" s="222"/>
      <c r="J68" s="219"/>
      <c r="K68" s="223"/>
      <c r="L68" s="224"/>
      <c r="M68" s="225"/>
      <c r="N68" s="225"/>
      <c r="O68" s="226"/>
      <c r="P68" s="2"/>
      <c r="Q68" s="227"/>
      <c r="R68" s="228"/>
      <c r="S68" s="2"/>
      <c r="T68" s="229"/>
      <c r="U68" s="222"/>
      <c r="V68" s="27"/>
      <c r="W68" s="27"/>
      <c r="X68" s="27"/>
      <c r="Y68" s="27"/>
      <c r="Z68" s="27"/>
      <c r="AA68" s="222"/>
      <c r="AB68" s="217" t="s">
        <v>91</v>
      </c>
      <c r="AC68" s="27"/>
      <c r="AD68" s="27"/>
      <c r="AE68" s="27"/>
      <c r="AF68" s="27"/>
      <c r="AG68" s="27"/>
      <c r="AH68" s="27"/>
      <c r="AI68" s="27"/>
      <c r="AJ68" s="27"/>
      <c r="AK68" s="27"/>
      <c r="AL68" s="27"/>
      <c r="AM68" s="230">
        <f ca="1">IFERROR(__xludf.DUMMYFUNCTION("""COMPUTED_VALUE"""),45919.6666666666)</f>
        <v>45919.666666666599</v>
      </c>
      <c r="AN68" s="231">
        <f ca="1">IFERROR(__xludf.DUMMYFUNCTION("""COMPUTED_VALUE"""),16.17)</f>
        <v>16.170000000000002</v>
      </c>
      <c r="AO68" s="230">
        <f ca="1">IFERROR(__xludf.DUMMYFUNCTION("""COMPUTED_VALUE"""),45898.6666666666)</f>
        <v>45898.666666666599</v>
      </c>
      <c r="AP68" s="231">
        <f ca="1">IFERROR(__xludf.DUMMYFUNCTION("""COMPUTED_VALUE"""),14.8)</f>
        <v>14.8</v>
      </c>
      <c r="AQ68" s="230"/>
      <c r="AR68" s="231"/>
      <c r="AS68" s="230"/>
      <c r="AT68" s="231"/>
      <c r="AU68" s="230">
        <f ca="1">IFERROR(__xludf.DUMMYFUNCTION("""COMPUTED_VALUE"""),45657.6666666666)</f>
        <v>45657.666666666599</v>
      </c>
      <c r="AV68" s="231">
        <f ca="1">IFERROR(__xludf.DUMMYFUNCTION("""COMPUTED_VALUE"""),10.36)</f>
        <v>10.36</v>
      </c>
      <c r="AW68" s="219"/>
      <c r="AX68" s="219"/>
      <c r="AY68" s="219"/>
      <c r="AZ68" s="219"/>
      <c r="BA68" s="219"/>
      <c r="BB68" s="219"/>
      <c r="BC68" s="219"/>
      <c r="BD68" s="219"/>
      <c r="BE68" s="219"/>
      <c r="BF68" s="219"/>
      <c r="BG68" s="219"/>
      <c r="BH68" s="219"/>
      <c r="BI68" s="219"/>
      <c r="BJ68" s="219"/>
      <c r="BK68" s="219"/>
      <c r="BL68" s="219"/>
      <c r="BM68" s="219"/>
      <c r="BN68" s="219"/>
      <c r="BO68" s="219"/>
      <c r="BP68" s="219"/>
      <c r="BQ68" s="219"/>
      <c r="BR68" s="219"/>
      <c r="BS68" s="232"/>
      <c r="BT68" s="232"/>
      <c r="BU68" s="232"/>
      <c r="BV68" s="232"/>
      <c r="BW68" s="232"/>
      <c r="BX68" s="232"/>
      <c r="BY68" s="232"/>
      <c r="BZ68" s="232"/>
      <c r="CA68" s="232"/>
    </row>
    <row r="69" spans="1:79" ht="13.2" hidden="1">
      <c r="A69" s="3">
        <f t="shared" ref="A69:A70" si="9">A59+1</f>
        <v>29</v>
      </c>
      <c r="B69" s="1" t="s">
        <v>207</v>
      </c>
      <c r="C69" s="233" t="str">
        <f ca="1">IFERROR(__xludf.DUMMYFUNCTION("GoogleFinance(B69,""name"")"),"JPMorgan Equity Focus ETF")</f>
        <v>JPMorgan Equity Focus ETF</v>
      </c>
      <c r="D69" s="234" t="str">
        <f ca="1">IFERROR(__xludf.DUMMYFUNCTION("GoogleFinance(B69,""marketcap"")/1000000"),"#N/A")</f>
        <v>#N/A</v>
      </c>
      <c r="E69" s="229" t="s">
        <v>80</v>
      </c>
      <c r="F69" s="229"/>
      <c r="G69" s="235">
        <v>45727</v>
      </c>
      <c r="H69" s="2"/>
      <c r="I69" s="10">
        <f ca="1">N69/$M$84</f>
        <v>0</v>
      </c>
      <c r="J69" s="236">
        <f ca="1">IFERROR(__xludf.DUMMYFUNCTION("GOOGLEFINANCE(B69)"),74.02)</f>
        <v>74.02</v>
      </c>
      <c r="K69" s="237"/>
      <c r="L69" s="238"/>
      <c r="M69" s="239"/>
      <c r="N69" s="226">
        <f ca="1">J69*L69</f>
        <v>0</v>
      </c>
      <c r="O69" s="226">
        <f ca="1">N69-M69</f>
        <v>0</v>
      </c>
      <c r="P69" s="2" t="e">
        <f ca="1">J69/K69-1</f>
        <v>#DIV/0!</v>
      </c>
      <c r="Q69" s="227">
        <f ca="1">TODAY()-G69</f>
        <v>202</v>
      </c>
      <c r="R69" s="228">
        <v>61</v>
      </c>
      <c r="S69" s="2">
        <f ca="1">R69/J69-1</f>
        <v>-0.17589840583626037</v>
      </c>
      <c r="T69" s="229">
        <v>69</v>
      </c>
      <c r="U69" s="10">
        <f ca="1">T69/J69-1</f>
        <v>-6.7819508241015902E-2</v>
      </c>
      <c r="V69" s="8">
        <f ca="1">IFERROR(__xludf.DUMMYFUNCTION("GoogleFinance(B69,""changepct"")/100"),0.0058)</f>
        <v>5.7999999999999996E-3</v>
      </c>
      <c r="W69" s="2">
        <f ca="1">J69/AN70-1</f>
        <v>0.15909802693391795</v>
      </c>
      <c r="X69" s="2">
        <f ca="1">J69/AP70-1</f>
        <v>9.9524658348187911E-2</v>
      </c>
      <c r="Y69" s="2" t="e">
        <f ca="1">J69/AR70-1</f>
        <v>#DIV/0!</v>
      </c>
      <c r="Z69" s="2" t="e">
        <f ca="1">J69/AT70-1</f>
        <v>#DIV/0!</v>
      </c>
      <c r="AA69" s="2">
        <f ca="1">J69/AV70-1</f>
        <v>0.10296528088213375</v>
      </c>
      <c r="AB69" s="217" t="s">
        <v>91</v>
      </c>
      <c r="AC69" s="125" t="s">
        <v>85</v>
      </c>
      <c r="AD69" s="125" t="s">
        <v>93</v>
      </c>
      <c r="AE69" s="111" t="s">
        <v>208</v>
      </c>
      <c r="AF69" s="111" t="s">
        <v>95</v>
      </c>
      <c r="AG69" s="111" t="s">
        <v>88</v>
      </c>
      <c r="AH69" s="240" t="s">
        <v>209</v>
      </c>
      <c r="AI69" s="241" t="s">
        <v>210</v>
      </c>
      <c r="AJ69" s="2"/>
      <c r="AK69" s="2"/>
      <c r="AL69" s="2"/>
      <c r="AM69" s="2" t="str">
        <f ca="1">IFERROR(__xludf.DUMMYFUNCTION("GoogleFinance(B69,""price"",DATE(2025,3,14))"),"Date")</f>
        <v>Date</v>
      </c>
      <c r="AN69" s="29" t="str">
        <f ca="1">IFERROR(__xludf.DUMMYFUNCTION("""COMPUTED_VALUE"""),"Close")</f>
        <v>Close</v>
      </c>
      <c r="AO69" s="2" t="str">
        <f ca="1">IFERROR(__xludf.DUMMYFUNCTION("GoogleFinance(B69,""price"",DATE(2025,2,28))"),"Date")</f>
        <v>Date</v>
      </c>
      <c r="AP69" s="29" t="str">
        <f ca="1">IFERROR(__xludf.DUMMYFUNCTION("""COMPUTED_VALUE"""),"Close")</f>
        <v>Close</v>
      </c>
      <c r="AQ69" s="2" t="str">
        <f ca="1">IFERROR(__xludf.DUMMYFUNCTION("GoogleFinance(B69,""price"",today()-91)"),"#N/A")</f>
        <v>#N/A</v>
      </c>
      <c r="AR69" s="29"/>
      <c r="AS69" s="2" t="str">
        <f ca="1">IFERROR(__xludf.DUMMYFUNCTION("GoogleFinance(B69,""price"",today()-181)"),"#N/A")</f>
        <v>#N/A</v>
      </c>
      <c r="AT69" s="29"/>
      <c r="AU69" s="242" t="str">
        <f ca="1">IFERROR(__xludf.DUMMYFUNCTION("GoogleFinance(B69,""price"",DATE(2024,12,31))"),"Date")</f>
        <v>Date</v>
      </c>
      <c r="AV69" s="29" t="str">
        <f ca="1">IFERROR(__xludf.DUMMYFUNCTION("""COMPUTED_VALUE"""),"Close")</f>
        <v>Close</v>
      </c>
      <c r="AW69" s="4"/>
      <c r="AX69" s="4"/>
      <c r="AY69" s="4"/>
      <c r="AZ69" s="4"/>
      <c r="BA69" s="4"/>
      <c r="BB69" s="4"/>
      <c r="BC69" s="4"/>
      <c r="BD69" s="4"/>
      <c r="BE69" s="4"/>
      <c r="BF69" s="4"/>
      <c r="BG69" s="4"/>
      <c r="BH69" s="4"/>
      <c r="BI69" s="4"/>
      <c r="BJ69" s="4"/>
      <c r="BK69" s="4"/>
      <c r="BL69" s="4"/>
      <c r="BM69" s="4"/>
      <c r="BN69" s="4"/>
      <c r="BO69" s="4"/>
      <c r="BP69" s="4"/>
      <c r="BQ69" s="4"/>
      <c r="BR69" s="4"/>
      <c r="BS69" s="31"/>
      <c r="BT69" s="31"/>
      <c r="BU69" s="31"/>
      <c r="BV69" s="31"/>
      <c r="BW69" s="31"/>
      <c r="BX69" s="31"/>
      <c r="BY69" s="31"/>
      <c r="BZ69" s="31"/>
      <c r="CA69" s="31"/>
    </row>
    <row r="70" spans="1:79" ht="13.2" hidden="1">
      <c r="A70" s="3" t="e">
        <f t="shared" si="9"/>
        <v>#REF!</v>
      </c>
      <c r="B70" s="1"/>
      <c r="C70" s="233"/>
      <c r="D70" s="234"/>
      <c r="E70" s="229"/>
      <c r="F70" s="229"/>
      <c r="G70" s="235"/>
      <c r="H70" s="2"/>
      <c r="I70" s="243"/>
      <c r="J70" s="236"/>
      <c r="K70" s="237"/>
      <c r="L70" s="229"/>
      <c r="M70" s="229"/>
      <c r="N70" s="244"/>
      <c r="O70" s="226"/>
      <c r="P70" s="2"/>
      <c r="Q70" s="227"/>
      <c r="R70" s="228"/>
      <c r="S70" s="2"/>
      <c r="T70" s="229"/>
      <c r="U70" s="10"/>
      <c r="V70" s="8"/>
      <c r="W70" s="2"/>
      <c r="X70" s="2"/>
      <c r="Y70" s="2"/>
      <c r="Z70" s="2"/>
      <c r="AA70" s="2"/>
      <c r="AB70" s="217" t="s">
        <v>91</v>
      </c>
      <c r="AC70" s="14"/>
      <c r="AD70" s="14"/>
      <c r="AE70" s="14"/>
      <c r="AF70" s="14"/>
      <c r="AG70" s="14"/>
      <c r="AH70" s="14"/>
      <c r="AI70" s="14"/>
      <c r="AJ70" s="2"/>
      <c r="AK70" s="2"/>
      <c r="AL70" s="2"/>
      <c r="AM70" s="235">
        <f ca="1">IFERROR(__xludf.DUMMYFUNCTION("""COMPUTED_VALUE"""),45730.6666666666)</f>
        <v>45730.666666666599</v>
      </c>
      <c r="AN70" s="29">
        <f ca="1">IFERROR(__xludf.DUMMYFUNCTION("""COMPUTED_VALUE"""),63.86)</f>
        <v>63.86</v>
      </c>
      <c r="AO70" s="235">
        <f ca="1">IFERROR(__xludf.DUMMYFUNCTION("""COMPUTED_VALUE"""),45716.6666666666)</f>
        <v>45716.666666666599</v>
      </c>
      <c r="AP70" s="29">
        <f ca="1">IFERROR(__xludf.DUMMYFUNCTION("""COMPUTED_VALUE"""),67.32)</f>
        <v>67.319999999999993</v>
      </c>
      <c r="AQ70" s="235"/>
      <c r="AR70" s="29"/>
      <c r="AS70" s="235"/>
      <c r="AT70" s="29"/>
      <c r="AU70" s="235">
        <f ca="1">IFERROR(__xludf.DUMMYFUNCTION("""COMPUTED_VALUE"""),45657.6666666666)</f>
        <v>45657.666666666599</v>
      </c>
      <c r="AV70" s="29">
        <f ca="1">IFERROR(__xludf.DUMMYFUNCTION("""COMPUTED_VALUE"""),67.11)</f>
        <v>67.11</v>
      </c>
      <c r="AW70" s="4"/>
      <c r="AX70" s="4"/>
      <c r="AY70" s="4"/>
      <c r="AZ70" s="4"/>
      <c r="BA70" s="4"/>
      <c r="BB70" s="4"/>
      <c r="BC70" s="4"/>
      <c r="BD70" s="4"/>
      <c r="BE70" s="4"/>
      <c r="BF70" s="4"/>
      <c r="BG70" s="4"/>
      <c r="BH70" s="4"/>
      <c r="BI70" s="4"/>
      <c r="BJ70" s="4"/>
      <c r="BK70" s="4"/>
      <c r="BL70" s="4"/>
      <c r="BM70" s="4"/>
      <c r="BN70" s="4"/>
      <c r="BO70" s="4"/>
      <c r="BP70" s="4"/>
      <c r="BQ70" s="4"/>
      <c r="BR70" s="4"/>
      <c r="BS70" s="31"/>
      <c r="BT70" s="31"/>
      <c r="BU70" s="31"/>
      <c r="BV70" s="31"/>
      <c r="BW70" s="31"/>
      <c r="BX70" s="31"/>
      <c r="BY70" s="31"/>
      <c r="BZ70" s="31"/>
      <c r="CA70" s="31"/>
    </row>
    <row r="71" spans="1:79" ht="13.2" hidden="1">
      <c r="A71" s="3">
        <f t="shared" ref="A71:A72" si="10">A69+1</f>
        <v>30</v>
      </c>
      <c r="B71" s="1" t="s">
        <v>211</v>
      </c>
      <c r="C71" s="233" t="str">
        <f ca="1">IFERROR(__xludf.DUMMYFUNCTION("GoogleFinance(B71,""name"")"),"JPMorgan Small &amp; Mid Cap Enhanced Equity ETF")</f>
        <v>JPMorgan Small &amp; Mid Cap Enhanced Equity ETF</v>
      </c>
      <c r="D71" s="234" t="str">
        <f ca="1">IFERROR(__xludf.DUMMYFUNCTION("GoogleFinance(B71,""marketcap"")/1000000"),"#N/A")</f>
        <v>#N/A</v>
      </c>
      <c r="E71" s="229" t="s">
        <v>212</v>
      </c>
      <c r="F71" s="229"/>
      <c r="G71" s="235">
        <v>45642</v>
      </c>
      <c r="H71" s="2">
        <v>0.1</v>
      </c>
      <c r="I71" s="10">
        <f ca="1">N71/$M$84</f>
        <v>0</v>
      </c>
      <c r="J71" s="236">
        <f ca="1">IFERROR(__xludf.DUMMYFUNCTION("GOOGLEFINANCE(B71)"),63.45)</f>
        <v>63.45</v>
      </c>
      <c r="K71" s="237" t="e">
        <f>M71/L71</f>
        <v>#DIV/0!</v>
      </c>
      <c r="L71" s="238"/>
      <c r="M71" s="239"/>
      <c r="N71" s="226">
        <f ca="1">J71*L71</f>
        <v>0</v>
      </c>
      <c r="O71" s="226">
        <f ca="1">N71-M71</f>
        <v>0</v>
      </c>
      <c r="P71" s="2" t="e">
        <f ca="1">J71/K71-1</f>
        <v>#DIV/0!</v>
      </c>
      <c r="Q71" s="227">
        <f ca="1">TODAY()-G71</f>
        <v>287</v>
      </c>
      <c r="R71" s="228">
        <v>58</v>
      </c>
      <c r="S71" s="2">
        <f ca="1">R71/J71-1</f>
        <v>-8.5894405043341227E-2</v>
      </c>
      <c r="T71" s="229">
        <v>72</v>
      </c>
      <c r="U71" s="10">
        <f ca="1">T71/J71-1</f>
        <v>0.13475177304964525</v>
      </c>
      <c r="V71" s="8">
        <f ca="1">IFERROR(__xludf.DUMMYFUNCTION("GoogleFinance(B71,""changepct"")/100"),0.011)</f>
        <v>1.0999999999999999E-2</v>
      </c>
      <c r="W71" s="2">
        <f ca="1">J71/AN72-1</f>
        <v>6.5312290127602424E-2</v>
      </c>
      <c r="X71" s="2">
        <f ca="1">J71/AP72-1</f>
        <v>1.4875239923224592E-2</v>
      </c>
      <c r="Y71" s="2" t="e">
        <f ca="1">J71/AR72-1</f>
        <v>#DIV/0!</v>
      </c>
      <c r="Z71" s="2" t="e">
        <f ca="1">J71/AT72-1</f>
        <v>#DIV/0!</v>
      </c>
      <c r="AA71" s="2">
        <f ca="1">J71/AV72-1</f>
        <v>4.9280635025632513E-2</v>
      </c>
      <c r="AB71" s="217" t="s">
        <v>91</v>
      </c>
      <c r="AC71" s="125" t="s">
        <v>85</v>
      </c>
      <c r="AD71" s="125" t="s">
        <v>93</v>
      </c>
      <c r="AE71" s="111" t="s">
        <v>208</v>
      </c>
      <c r="AF71" s="111" t="s">
        <v>95</v>
      </c>
      <c r="AG71" s="111" t="s">
        <v>88</v>
      </c>
      <c r="AH71" s="240" t="s">
        <v>213</v>
      </c>
      <c r="AI71" s="241" t="s">
        <v>210</v>
      </c>
      <c r="AJ71" s="2"/>
      <c r="AK71" s="2"/>
      <c r="AL71" s="2"/>
      <c r="AM71" s="2" t="str">
        <f ca="1">IFERROR(__xludf.DUMMYFUNCTION("GoogleFinance(B71,""price"",DATE(2025,2,21))"),"Date")</f>
        <v>Date</v>
      </c>
      <c r="AN71" s="29" t="str">
        <f ca="1">IFERROR(__xludf.DUMMYFUNCTION("""COMPUTED_VALUE"""),"Close")</f>
        <v>Close</v>
      </c>
      <c r="AO71" s="2" t="str">
        <f ca="1">IFERROR(__xludf.DUMMYFUNCTION("GoogleFinance(B71,""price"",DATE(2025,1,31))"),"Date")</f>
        <v>Date</v>
      </c>
      <c r="AP71" s="29" t="str">
        <f ca="1">IFERROR(__xludf.DUMMYFUNCTION("""COMPUTED_VALUE"""),"Close")</f>
        <v>Close</v>
      </c>
      <c r="AQ71" s="2" t="str">
        <f ca="1">IFERROR(__xludf.DUMMYFUNCTION("GoogleFinance(B71,""price"",today()-91)"),"#N/A")</f>
        <v>#N/A</v>
      </c>
      <c r="AR71" s="29"/>
      <c r="AS71" s="2" t="str">
        <f ca="1">IFERROR(__xludf.DUMMYFUNCTION("GoogleFinance(B71,""price"",today()-181)"),"#N/A")</f>
        <v>#N/A</v>
      </c>
      <c r="AT71" s="29"/>
      <c r="AU71" s="242" t="str">
        <f ca="1">IFERROR(__xludf.DUMMYFUNCTION("GoogleFinance(B71,""price"",DATE(2024,12,31))"),"Date")</f>
        <v>Date</v>
      </c>
      <c r="AV71" s="29" t="str">
        <f ca="1">IFERROR(__xludf.DUMMYFUNCTION("""COMPUTED_VALUE"""),"Close")</f>
        <v>Close</v>
      </c>
      <c r="AW71" s="4"/>
      <c r="AX71" s="4"/>
      <c r="AY71" s="4"/>
      <c r="AZ71" s="4"/>
      <c r="BA71" s="4"/>
      <c r="BB71" s="4"/>
      <c r="BC71" s="4"/>
      <c r="BD71" s="4"/>
      <c r="BE71" s="4"/>
      <c r="BF71" s="4"/>
      <c r="BG71" s="4"/>
      <c r="BH71" s="4"/>
      <c r="BI71" s="4"/>
      <c r="BJ71" s="4"/>
      <c r="BK71" s="4"/>
      <c r="BL71" s="4"/>
      <c r="BM71" s="4"/>
      <c r="BN71" s="4"/>
      <c r="BO71" s="4"/>
      <c r="BP71" s="4"/>
      <c r="BQ71" s="4"/>
      <c r="BR71" s="4"/>
      <c r="BS71" s="31"/>
      <c r="BT71" s="31"/>
      <c r="BU71" s="31"/>
      <c r="BV71" s="31"/>
      <c r="BW71" s="31"/>
      <c r="BX71" s="31"/>
      <c r="BY71" s="31"/>
      <c r="BZ71" s="31"/>
      <c r="CA71" s="31"/>
    </row>
    <row r="72" spans="1:79" ht="13.2" hidden="1">
      <c r="A72" s="3" t="e">
        <f t="shared" si="10"/>
        <v>#REF!</v>
      </c>
      <c r="B72" s="1"/>
      <c r="C72" s="233"/>
      <c r="D72" s="234"/>
      <c r="E72" s="229"/>
      <c r="F72" s="229"/>
      <c r="G72" s="235"/>
      <c r="H72" s="2"/>
      <c r="I72" s="243"/>
      <c r="J72" s="236"/>
      <c r="K72" s="237"/>
      <c r="L72" s="229"/>
      <c r="M72" s="229"/>
      <c r="N72" s="244"/>
      <c r="O72" s="226"/>
      <c r="P72" s="2"/>
      <c r="Q72" s="227"/>
      <c r="R72" s="228"/>
      <c r="S72" s="2"/>
      <c r="T72" s="229"/>
      <c r="U72" s="10"/>
      <c r="V72" s="8"/>
      <c r="W72" s="2"/>
      <c r="X72" s="2"/>
      <c r="Y72" s="2"/>
      <c r="Z72" s="2"/>
      <c r="AA72" s="2"/>
      <c r="AB72" s="217" t="s">
        <v>91</v>
      </c>
      <c r="AC72" s="14"/>
      <c r="AD72" s="14"/>
      <c r="AE72" s="14"/>
      <c r="AF72" s="14"/>
      <c r="AG72" s="14"/>
      <c r="AH72" s="14"/>
      <c r="AI72" s="14"/>
      <c r="AJ72" s="2"/>
      <c r="AK72" s="2"/>
      <c r="AL72" s="2"/>
      <c r="AM72" s="235">
        <f ca="1">IFERROR(__xludf.DUMMYFUNCTION("""COMPUTED_VALUE"""),45709.6666666666)</f>
        <v>45709.666666666599</v>
      </c>
      <c r="AN72" s="29">
        <f ca="1">IFERROR(__xludf.DUMMYFUNCTION("""COMPUTED_VALUE"""),59.56)</f>
        <v>59.56</v>
      </c>
      <c r="AO72" s="235">
        <f ca="1">IFERROR(__xludf.DUMMYFUNCTION("""COMPUTED_VALUE"""),45688.6666666666)</f>
        <v>45688.666666666599</v>
      </c>
      <c r="AP72" s="29">
        <f ca="1">IFERROR(__xludf.DUMMYFUNCTION("""COMPUTED_VALUE"""),62.52)</f>
        <v>62.52</v>
      </c>
      <c r="AQ72" s="235"/>
      <c r="AR72" s="29"/>
      <c r="AS72" s="235"/>
      <c r="AT72" s="29"/>
      <c r="AU72" s="235">
        <f ca="1">IFERROR(__xludf.DUMMYFUNCTION("""COMPUTED_VALUE"""),45657.6666666666)</f>
        <v>45657.666666666599</v>
      </c>
      <c r="AV72" s="29">
        <f ca="1">IFERROR(__xludf.DUMMYFUNCTION("""COMPUTED_VALUE"""),60.47)</f>
        <v>60.47</v>
      </c>
      <c r="AW72" s="4"/>
      <c r="AX72" s="4"/>
      <c r="AY72" s="4"/>
      <c r="AZ72" s="4"/>
      <c r="BA72" s="4"/>
      <c r="BB72" s="4"/>
      <c r="BC72" s="4"/>
      <c r="BD72" s="4"/>
      <c r="BE72" s="4"/>
      <c r="BF72" s="4"/>
      <c r="BG72" s="4"/>
      <c r="BH72" s="4"/>
      <c r="BI72" s="4"/>
      <c r="BJ72" s="4"/>
      <c r="BK72" s="4"/>
      <c r="BL72" s="4"/>
      <c r="BM72" s="4"/>
      <c r="BN72" s="4"/>
      <c r="BO72" s="4"/>
      <c r="BP72" s="4"/>
      <c r="BQ72" s="4"/>
      <c r="BR72" s="4"/>
      <c r="BS72" s="31"/>
      <c r="BT72" s="31"/>
      <c r="BU72" s="31"/>
      <c r="BV72" s="31"/>
      <c r="BW72" s="31"/>
      <c r="BX72" s="31"/>
      <c r="BY72" s="31"/>
      <c r="BZ72" s="31"/>
      <c r="CA72" s="31"/>
    </row>
    <row r="73" spans="1:79" ht="13.2" hidden="1">
      <c r="A73" s="3">
        <f>A65+1</f>
        <v>32</v>
      </c>
      <c r="B73" s="22" t="s">
        <v>214</v>
      </c>
      <c r="C73" s="245" t="str">
        <f ca="1">IFERROR(__xludf.DUMMYFUNCTION("GoogleFinance(B73,""name"")"),"JPMorgan US Tech Leaders ETF")</f>
        <v>JPMorgan US Tech Leaders ETF</v>
      </c>
      <c r="D73" s="246" t="str">
        <f ca="1">IFERROR(__xludf.DUMMYFUNCTION("GoogleFinance(B73,""marketcap"")/1000000"),"#N/A")</f>
        <v>#N/A</v>
      </c>
      <c r="E73" s="23" t="s">
        <v>7</v>
      </c>
      <c r="F73" s="23" t="s">
        <v>7</v>
      </c>
      <c r="G73" s="235">
        <v>45727</v>
      </c>
      <c r="H73" s="242">
        <v>0.2</v>
      </c>
      <c r="I73" s="247">
        <f ca="1">N73/$M$84</f>
        <v>0</v>
      </c>
      <c r="J73" s="248">
        <f ca="1">IFERROR(__xludf.DUMMYFUNCTION("GOOGLEFINANCE(B73)"),90.84)</f>
        <v>90.84</v>
      </c>
      <c r="K73" s="237">
        <f>(18000*67.3+6000*58.5+6000*58+6000/61.3)/30000</f>
        <v>63.683262642740623</v>
      </c>
      <c r="L73" s="238"/>
      <c r="M73" s="239">
        <f>L73*K73</f>
        <v>0</v>
      </c>
      <c r="N73" s="249">
        <f ca="1">J73*L73</f>
        <v>0</v>
      </c>
      <c r="O73" s="226">
        <f ca="1">N73-M73</f>
        <v>0</v>
      </c>
      <c r="P73" s="2">
        <f ca="1">J73/K73-1</f>
        <v>0.42643445436530292</v>
      </c>
      <c r="Q73" s="227">
        <f ca="1">TODAY()-G73</f>
        <v>202</v>
      </c>
      <c r="R73" s="228">
        <v>62</v>
      </c>
      <c r="S73" s="2">
        <f ca="1">R73/J73-1</f>
        <v>-0.3174812857771907</v>
      </c>
      <c r="T73" s="229">
        <v>78</v>
      </c>
      <c r="U73" s="250">
        <f ca="1">T73/J73-1</f>
        <v>-0.14134742404227219</v>
      </c>
      <c r="V73" s="8">
        <f ca="1">IFERROR(__xludf.DUMMYFUNCTION("GoogleFinance(B73,""changepct"")/100"),0.00349999999999999)</f>
        <v>3.4999999999999901E-3</v>
      </c>
      <c r="W73" s="2">
        <f ca="1">J73/AN74-1</f>
        <v>0.30780305211632619</v>
      </c>
      <c r="X73" s="2">
        <f ca="1">J73/AP74-1</f>
        <v>0.35198690281291878</v>
      </c>
      <c r="Y73" s="2" t="e">
        <f ca="1">J73/AR74-1</f>
        <v>#DIV/0!</v>
      </c>
      <c r="Z73" s="2" t="e">
        <f ca="1">J73/AT74-1</f>
        <v>#DIV/0!</v>
      </c>
      <c r="AA73" s="2">
        <f ca="1">J73/AV74-1</f>
        <v>0.20047574996696182</v>
      </c>
      <c r="AB73" s="217" t="s">
        <v>84</v>
      </c>
      <c r="AC73" s="125" t="s">
        <v>85</v>
      </c>
      <c r="AD73" s="125" t="s">
        <v>85</v>
      </c>
      <c r="AE73" s="251" t="s">
        <v>208</v>
      </c>
      <c r="AF73" s="252" t="s">
        <v>95</v>
      </c>
      <c r="AG73" s="253" t="s">
        <v>88</v>
      </c>
      <c r="AH73" s="240" t="s">
        <v>215</v>
      </c>
      <c r="AI73" s="241" t="s">
        <v>216</v>
      </c>
      <c r="AJ73" s="27"/>
      <c r="AK73" s="27"/>
      <c r="AL73" s="27"/>
      <c r="AM73" s="254" t="str">
        <f ca="1">IFERROR(__xludf.DUMMYFUNCTION("GoogleFinance(B73,""price"",DATE(2025,4,25))"),"Date")</f>
        <v>Date</v>
      </c>
      <c r="AN73" s="29" t="str">
        <f ca="1">IFERROR(__xludf.DUMMYFUNCTION("""COMPUTED_VALUE"""),"Close")</f>
        <v>Close</v>
      </c>
      <c r="AO73" s="2" t="str">
        <f ca="1">IFERROR(__xludf.DUMMYFUNCTION("GoogleFinance(B73,""price"",DATE(2025,3,31))"),"Date")</f>
        <v>Date</v>
      </c>
      <c r="AP73" s="29" t="str">
        <f ca="1">IFERROR(__xludf.DUMMYFUNCTION("""COMPUTED_VALUE"""),"Close")</f>
        <v>Close</v>
      </c>
      <c r="AQ73" s="2" t="str">
        <f ca="1">IFERROR(__xludf.DUMMYFUNCTION("GoogleFinance(B73,""price"",today()-93)"),"#N/A")</f>
        <v>#N/A</v>
      </c>
      <c r="AR73" s="29"/>
      <c r="AS73" s="2" t="str">
        <f ca="1">IFERROR(__xludf.DUMMYFUNCTION("GoogleFinance(B73,""price"",today()-184)"),"#N/A")</f>
        <v>#N/A</v>
      </c>
      <c r="AT73" s="29"/>
      <c r="AU73" s="242" t="str">
        <f ca="1">IFERROR(__xludf.DUMMYFUNCTION("GoogleFinance(B73,""price"",DATE(2024,12,31))"),"Date")</f>
        <v>Date</v>
      </c>
      <c r="AV73" s="29" t="str">
        <f ca="1">IFERROR(__xludf.DUMMYFUNCTION("""COMPUTED_VALUE"""),"Close")</f>
        <v>Close</v>
      </c>
      <c r="AW73" s="219"/>
      <c r="AX73" s="219"/>
      <c r="AY73" s="219"/>
      <c r="AZ73" s="219"/>
      <c r="BA73" s="219"/>
      <c r="BB73" s="219"/>
      <c r="BC73" s="219"/>
      <c r="BD73" s="219"/>
      <c r="BE73" s="219"/>
      <c r="BF73" s="219"/>
      <c r="BG73" s="219"/>
      <c r="BH73" s="219"/>
      <c r="BI73" s="219"/>
      <c r="BJ73" s="219"/>
      <c r="BK73" s="219"/>
      <c r="BL73" s="219"/>
      <c r="BM73" s="219"/>
      <c r="BN73" s="219"/>
      <c r="BO73" s="219"/>
      <c r="BP73" s="219"/>
      <c r="BQ73" s="219"/>
      <c r="BR73" s="219"/>
      <c r="BS73" s="232"/>
      <c r="BT73" s="232"/>
      <c r="BU73" s="232"/>
      <c r="BV73" s="232"/>
      <c r="BW73" s="232"/>
      <c r="BX73" s="232"/>
      <c r="BY73" s="232"/>
      <c r="BZ73" s="232"/>
      <c r="CA73" s="232"/>
    </row>
    <row r="74" spans="1:79" ht="13.2" hidden="1">
      <c r="A74" s="3" t="e">
        <f t="shared" ref="A74:A77" si="11">A72+1</f>
        <v>#REF!</v>
      </c>
      <c r="B74" s="219"/>
      <c r="C74" s="220"/>
      <c r="D74" s="220"/>
      <c r="E74" s="219"/>
      <c r="F74" s="219"/>
      <c r="G74" s="221"/>
      <c r="H74" s="27"/>
      <c r="I74" s="222"/>
      <c r="J74" s="219"/>
      <c r="K74" s="223"/>
      <c r="L74" s="224"/>
      <c r="M74" s="225"/>
      <c r="N74" s="225"/>
      <c r="O74" s="255"/>
      <c r="P74" s="27"/>
      <c r="Q74" s="222"/>
      <c r="R74" s="27"/>
      <c r="S74" s="27"/>
      <c r="T74" s="27"/>
      <c r="U74" s="222"/>
      <c r="V74" s="27"/>
      <c r="W74" s="27"/>
      <c r="X74" s="27"/>
      <c r="Y74" s="27"/>
      <c r="Z74" s="27"/>
      <c r="AA74" s="222"/>
      <c r="AB74" s="217" t="s">
        <v>91</v>
      </c>
      <c r="AC74" s="27"/>
      <c r="AD74" s="27"/>
      <c r="AE74" s="27"/>
      <c r="AF74" s="27"/>
      <c r="AG74" s="27"/>
      <c r="AH74" s="27"/>
      <c r="AI74" s="27"/>
      <c r="AJ74" s="27"/>
      <c r="AK74" s="27"/>
      <c r="AL74" s="27"/>
      <c r="AM74" s="230">
        <f ca="1">IFERROR(__xludf.DUMMYFUNCTION("""COMPUTED_VALUE"""),45772.6666666666)</f>
        <v>45772.666666666599</v>
      </c>
      <c r="AN74" s="231">
        <f ca="1">IFERROR(__xludf.DUMMYFUNCTION("""COMPUTED_VALUE"""),69.46)</f>
        <v>69.459999999999994</v>
      </c>
      <c r="AO74" s="230">
        <f ca="1">IFERROR(__xludf.DUMMYFUNCTION("""COMPUTED_VALUE"""),45747.6666666666)</f>
        <v>45747.666666666599</v>
      </c>
      <c r="AP74" s="231">
        <f ca="1">IFERROR(__xludf.DUMMYFUNCTION("""COMPUTED_VALUE"""),67.19)</f>
        <v>67.19</v>
      </c>
      <c r="AQ74" s="230"/>
      <c r="AR74" s="231"/>
      <c r="AS74" s="230"/>
      <c r="AT74" s="231"/>
      <c r="AU74" s="230">
        <f ca="1">IFERROR(__xludf.DUMMYFUNCTION("""COMPUTED_VALUE"""),45657.6666666666)</f>
        <v>45657.666666666599</v>
      </c>
      <c r="AV74" s="231">
        <f ca="1">IFERROR(__xludf.DUMMYFUNCTION("""COMPUTED_VALUE"""),75.67)</f>
        <v>75.67</v>
      </c>
      <c r="AW74" s="219"/>
      <c r="AX74" s="219"/>
      <c r="AY74" s="219"/>
      <c r="AZ74" s="219"/>
      <c r="BA74" s="219"/>
      <c r="BB74" s="219"/>
      <c r="BC74" s="219"/>
      <c r="BD74" s="219"/>
      <c r="BE74" s="219"/>
      <c r="BF74" s="219"/>
      <c r="BG74" s="219"/>
      <c r="BH74" s="219"/>
      <c r="BI74" s="219"/>
      <c r="BJ74" s="219"/>
      <c r="BK74" s="219"/>
      <c r="BL74" s="219"/>
      <c r="BM74" s="219"/>
      <c r="BN74" s="219"/>
      <c r="BO74" s="219"/>
      <c r="BP74" s="219"/>
      <c r="BQ74" s="219"/>
      <c r="BR74" s="219"/>
      <c r="BS74" s="232"/>
      <c r="BT74" s="232"/>
      <c r="BU74" s="232"/>
      <c r="BV74" s="232"/>
      <c r="BW74" s="232"/>
      <c r="BX74" s="232"/>
      <c r="BY74" s="232"/>
      <c r="BZ74" s="232"/>
      <c r="CA74" s="232"/>
    </row>
    <row r="75" spans="1:79" ht="13.2" hidden="1">
      <c r="A75" s="3">
        <f t="shared" si="11"/>
        <v>33</v>
      </c>
      <c r="B75" s="22" t="s">
        <v>9</v>
      </c>
      <c r="C75" s="245" t="str">
        <f ca="1">IFERROR(__xludf.DUMMYFUNCTION("GoogleFinance(B75,""name"")"),"Consumer Discretionary Select Sector SPDR Fund")</f>
        <v>Consumer Discretionary Select Sector SPDR Fund</v>
      </c>
      <c r="D75" s="246">
        <f ca="1">IFERROR(__xludf.DUMMYFUNCTION("GoogleFinance(B75,""marketcap"")/1000000"),28358.460866)</f>
        <v>28358.460866000001</v>
      </c>
      <c r="E75" s="229" t="s">
        <v>128</v>
      </c>
      <c r="F75" s="229" t="s">
        <v>128</v>
      </c>
      <c r="G75" s="235">
        <v>45748</v>
      </c>
      <c r="H75" s="242">
        <v>0.04</v>
      </c>
      <c r="I75" s="247">
        <f ca="1">N75/$M$84</f>
        <v>0</v>
      </c>
      <c r="J75" s="248">
        <f ca="1">IFERROR(__xludf.DUMMYFUNCTION("GOOGLEFINANCE(B75)"),239.71)</f>
        <v>239.71</v>
      </c>
      <c r="K75" s="237">
        <f>(199.7+174.4+178.85)/3</f>
        <v>184.31666666666669</v>
      </c>
      <c r="L75" s="238"/>
      <c r="M75" s="239">
        <f>L75*K75</f>
        <v>0</v>
      </c>
      <c r="N75" s="249">
        <f ca="1">J75*L75</f>
        <v>0</v>
      </c>
      <c r="O75" s="226">
        <f ca="1">N75-M75</f>
        <v>0</v>
      </c>
      <c r="P75" s="2">
        <f ca="1">J75/K75-1</f>
        <v>0.30053350212496599</v>
      </c>
      <c r="Q75" s="227">
        <f ca="1">TODAY()-G75</f>
        <v>181</v>
      </c>
      <c r="R75" s="228">
        <v>175</v>
      </c>
      <c r="S75" s="2">
        <f ca="1">R75/J75-1</f>
        <v>-0.26995119102248555</v>
      </c>
      <c r="T75" s="229">
        <v>270</v>
      </c>
      <c r="U75" s="250">
        <f ca="1">T75/J75-1</f>
        <v>0.12636101956530799</v>
      </c>
      <c r="V75" s="8">
        <f ca="1">IFERROR(__xludf.DUMMYFUNCTION("GoogleFinance(B75,""changepct"")/100"),0.0148)</f>
        <v>1.4800000000000001E-2</v>
      </c>
      <c r="W75" s="2">
        <f ca="1">J75/AN76-1</f>
        <v>0.21310728744939289</v>
      </c>
      <c r="X75" s="2">
        <f ca="1">J75/AP76-1</f>
        <v>0.21396738579965557</v>
      </c>
      <c r="Y75" s="2" t="e">
        <f ca="1">J75/AR76-1</f>
        <v>#DIV/0!</v>
      </c>
      <c r="Z75" s="2" t="e">
        <f ca="1">J75/AT76-1</f>
        <v>#DIV/0!</v>
      </c>
      <c r="AA75" s="2">
        <f ca="1">J75/AV76-1</f>
        <v>6.8464452863828962E-2</v>
      </c>
      <c r="AB75" s="217" t="s">
        <v>84</v>
      </c>
      <c r="AC75" s="125" t="s">
        <v>85</v>
      </c>
      <c r="AD75" s="125" t="s">
        <v>85</v>
      </c>
      <c r="AE75" s="251" t="s">
        <v>208</v>
      </c>
      <c r="AF75" s="252" t="s">
        <v>95</v>
      </c>
      <c r="AG75" s="253" t="s">
        <v>100</v>
      </c>
      <c r="AH75" s="240" t="s">
        <v>217</v>
      </c>
      <c r="AI75" s="241" t="s">
        <v>216</v>
      </c>
      <c r="AJ75" s="27"/>
      <c r="AK75" s="27"/>
      <c r="AL75" s="27"/>
      <c r="AM75" s="254" t="str">
        <f ca="1">IFERROR(__xludf.DUMMYFUNCTION("GoogleFinance(B75,""price"",DATE(2025,4,25))"),"Date")</f>
        <v>Date</v>
      </c>
      <c r="AN75" s="29" t="str">
        <f ca="1">IFERROR(__xludf.DUMMYFUNCTION("""COMPUTED_VALUE"""),"Close")</f>
        <v>Close</v>
      </c>
      <c r="AO75" s="2" t="str">
        <f ca="1">IFERROR(__xludf.DUMMYFUNCTION("GoogleFinance(B75,""price"",DATE(2025,3,31))"),"Date")</f>
        <v>Date</v>
      </c>
      <c r="AP75" s="29" t="str">
        <f ca="1">IFERROR(__xludf.DUMMYFUNCTION("""COMPUTED_VALUE"""),"Close")</f>
        <v>Close</v>
      </c>
      <c r="AQ75" s="2" t="str">
        <f ca="1">IFERROR(__xludf.DUMMYFUNCTION("GoogleFinance(B75,""price"",today()-92)"),"#N/A")</f>
        <v>#N/A</v>
      </c>
      <c r="AR75" s="29"/>
      <c r="AS75" s="2" t="str">
        <f ca="1">IFERROR(__xludf.DUMMYFUNCTION("GoogleFinance(B75,""price"",today()-182)"),"#N/A")</f>
        <v>#N/A</v>
      </c>
      <c r="AT75" s="29"/>
      <c r="AU75" s="242" t="str">
        <f ca="1">IFERROR(__xludf.DUMMYFUNCTION("GoogleFinance(B75,""price"",DATE(2024,12,31))"),"Date")</f>
        <v>Date</v>
      </c>
      <c r="AV75" s="29" t="str">
        <f ca="1">IFERROR(__xludf.DUMMYFUNCTION("""COMPUTED_VALUE"""),"Close")</f>
        <v>Close</v>
      </c>
      <c r="AW75" s="219"/>
      <c r="AX75" s="219"/>
      <c r="AY75" s="219"/>
      <c r="AZ75" s="219"/>
      <c r="BA75" s="219"/>
      <c r="BB75" s="219"/>
      <c r="BC75" s="219"/>
      <c r="BD75" s="219"/>
      <c r="BE75" s="219"/>
      <c r="BF75" s="219"/>
      <c r="BG75" s="219"/>
      <c r="BH75" s="219"/>
      <c r="BI75" s="219"/>
      <c r="BJ75" s="219"/>
      <c r="BK75" s="219"/>
      <c r="BL75" s="219"/>
      <c r="BM75" s="219"/>
      <c r="BN75" s="219"/>
      <c r="BO75" s="219"/>
      <c r="BP75" s="219"/>
      <c r="BQ75" s="219"/>
      <c r="BR75" s="219"/>
      <c r="BS75" s="232"/>
      <c r="BT75" s="232"/>
      <c r="BU75" s="232"/>
      <c r="BV75" s="232"/>
      <c r="BW75" s="232"/>
      <c r="BX75" s="232"/>
      <c r="BY75" s="232"/>
      <c r="BZ75" s="232"/>
      <c r="CA75" s="232"/>
    </row>
    <row r="76" spans="1:79" ht="13.2" hidden="1">
      <c r="A76" s="3" t="e">
        <f t="shared" si="11"/>
        <v>#REF!</v>
      </c>
      <c r="B76" s="219"/>
      <c r="C76" s="220"/>
      <c r="D76" s="220"/>
      <c r="E76" s="219"/>
      <c r="F76" s="219"/>
      <c r="G76" s="221"/>
      <c r="H76" s="27"/>
      <c r="I76" s="222"/>
      <c r="J76" s="219"/>
      <c r="K76" s="223"/>
      <c r="L76" s="224"/>
      <c r="M76" s="225"/>
      <c r="N76" s="225"/>
      <c r="O76" s="255"/>
      <c r="P76" s="27"/>
      <c r="Q76" s="222"/>
      <c r="R76" s="27"/>
      <c r="S76" s="27"/>
      <c r="T76" s="27"/>
      <c r="U76" s="222"/>
      <c r="V76" s="27"/>
      <c r="W76" s="27"/>
      <c r="X76" s="27"/>
      <c r="Y76" s="27"/>
      <c r="Z76" s="27"/>
      <c r="AA76" s="222"/>
      <c r="AB76" s="217" t="s">
        <v>91</v>
      </c>
      <c r="AC76" s="27"/>
      <c r="AD76" s="27"/>
      <c r="AE76" s="27"/>
      <c r="AF76" s="27"/>
      <c r="AG76" s="27"/>
      <c r="AH76" s="27"/>
      <c r="AI76" s="27"/>
      <c r="AJ76" s="27"/>
      <c r="AK76" s="27"/>
      <c r="AL76" s="27"/>
      <c r="AM76" s="230">
        <f ca="1">IFERROR(__xludf.DUMMYFUNCTION("""COMPUTED_VALUE"""),45772.6666666666)</f>
        <v>45772.666666666599</v>
      </c>
      <c r="AN76" s="231">
        <f ca="1">IFERROR(__xludf.DUMMYFUNCTION("""COMPUTED_VALUE"""),197.6)</f>
        <v>197.6</v>
      </c>
      <c r="AO76" s="230">
        <f ca="1">IFERROR(__xludf.DUMMYFUNCTION("""COMPUTED_VALUE"""),45747.6666666666)</f>
        <v>45747.666666666599</v>
      </c>
      <c r="AP76" s="231">
        <f ca="1">IFERROR(__xludf.DUMMYFUNCTION("""COMPUTED_VALUE"""),197.46)</f>
        <v>197.46</v>
      </c>
      <c r="AQ76" s="230"/>
      <c r="AR76" s="231"/>
      <c r="AS76" s="230"/>
      <c r="AT76" s="231"/>
      <c r="AU76" s="230">
        <f ca="1">IFERROR(__xludf.DUMMYFUNCTION("""COMPUTED_VALUE"""),45657.6666666666)</f>
        <v>45657.666666666599</v>
      </c>
      <c r="AV76" s="231">
        <f ca="1">IFERROR(__xludf.DUMMYFUNCTION("""COMPUTED_VALUE"""),224.35)</f>
        <v>224.35</v>
      </c>
      <c r="AW76" s="219"/>
      <c r="AX76" s="219"/>
      <c r="AY76" s="219"/>
      <c r="AZ76" s="219"/>
      <c r="BA76" s="219"/>
      <c r="BB76" s="219"/>
      <c r="BC76" s="219"/>
      <c r="BD76" s="219"/>
      <c r="BE76" s="219"/>
      <c r="BF76" s="219"/>
      <c r="BG76" s="219"/>
      <c r="BH76" s="219"/>
      <c r="BI76" s="219"/>
      <c r="BJ76" s="219"/>
      <c r="BK76" s="219"/>
      <c r="BL76" s="219"/>
      <c r="BM76" s="219"/>
      <c r="BN76" s="219"/>
      <c r="BO76" s="219"/>
      <c r="BP76" s="219"/>
      <c r="BQ76" s="219"/>
      <c r="BR76" s="219"/>
      <c r="BS76" s="232"/>
      <c r="BT76" s="232"/>
      <c r="BU76" s="232"/>
      <c r="BV76" s="232"/>
      <c r="BW76" s="232"/>
      <c r="BX76" s="232"/>
      <c r="BY76" s="232"/>
      <c r="BZ76" s="232"/>
      <c r="CA76" s="232"/>
    </row>
    <row r="77" spans="1:79" ht="13.2" hidden="1">
      <c r="A77" s="3">
        <f t="shared" si="11"/>
        <v>34</v>
      </c>
      <c r="B77" s="22" t="s">
        <v>218</v>
      </c>
      <c r="C77" s="245" t="str">
        <f ca="1">IFERROR(__xludf.DUMMYFUNCTION("GoogleFinance(B77,""name"")"),"Roundhill Magnificent Seven ETF")</f>
        <v>Roundhill Magnificent Seven ETF</v>
      </c>
      <c r="D77" s="246" t="str">
        <f ca="1">IFERROR(__xludf.DUMMYFUNCTION("GoogleFinance(B77,""marketcap"")/1000000"),"#N/A")</f>
        <v>#N/A</v>
      </c>
      <c r="E77" s="23" t="s">
        <v>7</v>
      </c>
      <c r="F77" s="219" t="s">
        <v>219</v>
      </c>
      <c r="G77" s="235">
        <v>45736</v>
      </c>
      <c r="H77" s="242">
        <v>0.05</v>
      </c>
      <c r="I77" s="247">
        <f ca="1">N77/$M$84</f>
        <v>0</v>
      </c>
      <c r="J77" s="248">
        <f ca="1">IFERROR(__xludf.DUMMYFUNCTION("GOOGLEFINANCE(B77)"),64.45)</f>
        <v>64.45</v>
      </c>
      <c r="K77" s="237">
        <f>(47.39*5000+46.6*8000+40.5*3000+40.73*5000)/21000</f>
        <v>44.519047619047619</v>
      </c>
      <c r="L77" s="238"/>
      <c r="M77" s="239">
        <f>L77*K77</f>
        <v>0</v>
      </c>
      <c r="N77" s="249">
        <f ca="1">J77*L77</f>
        <v>0</v>
      </c>
      <c r="O77" s="226">
        <f ca="1">N77-M77</f>
        <v>0</v>
      </c>
      <c r="P77" s="2">
        <f ca="1">J77/K77-1</f>
        <v>0.44769494063536208</v>
      </c>
      <c r="Q77" s="227">
        <f ca="1">TODAY()-G77</f>
        <v>193</v>
      </c>
      <c r="R77" s="228"/>
      <c r="S77" s="2">
        <f ca="1">R77/J77-1</f>
        <v>-1</v>
      </c>
      <c r="T77" s="229">
        <v>56</v>
      </c>
      <c r="U77" s="250">
        <f ca="1">T77/J77-1</f>
        <v>-0.13110938712179987</v>
      </c>
      <c r="V77" s="8">
        <f ca="1">IFERROR(__xludf.DUMMYFUNCTION("GoogleFinance(B77,""changepct"")/100"),0.0055)</f>
        <v>5.4999999999999997E-3</v>
      </c>
      <c r="W77" s="2">
        <f ca="1">J77/AN78-1</f>
        <v>0.38631963863196384</v>
      </c>
      <c r="X77" s="2">
        <f ca="1">J77/AP78-1</f>
        <v>0.40536415176624518</v>
      </c>
      <c r="Y77" s="2" t="e">
        <f ca="1">J77/AR78-1</f>
        <v>#DIV/0!</v>
      </c>
      <c r="Z77" s="2" t="e">
        <f ca="1">J77/AT78-1</f>
        <v>#DIV/0!</v>
      </c>
      <c r="AA77" s="2">
        <f ca="1">J77/AV78-1</f>
        <v>0.18430723998529963</v>
      </c>
      <c r="AB77" s="217" t="s">
        <v>84</v>
      </c>
      <c r="AC77" s="125" t="s">
        <v>85</v>
      </c>
      <c r="AD77" s="125" t="s">
        <v>85</v>
      </c>
      <c r="AE77" s="251" t="s">
        <v>208</v>
      </c>
      <c r="AF77" s="252" t="s">
        <v>95</v>
      </c>
      <c r="AG77" s="253" t="s">
        <v>100</v>
      </c>
      <c r="AH77" s="240" t="s">
        <v>220</v>
      </c>
      <c r="AI77" s="241" t="s">
        <v>221</v>
      </c>
      <c r="AJ77" s="27"/>
      <c r="AK77" s="27"/>
      <c r="AL77" s="27"/>
      <c r="AM77" s="254" t="str">
        <f ca="1">IFERROR(__xludf.DUMMYFUNCTION("GoogleFinance(B77,""price"",DATE(2025,4,25))"),"Date")</f>
        <v>Date</v>
      </c>
      <c r="AN77" s="29" t="str">
        <f ca="1">IFERROR(__xludf.DUMMYFUNCTION("""COMPUTED_VALUE"""),"Close")</f>
        <v>Close</v>
      </c>
      <c r="AO77" s="2" t="str">
        <f ca="1">IFERROR(__xludf.DUMMYFUNCTION("GoogleFinance(B77,""price"",DATE(2025,3,31))"),"Date")</f>
        <v>Date</v>
      </c>
      <c r="AP77" s="29" t="str">
        <f ca="1">IFERROR(__xludf.DUMMYFUNCTION("""COMPUTED_VALUE"""),"Close")</f>
        <v>Close</v>
      </c>
      <c r="AQ77" s="2" t="str">
        <f ca="1">IFERROR(__xludf.DUMMYFUNCTION("GoogleFinance(B77,""price"",today()-93)"),"#N/A")</f>
        <v>#N/A</v>
      </c>
      <c r="AR77" s="29"/>
      <c r="AS77" s="2" t="str">
        <f ca="1">IFERROR(__xludf.DUMMYFUNCTION("GoogleFinance(B77,""price"",today()-184)"),"#N/A")</f>
        <v>#N/A</v>
      </c>
      <c r="AT77" s="29"/>
      <c r="AU77" s="242" t="str">
        <f ca="1">IFERROR(__xludf.DUMMYFUNCTION("GoogleFinance(B77,""price"",DATE(2024,12,31))"),"Date")</f>
        <v>Date</v>
      </c>
      <c r="AV77" s="29" t="str">
        <f ca="1">IFERROR(__xludf.DUMMYFUNCTION("""COMPUTED_VALUE"""),"Close")</f>
        <v>Close</v>
      </c>
      <c r="AW77" s="219"/>
      <c r="AX77" s="219"/>
      <c r="AY77" s="219"/>
      <c r="AZ77" s="219"/>
      <c r="BA77" s="219"/>
      <c r="BB77" s="219"/>
      <c r="BC77" s="219"/>
      <c r="BD77" s="219"/>
      <c r="BE77" s="219"/>
      <c r="BF77" s="219"/>
      <c r="BG77" s="219"/>
      <c r="BH77" s="219"/>
      <c r="BI77" s="219"/>
      <c r="BJ77" s="219"/>
      <c r="BK77" s="219"/>
      <c r="BL77" s="219"/>
      <c r="BM77" s="219"/>
      <c r="BN77" s="219"/>
      <c r="BO77" s="219"/>
      <c r="BP77" s="219"/>
      <c r="BQ77" s="219"/>
      <c r="BR77" s="219"/>
      <c r="BS77" s="232"/>
      <c r="BT77" s="232"/>
      <c r="BU77" s="232"/>
      <c r="BV77" s="232"/>
      <c r="BW77" s="232"/>
      <c r="BX77" s="232"/>
      <c r="BY77" s="232"/>
      <c r="BZ77" s="232"/>
      <c r="CA77" s="232"/>
    </row>
    <row r="78" spans="1:79" ht="13.2" hidden="1">
      <c r="A78" s="256" t="e">
        <f>#REF!+1</f>
        <v>#REF!</v>
      </c>
      <c r="B78" s="257"/>
      <c r="C78" s="258"/>
      <c r="D78" s="258"/>
      <c r="E78" s="257"/>
      <c r="F78" s="257"/>
      <c r="G78" s="259"/>
      <c r="H78" s="260"/>
      <c r="I78" s="261"/>
      <c r="J78" s="257"/>
      <c r="K78" s="262"/>
      <c r="L78" s="263"/>
      <c r="M78" s="264"/>
      <c r="N78" s="264"/>
      <c r="O78" s="265"/>
      <c r="P78" s="260"/>
      <c r="Q78" s="261"/>
      <c r="R78" s="260"/>
      <c r="S78" s="260"/>
      <c r="T78" s="260"/>
      <c r="U78" s="261"/>
      <c r="V78" s="260"/>
      <c r="W78" s="260"/>
      <c r="X78" s="260"/>
      <c r="Y78" s="260"/>
      <c r="Z78" s="260"/>
      <c r="AA78" s="261"/>
      <c r="AB78" s="260"/>
      <c r="AC78" s="260"/>
      <c r="AD78" s="260"/>
      <c r="AE78" s="260"/>
      <c r="AF78" s="260"/>
      <c r="AG78" s="260"/>
      <c r="AH78" s="260"/>
      <c r="AI78" s="260"/>
      <c r="AJ78" s="260"/>
      <c r="AK78" s="260"/>
      <c r="AL78" s="260"/>
      <c r="AM78" s="266">
        <f ca="1">IFERROR(__xludf.DUMMYFUNCTION("""COMPUTED_VALUE"""),45772.6666666666)</f>
        <v>45772.666666666599</v>
      </c>
      <c r="AN78" s="267">
        <f ca="1">IFERROR(__xludf.DUMMYFUNCTION("""COMPUTED_VALUE"""),46.49)</f>
        <v>46.49</v>
      </c>
      <c r="AO78" s="266">
        <f ca="1">IFERROR(__xludf.DUMMYFUNCTION("""COMPUTED_VALUE"""),45747.6666666666)</f>
        <v>45747.666666666599</v>
      </c>
      <c r="AP78" s="267">
        <f ca="1">IFERROR(__xludf.DUMMYFUNCTION("""COMPUTED_VALUE"""),45.86)</f>
        <v>45.86</v>
      </c>
      <c r="AQ78" s="266"/>
      <c r="AR78" s="267"/>
      <c r="AS78" s="266"/>
      <c r="AT78" s="267"/>
      <c r="AU78" s="266">
        <f ca="1">IFERROR(__xludf.DUMMYFUNCTION("""COMPUTED_VALUE"""),45657.6666666666)</f>
        <v>45657.666666666599</v>
      </c>
      <c r="AV78" s="267">
        <f ca="1">IFERROR(__xludf.DUMMYFUNCTION("""COMPUTED_VALUE"""),54.42)</f>
        <v>54.42</v>
      </c>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68"/>
      <c r="BT78" s="268"/>
      <c r="BU78" s="268"/>
      <c r="BV78" s="268"/>
      <c r="BW78" s="268"/>
      <c r="BX78" s="268"/>
      <c r="BY78" s="268"/>
      <c r="BZ78" s="268"/>
      <c r="CA78" s="268"/>
    </row>
    <row r="79" spans="1:79" ht="19.2" hidden="1">
      <c r="A79" s="269">
        <f>A69+1</f>
        <v>30</v>
      </c>
      <c r="B79" s="270" t="s">
        <v>222</v>
      </c>
      <c r="C79" s="271" t="str">
        <f ca="1">IFERROR(__xludf.DUMMYFUNCTION("GoogleFinance(B79,""name"")"),"Invesco S&amp;P 500 Eql Wght ETF")</f>
        <v>Invesco S&amp;P 500 Eql Wght ETF</v>
      </c>
      <c r="D79" s="272">
        <f ca="1">IFERROR(__xludf.DUMMYFUNCTION("GoogleFinance(B79,""marketcap"")/1000000"),343.267756)</f>
        <v>343.26775600000002</v>
      </c>
      <c r="E79" s="273" t="s">
        <v>80</v>
      </c>
      <c r="F79" s="273"/>
      <c r="G79" s="274">
        <v>45225</v>
      </c>
      <c r="H79" s="275">
        <v>0.25</v>
      </c>
      <c r="I79" s="276">
        <f ca="1">N79/$M$84</f>
        <v>0</v>
      </c>
      <c r="J79" s="277">
        <f ca="1">IFERROR(__xludf.DUMMYFUNCTION("GOOGLEFINANCE(B79)"),188.57)</f>
        <v>188.57</v>
      </c>
      <c r="K79" s="278">
        <v>135.37</v>
      </c>
      <c r="L79" s="279"/>
      <c r="M79" s="280">
        <f>L79*K79</f>
        <v>0</v>
      </c>
      <c r="N79" s="281">
        <f ca="1">J79*L79</f>
        <v>0</v>
      </c>
      <c r="O79" s="281">
        <f ca="1">N79-M79</f>
        <v>0</v>
      </c>
      <c r="P79" s="275">
        <f ca="1">J79/K79-1</f>
        <v>0.39299697126394317</v>
      </c>
      <c r="Q79" s="282">
        <f ca="1">TODAY()-G79</f>
        <v>704</v>
      </c>
      <c r="R79" s="283"/>
      <c r="S79" s="275">
        <f ca="1">R79/J79-1</f>
        <v>-1</v>
      </c>
      <c r="T79" s="273">
        <v>147</v>
      </c>
      <c r="U79" s="276">
        <f ca="1">T79/J79-1</f>
        <v>-0.22044863976242246</v>
      </c>
      <c r="V79" s="284">
        <f ca="1">IFERROR(__xludf.DUMMYFUNCTION("GoogleFinance(B79,""changepct"")/100"),0.00989999999999999)</f>
        <v>9.8999999999999904E-3</v>
      </c>
      <c r="W79" s="275">
        <f ca="1">J79/AN80-1</f>
        <v>0.25237431095171692</v>
      </c>
      <c r="X79" s="275">
        <f ca="1">J79/AP80-1</f>
        <v>0.38827946698078453</v>
      </c>
      <c r="Y79" s="275" t="e">
        <f ca="1">J79/AR80-1</f>
        <v>#DIV/0!</v>
      </c>
      <c r="Z79" s="275" t="e">
        <f ca="1">J79/AT80-1</f>
        <v>#DIV/0!</v>
      </c>
      <c r="AA79" s="275">
        <f ca="1">J79/AV80-1</f>
        <v>0.33500884955752208</v>
      </c>
      <c r="AB79" s="285" t="s">
        <v>91</v>
      </c>
      <c r="AC79" s="286" t="s">
        <v>94</v>
      </c>
      <c r="AD79" s="286" t="s">
        <v>94</v>
      </c>
      <c r="AE79" s="287" t="s">
        <v>208</v>
      </c>
      <c r="AF79" s="287" t="s">
        <v>95</v>
      </c>
      <c r="AG79" s="287" t="s">
        <v>88</v>
      </c>
      <c r="AH79" s="288"/>
      <c r="AI79" s="289" t="s">
        <v>223</v>
      </c>
      <c r="AJ79" s="275"/>
      <c r="AK79" s="275"/>
      <c r="AL79" s="275"/>
      <c r="AM79" s="2" t="str">
        <f ca="1">IFERROR(__xludf.DUMMYFUNCTION("GoogleFinance(B79,""price"",DATE(2023,12,8))"),"Date")</f>
        <v>Date</v>
      </c>
      <c r="AN79" s="290" t="str">
        <f ca="1">IFERROR(__xludf.DUMMYFUNCTION("""COMPUTED_VALUE"""),"Close")</f>
        <v>Close</v>
      </c>
      <c r="AO79" s="291" t="str">
        <f ca="1">IFERROR(__xludf.DUMMYFUNCTION("GoogleFinance(B79,""price"",DATE(2023,10,31))"),"Date")</f>
        <v>Date</v>
      </c>
      <c r="AP79" s="290" t="str">
        <f ca="1">IFERROR(__xludf.DUMMYFUNCTION("""COMPUTED_VALUE"""),"Close")</f>
        <v>Close</v>
      </c>
      <c r="AQ79" s="275" t="str">
        <f ca="1">IFERROR(__xludf.DUMMYFUNCTION("GoogleFinance(B79,""price"",today()-91)"),"#N/A")</f>
        <v>#N/A</v>
      </c>
      <c r="AR79" s="290"/>
      <c r="AS79" s="275" t="str">
        <f ca="1">IFERROR(__xludf.DUMMYFUNCTION("GoogleFinance(B79,""price"",today()-182)"),"#N/A")</f>
        <v>#N/A</v>
      </c>
      <c r="AT79" s="290"/>
      <c r="AU79" s="275" t="str">
        <f ca="1">IFERROR(__xludf.DUMMYFUNCTION("GoogleFinance(B79,""price"",DATE(2022,12,30))"),"Date")</f>
        <v>Date</v>
      </c>
      <c r="AV79" s="290" t="str">
        <f ca="1">IFERROR(__xludf.DUMMYFUNCTION("""COMPUTED_VALUE"""),"Close")</f>
        <v>Close</v>
      </c>
      <c r="AW79" s="292"/>
      <c r="AX79" s="292"/>
      <c r="AY79" s="292"/>
      <c r="AZ79" s="292"/>
      <c r="BA79" s="292"/>
      <c r="BB79" s="292"/>
      <c r="BC79" s="292"/>
      <c r="BD79" s="292"/>
      <c r="BE79" s="292"/>
      <c r="BF79" s="292"/>
      <c r="BG79" s="292"/>
      <c r="BH79" s="292"/>
      <c r="BI79" s="292"/>
      <c r="BJ79" s="292"/>
      <c r="BK79" s="292"/>
      <c r="BL79" s="292"/>
      <c r="BM79" s="292"/>
      <c r="BN79" s="292"/>
      <c r="BO79" s="292"/>
      <c r="BP79" s="292"/>
      <c r="BQ79" s="292"/>
      <c r="BR79" s="292"/>
      <c r="BS79" s="293"/>
      <c r="BT79" s="293"/>
      <c r="BU79" s="293"/>
      <c r="BV79" s="293"/>
      <c r="BW79" s="293"/>
      <c r="BX79" s="293"/>
      <c r="BY79" s="293"/>
      <c r="BZ79" s="293"/>
      <c r="CA79" s="293"/>
    </row>
    <row r="80" spans="1:79" ht="13.2" hidden="1">
      <c r="A80" s="294" t="e">
        <f>#REF!+1</f>
        <v>#REF!</v>
      </c>
      <c r="B80" s="1"/>
      <c r="C80" s="233"/>
      <c r="D80" s="234"/>
      <c r="E80" s="229"/>
      <c r="F80" s="229"/>
      <c r="G80" s="235"/>
      <c r="H80" s="2"/>
      <c r="I80" s="243"/>
      <c r="J80" s="295"/>
      <c r="K80" s="237"/>
      <c r="L80" s="229"/>
      <c r="M80" s="229"/>
      <c r="N80" s="244"/>
      <c r="O80" s="296"/>
      <c r="P80" s="297"/>
      <c r="Q80" s="298"/>
      <c r="R80" s="299"/>
      <c r="S80" s="254"/>
      <c r="T80" s="254"/>
      <c r="U80" s="300"/>
      <c r="V80" s="299"/>
      <c r="W80" s="254"/>
      <c r="X80" s="254"/>
      <c r="Y80" s="254"/>
      <c r="Z80" s="254"/>
      <c r="AA80" s="254"/>
      <c r="AB80" s="16"/>
      <c r="AC80" s="14"/>
      <c r="AD80" s="14"/>
      <c r="AE80" s="14"/>
      <c r="AF80" s="14"/>
      <c r="AG80" s="14"/>
      <c r="AH80" s="14"/>
      <c r="AI80" s="14"/>
      <c r="AJ80" s="2"/>
      <c r="AK80" s="2"/>
      <c r="AL80" s="2"/>
      <c r="AM80" s="235">
        <f ca="1">IFERROR(__xludf.DUMMYFUNCTION("""COMPUTED_VALUE"""),45268.6666666666)</f>
        <v>45268.666666666599</v>
      </c>
      <c r="AN80" s="29">
        <f ca="1">IFERROR(__xludf.DUMMYFUNCTION("""COMPUTED_VALUE"""),150.57)</f>
        <v>150.57</v>
      </c>
      <c r="AO80" s="235">
        <f ca="1">IFERROR(__xludf.DUMMYFUNCTION("""COMPUTED_VALUE"""),45230.6666666666)</f>
        <v>45230.666666666599</v>
      </c>
      <c r="AP80" s="29">
        <f ca="1">IFERROR(__xludf.DUMMYFUNCTION("""COMPUTED_VALUE"""),135.83)</f>
        <v>135.83000000000001</v>
      </c>
      <c r="AQ80" s="235"/>
      <c r="AR80" s="29"/>
      <c r="AS80" s="235"/>
      <c r="AT80" s="29"/>
      <c r="AU80" s="235">
        <f ca="1">IFERROR(__xludf.DUMMYFUNCTION("""COMPUTED_VALUE"""),44925.6666666666)</f>
        <v>44925.666666666599</v>
      </c>
      <c r="AV80" s="29">
        <f ca="1">IFERROR(__xludf.DUMMYFUNCTION("""COMPUTED_VALUE"""),141.25)</f>
        <v>141.25</v>
      </c>
      <c r="AW80" s="4"/>
      <c r="AX80" s="4"/>
      <c r="AY80" s="4"/>
      <c r="AZ80" s="4"/>
      <c r="BA80" s="4"/>
      <c r="BB80" s="4"/>
      <c r="BC80" s="4"/>
      <c r="BD80" s="4"/>
      <c r="BE80" s="4"/>
      <c r="BF80" s="4"/>
      <c r="BG80" s="4"/>
      <c r="BH80" s="4"/>
      <c r="BI80" s="4"/>
      <c r="BJ80" s="4"/>
      <c r="BK80" s="4"/>
      <c r="BL80" s="4"/>
      <c r="BM80" s="4"/>
      <c r="BN80" s="4"/>
      <c r="BO80" s="4"/>
      <c r="BP80" s="4"/>
      <c r="BQ80" s="4"/>
      <c r="BR80" s="4"/>
    </row>
    <row r="81" spans="1:79" ht="13.2">
      <c r="A81" s="301"/>
      <c r="B81" s="301"/>
      <c r="C81" s="301"/>
      <c r="D81" s="301"/>
      <c r="E81" s="301"/>
      <c r="F81" s="301"/>
      <c r="G81" s="301"/>
      <c r="H81" s="301"/>
      <c r="I81" s="302"/>
      <c r="J81" s="303"/>
      <c r="K81" s="304"/>
      <c r="L81" s="304"/>
      <c r="M81" s="304"/>
      <c r="N81" s="304"/>
      <c r="O81" s="304"/>
      <c r="P81" s="304"/>
      <c r="Q81" s="304"/>
      <c r="R81" s="305"/>
      <c r="S81" s="306"/>
      <c r="T81" s="306"/>
      <c r="U81" s="307"/>
      <c r="V81" s="305"/>
      <c r="W81" s="308"/>
      <c r="X81" s="308"/>
      <c r="Y81" s="308"/>
      <c r="Z81" s="308"/>
      <c r="AA81" s="308"/>
      <c r="AB81" s="309"/>
      <c r="AC81" s="310"/>
      <c r="AD81" s="310"/>
      <c r="AE81" s="310"/>
      <c r="AF81" s="310"/>
      <c r="AG81" s="310"/>
      <c r="AH81" s="310"/>
      <c r="AI81" s="310"/>
      <c r="AJ81" s="2"/>
      <c r="AK81" s="2"/>
      <c r="AL81" s="2"/>
      <c r="AM81" s="14"/>
      <c r="AN81" s="311"/>
      <c r="AO81" s="28"/>
      <c r="AP81" s="311"/>
      <c r="AQ81" s="28"/>
      <c r="AR81" s="311"/>
      <c r="AS81" s="28"/>
      <c r="AT81" s="311"/>
      <c r="AU81" s="28"/>
      <c r="AV81" s="311"/>
      <c r="AW81" s="28"/>
      <c r="AX81" s="28"/>
      <c r="AY81" s="4"/>
      <c r="AZ81" s="4"/>
      <c r="BA81" s="4"/>
      <c r="BB81" s="4"/>
      <c r="BC81" s="4"/>
      <c r="BD81" s="4"/>
      <c r="BE81" s="4"/>
      <c r="BF81" s="28"/>
      <c r="BG81" s="28"/>
      <c r="BH81" s="28"/>
      <c r="BI81" s="28"/>
      <c r="BJ81" s="28"/>
      <c r="BK81" s="28"/>
      <c r="BL81" s="28"/>
      <c r="BM81" s="28"/>
      <c r="BN81" s="28"/>
      <c r="BO81" s="28"/>
      <c r="BP81" s="28"/>
      <c r="BQ81" s="28"/>
      <c r="BR81" s="28"/>
      <c r="BS81" s="311"/>
      <c r="BT81" s="311"/>
      <c r="BU81" s="311"/>
      <c r="BV81" s="311"/>
      <c r="BW81" s="311"/>
      <c r="BX81" s="311"/>
      <c r="BY81" s="311"/>
      <c r="BZ81" s="311"/>
      <c r="CA81" s="311"/>
    </row>
    <row r="82" spans="1:79" ht="15.75" customHeight="1">
      <c r="A82" s="312"/>
      <c r="B82" s="312"/>
      <c r="C82" s="312"/>
      <c r="D82" s="313"/>
      <c r="E82" s="312"/>
      <c r="F82" s="312"/>
      <c r="G82" s="312"/>
      <c r="H82" s="312"/>
      <c r="I82" s="314"/>
      <c r="J82" s="315" t="s">
        <v>46</v>
      </c>
      <c r="K82" s="316"/>
      <c r="L82" s="316"/>
      <c r="M82" s="317">
        <f ca="1">SUM(N3:N80)</f>
        <v>145483.81346516026</v>
      </c>
      <c r="N82" s="318">
        <f ca="1">M82/M84</f>
        <v>0.97244109473022</v>
      </c>
      <c r="O82" s="319"/>
      <c r="P82" s="319"/>
      <c r="Q82" s="320"/>
      <c r="R82" s="320"/>
      <c r="S82" s="320"/>
      <c r="T82" s="320"/>
      <c r="U82" s="320"/>
      <c r="V82" s="320"/>
      <c r="W82" s="321"/>
      <c r="X82" s="321"/>
      <c r="Y82" s="321"/>
      <c r="Z82" s="321"/>
      <c r="AA82" s="321"/>
      <c r="AB82" s="21"/>
      <c r="AC82" s="21"/>
      <c r="AD82" s="21"/>
      <c r="AE82" s="21"/>
      <c r="AF82" s="21"/>
      <c r="AG82" s="21"/>
      <c r="AH82" s="21"/>
      <c r="AI82" s="21"/>
      <c r="AJ82" s="2"/>
      <c r="AK82" s="2"/>
      <c r="AL82" s="2"/>
      <c r="AM82" s="14"/>
      <c r="AN82" s="28"/>
      <c r="AO82" s="28"/>
      <c r="AP82" s="28"/>
      <c r="AQ82" s="28"/>
      <c r="AR82" s="28"/>
      <c r="AS82" s="28"/>
      <c r="AT82" s="28"/>
      <c r="AU82" s="28"/>
      <c r="AV82" s="28"/>
      <c r="AW82" s="28"/>
      <c r="AX82" s="28"/>
      <c r="AY82" s="4"/>
      <c r="AZ82" s="4"/>
      <c r="BA82" s="4"/>
      <c r="BB82" s="4"/>
      <c r="BC82" s="4"/>
      <c r="BD82" s="4"/>
      <c r="BE82" s="4"/>
      <c r="BF82" s="28"/>
      <c r="BG82" s="28"/>
      <c r="BH82" s="28"/>
      <c r="BI82" s="28"/>
      <c r="BJ82" s="28"/>
      <c r="BK82" s="28"/>
      <c r="BL82" s="28"/>
      <c r="BM82" s="28"/>
      <c r="BN82" s="28"/>
      <c r="BO82" s="28"/>
      <c r="BP82" s="28"/>
      <c r="BQ82" s="28"/>
      <c r="BR82" s="28"/>
      <c r="BS82" s="28"/>
      <c r="BT82" s="28"/>
      <c r="BU82" s="28"/>
      <c r="BV82" s="28"/>
      <c r="BW82" s="28"/>
      <c r="BX82" s="28"/>
      <c r="BY82" s="28"/>
      <c r="BZ82" s="28"/>
      <c r="CA82" s="28"/>
    </row>
    <row r="83" spans="1:79" ht="15.75" customHeight="1">
      <c r="A83" s="322"/>
      <c r="B83" s="322"/>
      <c r="C83" s="229"/>
      <c r="D83" s="323"/>
      <c r="E83" s="238"/>
      <c r="F83" s="237"/>
      <c r="G83" s="237"/>
      <c r="H83" s="324"/>
      <c r="I83" s="325"/>
      <c r="J83" s="326" t="s">
        <v>224</v>
      </c>
      <c r="K83" s="327"/>
      <c r="L83" s="327"/>
      <c r="M83" s="328">
        <f>1726-1500+9597-2500-6000+2800</f>
        <v>4123</v>
      </c>
      <c r="N83" s="329">
        <f ca="1">M83/M84</f>
        <v>2.7558905269780009E-2</v>
      </c>
      <c r="O83" s="330"/>
      <c r="P83" s="331"/>
      <c r="Q83" s="323"/>
      <c r="R83" s="323"/>
      <c r="S83" s="323"/>
      <c r="T83" s="323"/>
      <c r="U83" s="323"/>
      <c r="V83" s="323"/>
      <c r="W83" s="332"/>
      <c r="X83" s="332"/>
      <c r="Y83" s="332"/>
      <c r="Z83" s="332"/>
      <c r="AA83" s="332"/>
      <c r="AB83" s="14"/>
      <c r="AC83" s="14"/>
      <c r="AD83" s="14"/>
      <c r="AE83" s="14"/>
      <c r="AF83" s="14"/>
      <c r="AG83" s="14"/>
      <c r="AH83" s="14"/>
      <c r="AI83" s="14"/>
      <c r="AJ83" s="14"/>
      <c r="AK83" s="14"/>
      <c r="AL83" s="14"/>
      <c r="AM83" s="14"/>
      <c r="AN83" s="332"/>
      <c r="AO83" s="332"/>
      <c r="AP83" s="332"/>
      <c r="AQ83" s="332"/>
      <c r="AR83" s="332"/>
      <c r="AS83" s="332"/>
      <c r="AT83" s="332"/>
      <c r="AU83" s="28"/>
      <c r="AV83" s="332"/>
      <c r="AW83" s="28"/>
      <c r="AX83" s="332"/>
      <c r="AY83" s="4"/>
      <c r="AZ83" s="4"/>
      <c r="BA83" s="4"/>
      <c r="BB83" s="4"/>
      <c r="BC83" s="4"/>
      <c r="BD83" s="4"/>
      <c r="BE83" s="4"/>
      <c r="BF83" s="323"/>
      <c r="BG83" s="323"/>
      <c r="BH83" s="323"/>
      <c r="BI83" s="323"/>
      <c r="BJ83" s="323"/>
      <c r="BK83" s="323"/>
      <c r="BL83" s="323"/>
      <c r="BM83" s="323"/>
      <c r="BN83" s="323"/>
      <c r="BO83" s="323"/>
      <c r="BP83" s="323"/>
      <c r="BQ83" s="323"/>
      <c r="BR83" s="323"/>
      <c r="BS83" s="323"/>
      <c r="BT83" s="323"/>
      <c r="BU83" s="323"/>
      <c r="BV83" s="323"/>
      <c r="BW83" s="323"/>
      <c r="BX83" s="323"/>
      <c r="BY83" s="323"/>
      <c r="BZ83" s="323"/>
      <c r="CA83" s="323"/>
    </row>
    <row r="84" spans="1:79" ht="15.75" customHeight="1">
      <c r="A84" s="322"/>
      <c r="B84" s="322"/>
      <c r="C84" s="229"/>
      <c r="D84" s="323"/>
      <c r="E84" s="333"/>
      <c r="F84" s="237"/>
      <c r="G84" s="279"/>
      <c r="H84" s="323"/>
      <c r="I84" s="325"/>
      <c r="J84" s="315" t="s">
        <v>225</v>
      </c>
      <c r="K84" s="316"/>
      <c r="L84" s="316"/>
      <c r="M84" s="334">
        <f ca="1">M83+M82</f>
        <v>149606.81346516026</v>
      </c>
      <c r="N84" s="319"/>
      <c r="O84" s="323"/>
      <c r="P84" s="323"/>
      <c r="Q84" s="323"/>
      <c r="R84" s="323"/>
      <c r="S84" s="323"/>
      <c r="T84" s="323"/>
      <c r="U84" s="323"/>
      <c r="V84" s="323"/>
      <c r="W84" s="332"/>
      <c r="X84" s="332"/>
      <c r="Y84" s="332"/>
      <c r="Z84" s="332"/>
      <c r="AA84" s="332"/>
      <c r="AB84" s="14"/>
      <c r="AC84" s="14"/>
      <c r="AD84" s="14"/>
      <c r="AE84" s="14"/>
      <c r="AF84" s="14"/>
      <c r="AG84" s="14"/>
      <c r="AH84" s="14"/>
      <c r="AI84" s="14"/>
      <c r="AJ84" s="14"/>
      <c r="AK84" s="14"/>
      <c r="AL84" s="14"/>
      <c r="AM84" s="14"/>
      <c r="AN84" s="332"/>
      <c r="AO84" s="332"/>
      <c r="AP84" s="332"/>
      <c r="AQ84" s="332"/>
      <c r="AR84" s="332"/>
      <c r="AS84" s="332"/>
      <c r="AT84" s="332"/>
      <c r="AU84" s="28"/>
      <c r="AV84" s="332"/>
      <c r="AW84" s="28"/>
      <c r="AX84" s="332"/>
      <c r="AY84" s="4"/>
      <c r="AZ84" s="4"/>
      <c r="BA84" s="4"/>
      <c r="BB84" s="4"/>
      <c r="BC84" s="4"/>
      <c r="BD84" s="4"/>
      <c r="BE84" s="4"/>
      <c r="BF84" s="323"/>
      <c r="BG84" s="323"/>
      <c r="BH84" s="323"/>
      <c r="BI84" s="323"/>
      <c r="BJ84" s="323"/>
      <c r="BK84" s="323"/>
      <c r="BL84" s="323"/>
      <c r="BM84" s="323"/>
      <c r="BN84" s="323"/>
      <c r="BO84" s="323"/>
      <c r="BP84" s="323"/>
      <c r="BQ84" s="323"/>
      <c r="BR84" s="323"/>
      <c r="BS84" s="323"/>
      <c r="BT84" s="323"/>
      <c r="BU84" s="323"/>
      <c r="BV84" s="323"/>
      <c r="BW84" s="323"/>
      <c r="BX84" s="323"/>
      <c r="BY84" s="323"/>
      <c r="BZ84" s="323"/>
      <c r="CA84" s="323"/>
    </row>
    <row r="85" spans="1:79" ht="15.75" customHeight="1">
      <c r="A85" s="322"/>
      <c r="B85" s="322"/>
      <c r="C85" s="229"/>
      <c r="D85" s="322"/>
      <c r="E85" s="322"/>
      <c r="F85" s="238"/>
      <c r="G85" s="335"/>
      <c r="H85" s="335"/>
      <c r="I85" s="325"/>
      <c r="J85" s="336" t="s">
        <v>226</v>
      </c>
      <c r="K85" s="337"/>
      <c r="L85" s="337"/>
      <c r="M85" s="338">
        <v>149595</v>
      </c>
      <c r="N85" s="319"/>
      <c r="O85" s="323"/>
      <c r="P85" s="323"/>
      <c r="Q85" s="323"/>
      <c r="R85" s="323"/>
      <c r="S85" s="323"/>
      <c r="T85" s="323"/>
      <c r="U85" s="323"/>
      <c r="V85" s="323"/>
      <c r="W85" s="332"/>
      <c r="X85" s="332"/>
      <c r="Y85" s="332"/>
      <c r="Z85" s="332"/>
      <c r="AA85" s="332"/>
      <c r="AB85" s="14"/>
      <c r="AC85" s="339"/>
      <c r="AD85" s="339"/>
      <c r="AE85" s="339"/>
      <c r="AF85" s="339"/>
      <c r="AG85" s="14"/>
      <c r="AH85" s="14"/>
      <c r="AI85" s="14"/>
      <c r="AJ85" s="14"/>
      <c r="AK85" s="14"/>
      <c r="AL85" s="14"/>
      <c r="AM85" s="14"/>
      <c r="AN85" s="332"/>
      <c r="AO85" s="332"/>
      <c r="AP85" s="332"/>
      <c r="AQ85" s="332"/>
      <c r="AR85" s="332"/>
      <c r="AS85" s="332"/>
      <c r="AT85" s="332"/>
      <c r="AU85" s="28"/>
      <c r="AV85" s="332"/>
      <c r="AW85" s="28"/>
      <c r="AX85" s="332"/>
      <c r="AY85" s="4"/>
      <c r="AZ85" s="4"/>
      <c r="BA85" s="4"/>
      <c r="BB85" s="4"/>
      <c r="BC85" s="4"/>
      <c r="BD85" s="4"/>
      <c r="BE85" s="4"/>
      <c r="BF85" s="323"/>
      <c r="BG85" s="323"/>
      <c r="BH85" s="323"/>
      <c r="BI85" s="323"/>
      <c r="BJ85" s="323"/>
      <c r="BK85" s="323"/>
      <c r="BL85" s="323"/>
      <c r="BM85" s="323"/>
      <c r="BN85" s="323"/>
      <c r="BO85" s="323"/>
      <c r="BP85" s="323"/>
      <c r="BQ85" s="323"/>
      <c r="BR85" s="323"/>
      <c r="BS85" s="323"/>
      <c r="BT85" s="323"/>
      <c r="BU85" s="323"/>
      <c r="BV85" s="323"/>
      <c r="BW85" s="323"/>
      <c r="BX85" s="323"/>
      <c r="BY85" s="323"/>
      <c r="BZ85" s="323"/>
      <c r="CA85" s="323"/>
    </row>
    <row r="86" spans="1:79" ht="15.75" customHeight="1">
      <c r="A86" s="322"/>
      <c r="B86" s="322"/>
      <c r="C86" s="237"/>
      <c r="D86" s="322"/>
      <c r="E86" s="322"/>
      <c r="F86" s="322"/>
      <c r="G86" s="322"/>
      <c r="H86" s="322"/>
      <c r="I86" s="322"/>
      <c r="J86" s="340"/>
      <c r="L86" s="312"/>
      <c r="M86" s="320"/>
      <c r="N86" s="320"/>
      <c r="O86" s="323"/>
      <c r="P86" s="323"/>
      <c r="Q86" s="323"/>
      <c r="R86" s="323"/>
      <c r="S86" s="323"/>
      <c r="T86" s="323"/>
      <c r="U86" s="323"/>
      <c r="V86" s="323"/>
      <c r="W86" s="332"/>
      <c r="X86" s="332"/>
      <c r="Y86" s="332"/>
      <c r="Z86" s="332"/>
      <c r="AA86" s="332"/>
      <c r="AB86" s="29"/>
      <c r="AC86" s="864" t="s">
        <v>227</v>
      </c>
      <c r="AD86" s="862"/>
      <c r="AE86" s="862"/>
      <c r="AF86" s="863"/>
      <c r="AG86" s="15"/>
      <c r="AH86" s="14"/>
      <c r="AI86" s="14"/>
      <c r="AJ86" s="14"/>
      <c r="AK86" s="14"/>
      <c r="AL86" s="14"/>
      <c r="AM86" s="14"/>
      <c r="AN86" s="332"/>
      <c r="AO86" s="332"/>
      <c r="AP86" s="332"/>
      <c r="AQ86" s="332"/>
      <c r="AR86" s="332"/>
      <c r="AS86" s="332"/>
      <c r="AT86" s="332"/>
      <c r="AU86" s="28"/>
      <c r="AV86" s="332"/>
      <c r="AW86" s="28"/>
      <c r="AX86" s="332"/>
      <c r="AY86" s="4"/>
      <c r="AZ86" s="4"/>
      <c r="BA86" s="4"/>
      <c r="BB86" s="4"/>
      <c r="BC86" s="4"/>
      <c r="BD86" s="4"/>
      <c r="BE86" s="4"/>
      <c r="BF86" s="323"/>
      <c r="BG86" s="323"/>
      <c r="BH86" s="323"/>
      <c r="BI86" s="323"/>
      <c r="BJ86" s="323"/>
      <c r="BK86" s="323"/>
      <c r="BL86" s="323"/>
      <c r="BM86" s="323"/>
      <c r="BN86" s="323"/>
      <c r="BO86" s="323"/>
      <c r="BP86" s="323"/>
      <c r="BQ86" s="323"/>
      <c r="BR86" s="323"/>
      <c r="BS86" s="323"/>
      <c r="BT86" s="323"/>
      <c r="BU86" s="323"/>
      <c r="BV86" s="323"/>
      <c r="BW86" s="323"/>
      <c r="BX86" s="323"/>
      <c r="BY86" s="323"/>
      <c r="BZ86" s="323"/>
      <c r="CA86" s="323"/>
    </row>
    <row r="87" spans="1:79" ht="36">
      <c r="A87" s="341"/>
      <c r="B87" s="341"/>
      <c r="C87" s="342"/>
      <c r="D87" s="343" t="s">
        <v>4</v>
      </c>
      <c r="E87" s="343" t="s">
        <v>66</v>
      </c>
      <c r="F87" s="344">
        <v>45194</v>
      </c>
      <c r="G87" s="343" t="s">
        <v>68</v>
      </c>
      <c r="H87" s="343" t="s">
        <v>69</v>
      </c>
      <c r="I87" s="343" t="s">
        <v>70</v>
      </c>
      <c r="J87" s="343" t="s">
        <v>228</v>
      </c>
      <c r="K87" s="343" t="s">
        <v>229</v>
      </c>
      <c r="L87" s="343" t="s">
        <v>230</v>
      </c>
      <c r="M87" s="343" t="s">
        <v>231</v>
      </c>
      <c r="N87" s="343">
        <v>2024</v>
      </c>
      <c r="O87" s="343">
        <v>2023</v>
      </c>
      <c r="P87" s="343">
        <v>2022</v>
      </c>
      <c r="Q87" s="343">
        <v>2021</v>
      </c>
      <c r="R87" s="343">
        <v>2020</v>
      </c>
      <c r="S87" s="343" t="s">
        <v>232</v>
      </c>
      <c r="T87" s="343" t="s">
        <v>233</v>
      </c>
      <c r="U87" s="345">
        <v>43830</v>
      </c>
      <c r="V87" s="14"/>
      <c r="W87" s="14"/>
      <c r="X87" s="14"/>
      <c r="Y87" s="14"/>
      <c r="Z87" s="14"/>
      <c r="AA87" s="14"/>
      <c r="AB87" s="13"/>
      <c r="AC87" s="346" t="s">
        <v>79</v>
      </c>
      <c r="AD87" s="347" t="s">
        <v>80</v>
      </c>
      <c r="AE87" s="347" t="s">
        <v>234</v>
      </c>
      <c r="AF87" s="348" t="s">
        <v>235</v>
      </c>
      <c r="AG87" s="16"/>
      <c r="AH87" s="14"/>
      <c r="AI87" s="14"/>
      <c r="AJ87" s="14"/>
      <c r="AK87" s="14"/>
      <c r="AL87" s="14"/>
      <c r="AM87" s="14"/>
      <c r="AN87" s="332"/>
      <c r="AO87" s="332"/>
      <c r="AP87" s="332"/>
      <c r="AQ87" s="332"/>
      <c r="AR87" s="332"/>
      <c r="AS87" s="332"/>
      <c r="AT87" s="332"/>
      <c r="AU87" s="28"/>
      <c r="AV87" s="332"/>
      <c r="AW87" s="28"/>
      <c r="AX87" s="332"/>
      <c r="AY87" s="4"/>
      <c r="AZ87" s="4"/>
      <c r="BA87" s="4"/>
      <c r="BB87" s="4"/>
      <c r="BC87" s="4"/>
      <c r="BD87" s="4"/>
      <c r="BE87" s="4"/>
      <c r="BF87" s="323"/>
      <c r="BG87" s="323"/>
      <c r="BH87" s="323"/>
      <c r="BI87" s="323"/>
      <c r="BJ87" s="323"/>
      <c r="BK87" s="323"/>
      <c r="BL87" s="323"/>
      <c r="BM87" s="323"/>
      <c r="BN87" s="323"/>
      <c r="BO87" s="323"/>
      <c r="BP87" s="323"/>
      <c r="BQ87" s="323"/>
      <c r="BR87" s="323"/>
      <c r="BS87" s="323"/>
      <c r="BT87" s="323"/>
      <c r="BU87" s="323"/>
      <c r="BV87" s="323"/>
      <c r="BW87" s="323"/>
      <c r="BX87" s="323"/>
      <c r="BY87" s="323"/>
      <c r="BZ87" s="323"/>
      <c r="CA87" s="323"/>
    </row>
    <row r="88" spans="1:79" ht="15.75" customHeight="1">
      <c r="A88" s="341"/>
      <c r="B88" s="341"/>
      <c r="C88" s="341" t="s">
        <v>236</v>
      </c>
      <c r="D88" s="299">
        <f ca="1">I3*V3+I5*V5+I7*V7+I9*V9+I11*V11+I13*V13+I15*V15+I17*V17+I19*V19+I21*V21+I23*V23+I25*V25+I27*V27+I29*V29+I31*V31+I33*V33+I35*V35+I37*V37+I39*V39+I41*V41+I43*V43+I45*V45+I47*V47+I49*V49+I51*V51+I53*V53+I55*V55+I57*V57+I59*V59+I61*V61+I63*V63+I65*V65+I67*V67+I69*V69+I71*V71+I73*V73+I75*V75+I77*V77+I79*V79</f>
        <v>6.0820736812333877E-3</v>
      </c>
      <c r="E88" s="299">
        <f ca="1">M84/M85-1+0.07%</f>
        <v>7.7896965246345654E-4</v>
      </c>
      <c r="F88" s="299">
        <f ca="1">E88+1.6%</f>
        <v>1.6778969652463456E-2</v>
      </c>
      <c r="G88" s="299">
        <f ca="1">(1+F88)*(1+AZ147)*(1+AZ146)-1</f>
        <v>9.0669314156077263E-2</v>
      </c>
      <c r="H88" s="299">
        <f ca="1">(1+G88)*(1+AZ145)*(1+AZ144)*(1+AZ143)-1</f>
        <v>0.27076084944339174</v>
      </c>
      <c r="I88" s="299">
        <f ca="1">(1+F88)*(1+AZ140)*(1+AZ141)*(1+AZ142)*(1+AZ143)*(1+AZ144)*(1+AZ145)*(1+AZ146)*(1+AZ147)-1</f>
        <v>0.26121489394237307</v>
      </c>
      <c r="J88" s="299">
        <f ca="1">(1+H88)*(1+AZ140)*(1+AZ137)*(1+AZ141)*(1+AZ142)*(1+AZ138)*(1+AZ139)-1</f>
        <v>0.27389128664606432</v>
      </c>
      <c r="K88" s="299">
        <f ca="1">((1+J88)*(1+AZ132)*(1+AZ133)*(1+AZ134)*(1+AZ135)*(1+AZ124)*(1+AZ125)*(1+AZ126)*(1+AZ127)*(1+AZ128)*(1+AZ129)*(1+AZ130)*(1+AZ131))^(1/2)-1</f>
        <v>0.27562859147495455</v>
      </c>
      <c r="L88" s="299">
        <f ca="1">((1+J88)*(1+AZ132)*(1+AZ133)*(1+AZ122)*(1+AZ123)*(1+AZ124)*(1+AZ125)*(1+AZ126)*(1+AZ127)*(1+AZ128)*(1+AZ129)*(1+AZ130)*(1+AZ131)*(1+AZ134)*(1+AZ135)*(1+AZ112)*(1+AZ113)*(1+AZ114)*(1+AZ115)*(1+AZ116)*(1+AZ117)*(1+AZ118)*(1+AZ119)*(1+AZ120)*(1+AZ121))^(1/3)-1</f>
        <v>0.2254778061288456</v>
      </c>
      <c r="M88" s="299">
        <f ca="1">((1+J88)*(1+AZ132)*(1+AZ133)*(1+AZ122)*(1+AZ123)*(1+AZ124)*(1+AZ125)*(1+AZ126)*(1+AZ127)*(1+AZ128)*(1+AZ129)*(1+AZ130)*(1+AZ131)*(1+AZ110)*(1+AZ111)*(1+AZ112)*(1+AZ113)*(1+AZ114)*(1+AZ115)*(1+AZ116)*(1+AZ117)*(1+AZ118)*(1+AZ119)*(1+AZ120)*(1+AZ121)*(1+AZ134)*(1+AZ135)*(1+AZ100)*(1+AZ101)*(1+AZ102)*(1+AZ103)*(1+AZ104)*(1+AZ105)*(1+AZ106)*(1+AZ107)*(1+AZ108)*(1+AZ109))^(1/4)-1</f>
        <v>0.14866737188705992</v>
      </c>
      <c r="N88" s="299">
        <v>0.24</v>
      </c>
      <c r="O88" s="299">
        <v>0.13100000000000001</v>
      </c>
      <c r="P88" s="299">
        <v>-0.126</v>
      </c>
      <c r="Q88" s="299">
        <v>0.104</v>
      </c>
      <c r="R88" s="299">
        <v>0.77100000000000002</v>
      </c>
      <c r="S88" s="299">
        <f ca="1">(1+R88)*(1+Q88)*(1+P88)*(1+O88)*(1+I88)*(1+N88)-1</f>
        <v>2.0225427219319938</v>
      </c>
      <c r="T88" s="349">
        <f ca="1">(1+S88)^(365/(TODAY()-U87))-1</f>
        <v>0.21208502066130075</v>
      </c>
      <c r="U88" s="15"/>
      <c r="V88" s="14"/>
      <c r="W88" s="14"/>
      <c r="X88" s="14"/>
      <c r="Y88" s="14"/>
      <c r="Z88" s="14"/>
      <c r="AA88" s="14"/>
      <c r="AB88" s="6" t="s">
        <v>7</v>
      </c>
      <c r="AC88" s="350">
        <f ca="1">I69*AD88+I79*0.155+0.61*I73+I71*8%+I77+0.4*I57+I65+I7</f>
        <v>9.4151932200698021E-2</v>
      </c>
      <c r="AD88" s="11">
        <v>0.35299999999999998</v>
      </c>
      <c r="AE88" s="350">
        <f ca="1">AC88-AD88</f>
        <v>-0.25884806779930197</v>
      </c>
      <c r="AF88" s="351">
        <v>-2.8682059371876178E-4</v>
      </c>
      <c r="AG88" s="16"/>
      <c r="AH88" s="14"/>
      <c r="AI88" s="14"/>
      <c r="AJ88" s="14"/>
      <c r="AK88" s="14"/>
      <c r="AL88" s="14"/>
      <c r="AM88" s="323" t="s">
        <v>237</v>
      </c>
      <c r="AN88" s="332"/>
      <c r="AO88" s="323" t="s">
        <v>238</v>
      </c>
      <c r="AP88" s="332"/>
      <c r="AQ88" s="323" t="s">
        <v>239</v>
      </c>
      <c r="AR88" s="352"/>
      <c r="AS88" s="323" t="s">
        <v>240</v>
      </c>
      <c r="AT88" s="352"/>
      <c r="AU88" s="323" t="s">
        <v>241</v>
      </c>
      <c r="AV88" s="352"/>
      <c r="AW88" s="323" t="s">
        <v>242</v>
      </c>
      <c r="AX88" s="352"/>
      <c r="AY88" s="323" t="s">
        <v>243</v>
      </c>
      <c r="AZ88" s="352"/>
      <c r="BA88" s="323" t="s">
        <v>244</v>
      </c>
      <c r="BB88" s="352"/>
      <c r="BC88" s="28" t="s">
        <v>70</v>
      </c>
      <c r="BD88" s="332"/>
      <c r="BE88" s="28">
        <v>2020</v>
      </c>
      <c r="BF88" s="332"/>
      <c r="BG88" s="323"/>
      <c r="BH88" s="323"/>
      <c r="BI88" s="323"/>
      <c r="BJ88" s="323"/>
      <c r="BK88" s="323"/>
      <c r="BL88" s="323"/>
      <c r="BM88" s="323"/>
      <c r="BN88" s="323"/>
      <c r="BO88" s="323"/>
      <c r="BP88" s="323"/>
      <c r="BQ88" s="323"/>
      <c r="BR88" s="323"/>
      <c r="BS88" s="323"/>
      <c r="BT88" s="323"/>
      <c r="BU88" s="323"/>
      <c r="BV88" s="323"/>
      <c r="BW88" s="323"/>
      <c r="BX88" s="323"/>
      <c r="BY88" s="323"/>
      <c r="BZ88" s="323"/>
      <c r="CA88" s="323"/>
    </row>
    <row r="89" spans="1:79" ht="15.75" customHeight="1">
      <c r="A89" s="341"/>
      <c r="B89" s="341"/>
      <c r="C89" s="341" t="s">
        <v>245</v>
      </c>
      <c r="D89" s="299">
        <v>5.6999999999999993E-3</v>
      </c>
      <c r="E89" s="299">
        <v>-2.8326050926623658E-3</v>
      </c>
      <c r="F89" s="299">
        <v>2.599798465235259E-2</v>
      </c>
      <c r="G89" s="353">
        <v>7.1166140649024934E-2</v>
      </c>
      <c r="H89" s="353">
        <v>0.19105208220854486</v>
      </c>
      <c r="I89" s="353">
        <v>0.1292315042315042</v>
      </c>
      <c r="J89" s="353">
        <v>0.15347880646960421</v>
      </c>
      <c r="K89" s="353">
        <v>0.24451007106531142</v>
      </c>
      <c r="L89" s="353">
        <v>0.22187897867636597</v>
      </c>
      <c r="M89" s="353">
        <v>0.1557992198893603</v>
      </c>
      <c r="N89" s="353">
        <v>0.23300000000000001</v>
      </c>
      <c r="O89" s="353">
        <v>0.24299999999999999</v>
      </c>
      <c r="P89" s="353">
        <v>-0.19500000000000001</v>
      </c>
      <c r="Q89" s="353">
        <v>0.27</v>
      </c>
      <c r="R89" s="353">
        <v>0.16200000000000001</v>
      </c>
      <c r="S89" s="353">
        <v>1.05623563039831</v>
      </c>
      <c r="T89" s="349">
        <v>0.13355076017923873</v>
      </c>
      <c r="U89" s="15"/>
      <c r="V89" s="14"/>
      <c r="W89" s="14"/>
      <c r="X89" s="14"/>
      <c r="Y89" s="14"/>
      <c r="Z89" s="14"/>
      <c r="AA89" s="14"/>
      <c r="AB89" s="6" t="s">
        <v>13</v>
      </c>
      <c r="AC89" s="8">
        <v>0.12027405909286726</v>
      </c>
      <c r="AD89" s="2">
        <v>9.9000000000000005E-2</v>
      </c>
      <c r="AE89" s="350">
        <v>2.1274059092867253E-2</v>
      </c>
      <c r="AF89" s="9">
        <v>-1.038438991709234E-2</v>
      </c>
      <c r="AG89" s="16"/>
      <c r="AH89" s="4"/>
      <c r="AI89" s="4"/>
      <c r="AJ89" s="14"/>
      <c r="AK89" s="354" t="s">
        <v>5</v>
      </c>
      <c r="AL89" s="355" t="s">
        <v>4</v>
      </c>
      <c r="AM89" s="2" t="s">
        <v>246</v>
      </c>
      <c r="AN89" s="29" t="s">
        <v>247</v>
      </c>
      <c r="AO89" s="2" t="s">
        <v>246</v>
      </c>
      <c r="AP89" s="29" t="s">
        <v>247</v>
      </c>
      <c r="AQ89" s="2" t="s">
        <v>246</v>
      </c>
      <c r="AR89" s="29" t="s">
        <v>247</v>
      </c>
      <c r="AS89" s="2" t="s">
        <v>246</v>
      </c>
      <c r="AT89" s="29" t="s">
        <v>247</v>
      </c>
      <c r="AU89" s="2" t="s">
        <v>246</v>
      </c>
      <c r="AV89" s="29" t="s">
        <v>247</v>
      </c>
      <c r="AW89" s="2" t="s">
        <v>246</v>
      </c>
      <c r="AX89" s="29" t="s">
        <v>247</v>
      </c>
      <c r="AY89" s="2" t="s">
        <v>246</v>
      </c>
      <c r="AZ89" s="29" t="s">
        <v>247</v>
      </c>
      <c r="BA89" s="2" t="s">
        <v>246</v>
      </c>
      <c r="BB89" s="29" t="s">
        <v>247</v>
      </c>
      <c r="BC89" s="2" t="s">
        <v>246</v>
      </c>
      <c r="BD89" s="29" t="s">
        <v>247</v>
      </c>
      <c r="BE89" s="2" t="s">
        <v>246</v>
      </c>
      <c r="BF89" s="29" t="s">
        <v>247</v>
      </c>
      <c r="BG89" s="323"/>
      <c r="BH89" s="323"/>
      <c r="BI89" s="323"/>
      <c r="BJ89" s="323"/>
      <c r="BK89" s="323"/>
      <c r="BL89" s="323"/>
      <c r="BM89" s="323"/>
      <c r="BN89" s="323"/>
      <c r="BO89" s="323"/>
      <c r="BP89" s="323"/>
      <c r="BQ89" s="323"/>
      <c r="BR89" s="323"/>
      <c r="BS89" s="323"/>
      <c r="BT89" s="323"/>
      <c r="BU89" s="323"/>
      <c r="BV89" s="323"/>
      <c r="BW89" s="323"/>
      <c r="BX89" s="323"/>
      <c r="BY89" s="323"/>
      <c r="BZ89" s="323"/>
      <c r="CA89" s="323"/>
    </row>
    <row r="90" spans="1:79" ht="15.75" customHeight="1">
      <c r="A90" s="341"/>
      <c r="B90" s="341"/>
      <c r="C90" s="356" t="s">
        <v>234</v>
      </c>
      <c r="D90" s="357">
        <f t="shared" ref="D90:T90" ca="1" si="12">D88-D89</f>
        <v>3.8207368123338841E-4</v>
      </c>
      <c r="E90" s="357">
        <f t="shared" ca="1" si="12"/>
        <v>3.6115747451258224E-3</v>
      </c>
      <c r="F90" s="357">
        <f t="shared" ca="1" si="12"/>
        <v>-9.2190149998891344E-3</v>
      </c>
      <c r="G90" s="357">
        <f t="shared" ca="1" si="12"/>
        <v>1.9503173507052329E-2</v>
      </c>
      <c r="H90" s="357">
        <f t="shared" ca="1" si="12"/>
        <v>7.9708767234846878E-2</v>
      </c>
      <c r="I90" s="357">
        <f t="shared" ca="1" si="12"/>
        <v>0.13198338971086887</v>
      </c>
      <c r="J90" s="357">
        <f t="shared" ca="1" si="12"/>
        <v>0.12041248017646011</v>
      </c>
      <c r="K90" s="357">
        <f t="shared" ca="1" si="12"/>
        <v>3.1118520409643136E-2</v>
      </c>
      <c r="L90" s="357">
        <f t="shared" ca="1" si="12"/>
        <v>3.598827452479636E-3</v>
      </c>
      <c r="M90" s="357">
        <f t="shared" ca="1" si="12"/>
        <v>-7.1318480023003783E-3</v>
      </c>
      <c r="N90" s="357">
        <f t="shared" si="12"/>
        <v>6.9999999999999785E-3</v>
      </c>
      <c r="O90" s="357">
        <f t="shared" si="12"/>
        <v>-0.11199999999999999</v>
      </c>
      <c r="P90" s="357">
        <f t="shared" si="12"/>
        <v>6.9000000000000006E-2</v>
      </c>
      <c r="Q90" s="357">
        <f t="shared" si="12"/>
        <v>-0.16600000000000004</v>
      </c>
      <c r="R90" s="357">
        <f t="shared" si="12"/>
        <v>0.60899999999999999</v>
      </c>
      <c r="S90" s="357">
        <f t="shared" ca="1" si="12"/>
        <v>0.96630709153368377</v>
      </c>
      <c r="T90" s="357">
        <f t="shared" ca="1" si="12"/>
        <v>7.8534260482062024E-2</v>
      </c>
      <c r="U90" s="15"/>
      <c r="V90" s="14"/>
      <c r="W90" s="14"/>
      <c r="X90" s="14"/>
      <c r="Y90" s="14"/>
      <c r="Z90" s="14"/>
      <c r="AA90" s="14"/>
      <c r="AB90" s="6" t="s">
        <v>248</v>
      </c>
      <c r="AC90" s="8">
        <f ca="1">+I69*AD90+I79*0.06+I71*8%</f>
        <v>0</v>
      </c>
      <c r="AD90" s="2">
        <v>0.02</v>
      </c>
      <c r="AE90" s="8">
        <f t="shared" ref="AE90:AE98" ca="1" si="13">AC90-AD90</f>
        <v>-0.02</v>
      </c>
      <c r="AF90" s="9">
        <v>7.1684587813614087E-4</v>
      </c>
      <c r="AG90" s="16"/>
      <c r="AH90" s="14"/>
      <c r="AI90" s="14"/>
      <c r="AJ90" s="14"/>
      <c r="AK90" s="14"/>
      <c r="AL90" s="294">
        <f ca="1">IFERROR(__xludf.DUMMYFUNCTION("GOOGLEFINANCE(AK89)"),661.82)</f>
        <v>661.82</v>
      </c>
      <c r="AM90" s="235"/>
      <c r="AN90" s="29"/>
      <c r="AO90" s="235"/>
      <c r="AP90" s="29"/>
      <c r="AQ90" s="235"/>
      <c r="AR90" s="29"/>
      <c r="AS90" s="235"/>
      <c r="AT90" s="29"/>
      <c r="AU90" s="235"/>
      <c r="AV90" s="29"/>
      <c r="AW90" s="235"/>
      <c r="AX90" s="29"/>
      <c r="AY90" s="235"/>
      <c r="AZ90" s="29"/>
      <c r="BA90" s="235"/>
      <c r="BB90" s="29"/>
      <c r="BC90" s="235"/>
      <c r="BD90" s="29"/>
      <c r="BE90" s="235"/>
      <c r="BF90" s="29"/>
      <c r="BG90" s="323"/>
      <c r="BH90" s="323"/>
      <c r="BI90" s="323"/>
      <c r="BJ90" s="323"/>
      <c r="BK90" s="323"/>
      <c r="BL90" s="323"/>
      <c r="BM90" s="323"/>
      <c r="BN90" s="323"/>
      <c r="BO90" s="323"/>
      <c r="BP90" s="323"/>
      <c r="BQ90" s="323"/>
      <c r="BR90" s="323"/>
      <c r="BS90" s="323"/>
      <c r="BT90" s="323"/>
      <c r="BU90" s="323"/>
      <c r="BV90" s="323"/>
      <c r="BW90" s="323"/>
      <c r="BX90" s="323"/>
      <c r="BY90" s="323"/>
      <c r="BZ90" s="323"/>
      <c r="CA90" s="323"/>
    </row>
    <row r="91" spans="1:79" ht="15.75" customHeight="1">
      <c r="A91" s="341"/>
      <c r="B91" s="341"/>
      <c r="I91" s="322"/>
      <c r="J91" s="4"/>
      <c r="K91" s="323"/>
      <c r="L91" s="323"/>
      <c r="M91" s="323"/>
      <c r="N91" s="323"/>
      <c r="O91" s="332"/>
      <c r="P91" s="323"/>
      <c r="Q91" s="323"/>
      <c r="R91" s="323"/>
      <c r="S91" s="323"/>
      <c r="T91" s="323"/>
      <c r="U91" s="323"/>
      <c r="V91" s="323"/>
      <c r="W91" s="14"/>
      <c r="X91" s="14"/>
      <c r="Y91" s="14"/>
      <c r="Z91" s="14"/>
      <c r="AA91" s="14"/>
      <c r="AB91" s="6" t="s">
        <v>14</v>
      </c>
      <c r="AC91" s="8">
        <f ca="1">I13+I15+I69*AD91+I79*0.14+I33+I71*19%+0.05*I73+I59+0.4*I57++I67</f>
        <v>0.10865895940959852</v>
      </c>
      <c r="AD91" s="2">
        <v>0.13439999999999999</v>
      </c>
      <c r="AE91" s="8">
        <f t="shared" ca="1" si="13"/>
        <v>-2.5741040590401471E-2</v>
      </c>
      <c r="AF91" s="9">
        <v>-7.188940092165863E-3</v>
      </c>
      <c r="AG91" s="16"/>
      <c r="AH91" s="14"/>
      <c r="AI91" s="14"/>
      <c r="AJ91" s="14"/>
      <c r="AK91" s="14"/>
      <c r="AL91" s="14"/>
      <c r="AM91" s="14"/>
      <c r="AN91" s="332"/>
      <c r="AO91" s="332"/>
      <c r="AP91" s="332"/>
      <c r="AQ91" s="332"/>
      <c r="AR91" s="332"/>
      <c r="AS91" s="332"/>
      <c r="AT91" s="332"/>
      <c r="AU91" s="28"/>
      <c r="AV91" s="332"/>
      <c r="AW91" s="28"/>
      <c r="AX91" s="332"/>
      <c r="AY91" s="4"/>
      <c r="AZ91" s="4"/>
      <c r="BA91" s="4"/>
      <c r="BB91" s="4"/>
      <c r="BC91" s="4"/>
      <c r="BD91" s="4"/>
      <c r="BE91" s="4"/>
      <c r="BF91" s="323"/>
      <c r="BG91" s="323"/>
      <c r="BH91" s="323"/>
      <c r="BI91" s="323"/>
      <c r="BJ91" s="323"/>
      <c r="BK91" s="323"/>
      <c r="BL91" s="323"/>
      <c r="BM91" s="323"/>
      <c r="BN91" s="323"/>
      <c r="BO91" s="323"/>
      <c r="BP91" s="323"/>
      <c r="BQ91" s="323"/>
      <c r="BR91" s="323"/>
      <c r="BS91" s="323"/>
      <c r="BT91" s="323"/>
      <c r="BU91" s="323"/>
      <c r="BV91" s="323"/>
      <c r="BW91" s="323"/>
      <c r="BX91" s="323"/>
      <c r="BY91" s="323"/>
      <c r="BZ91" s="323"/>
      <c r="CA91" s="323"/>
    </row>
    <row r="92" spans="1:79" ht="15.75" customHeight="1">
      <c r="A92" s="4"/>
      <c r="B92" s="341"/>
      <c r="C92" s="341"/>
      <c r="D92" s="341"/>
      <c r="E92" s="341"/>
      <c r="F92" s="341"/>
      <c r="G92" s="341"/>
      <c r="H92" s="341"/>
      <c r="I92" s="341"/>
      <c r="J92" s="358"/>
      <c r="K92" s="4"/>
      <c r="L92" s="4"/>
      <c r="M92" s="4"/>
      <c r="N92" s="323"/>
      <c r="O92" s="332"/>
      <c r="W92" s="14"/>
      <c r="X92" s="14"/>
      <c r="Y92" s="14"/>
      <c r="Z92" s="14"/>
      <c r="AA92" s="14"/>
      <c r="AB92" s="6" t="s">
        <v>249</v>
      </c>
      <c r="AC92" s="8">
        <f ca="1">I69*AD92+I79*0.11+0.12*I73+I71*14.3%+I21+0.2*I57+I75+I27+I23+I25</f>
        <v>0.12541687267005303</v>
      </c>
      <c r="AD92" s="2">
        <v>0.106</v>
      </c>
      <c r="AE92" s="8">
        <f t="shared" ca="1" si="13"/>
        <v>1.9416872670053029E-2</v>
      </c>
      <c r="AF92" s="9">
        <v>-6.9596917850780482E-3</v>
      </c>
      <c r="AG92" s="16"/>
      <c r="AH92" s="14"/>
      <c r="AI92" s="14"/>
      <c r="AJ92" s="14"/>
      <c r="AK92" s="14"/>
      <c r="AL92" s="14"/>
      <c r="AY92" s="28"/>
      <c r="AZ92" s="4" t="s">
        <v>79</v>
      </c>
      <c r="BA92" s="31" t="s">
        <v>80</v>
      </c>
      <c r="BC92" s="4" t="s">
        <v>81</v>
      </c>
      <c r="BE92" s="4"/>
      <c r="BF92" s="4"/>
      <c r="BG92" s="4"/>
      <c r="BH92" s="4"/>
      <c r="BI92" s="4"/>
      <c r="BJ92" s="4"/>
      <c r="BK92" s="4"/>
      <c r="BL92" s="4"/>
      <c r="BM92" s="4"/>
      <c r="BN92" s="4"/>
      <c r="BO92" s="4"/>
      <c r="BP92" s="4"/>
      <c r="BQ92" s="4"/>
      <c r="BR92" s="4"/>
      <c r="BS92" s="4"/>
      <c r="BT92" s="4"/>
      <c r="BU92" s="4"/>
      <c r="BV92" s="4"/>
      <c r="BW92" s="4"/>
      <c r="BX92" s="4"/>
      <c r="BY92" s="4"/>
      <c r="BZ92" s="4"/>
      <c r="CA92" s="4"/>
    </row>
    <row r="93" spans="1:79" ht="15.75" customHeight="1">
      <c r="A93" s="3"/>
      <c r="B93" s="341"/>
      <c r="C93" s="341"/>
      <c r="D93" s="341"/>
      <c r="E93" s="341"/>
      <c r="F93" s="341"/>
      <c r="G93" s="341"/>
      <c r="H93" s="341"/>
      <c r="I93" s="322"/>
      <c r="J93" s="4"/>
      <c r="K93" s="4"/>
      <c r="L93" s="4"/>
      <c r="M93" s="4"/>
      <c r="N93" s="323"/>
      <c r="O93" s="332"/>
      <c r="P93" s="332"/>
      <c r="Q93" s="332"/>
      <c r="R93" s="332"/>
      <c r="S93" s="332"/>
      <c r="T93" s="332"/>
      <c r="U93" s="332"/>
      <c r="V93" s="332"/>
      <c r="W93" s="14"/>
      <c r="X93" s="14"/>
      <c r="Y93" s="14"/>
      <c r="Z93" s="14"/>
      <c r="AA93" s="14"/>
      <c r="AB93" s="6" t="s">
        <v>11</v>
      </c>
      <c r="AC93" s="8">
        <f ca="1">+I69*AD93+I79*0.14+I71*22%+0.02*I73</f>
        <v>0</v>
      </c>
      <c r="AD93" s="2">
        <v>7.8E-2</v>
      </c>
      <c r="AE93" s="8">
        <f t="shared" ca="1" si="13"/>
        <v>-7.8E-2</v>
      </c>
      <c r="AF93" s="9">
        <v>-3.5266457680249719E-3</v>
      </c>
      <c r="AG93" s="16"/>
      <c r="AH93" s="14"/>
      <c r="AI93" s="14"/>
      <c r="AJ93" s="14"/>
      <c r="AK93" s="14"/>
      <c r="AL93" s="14"/>
      <c r="AY93" s="359">
        <v>44248</v>
      </c>
      <c r="AZ93" s="299">
        <v>4.43359035718216E-3</v>
      </c>
      <c r="BA93" s="299">
        <v>2.0638342622778305E-2</v>
      </c>
      <c r="BE93" s="4"/>
      <c r="BF93" s="4"/>
      <c r="BG93" s="4"/>
      <c r="BH93" s="4"/>
      <c r="BI93" s="4"/>
      <c r="BJ93" s="4"/>
      <c r="BK93" s="4"/>
      <c r="BL93" s="4"/>
      <c r="BM93" s="4"/>
      <c r="BN93" s="4"/>
      <c r="BO93" s="4"/>
      <c r="BP93" s="4"/>
      <c r="BQ93" s="4"/>
      <c r="BR93" s="4"/>
      <c r="BS93" s="4"/>
      <c r="BT93" s="4"/>
      <c r="BU93" s="4"/>
      <c r="BV93" s="4"/>
      <c r="BW93" s="4"/>
      <c r="BX93" s="4"/>
      <c r="BY93" s="4"/>
      <c r="BZ93" s="4"/>
      <c r="CA93" s="4"/>
    </row>
    <row r="94" spans="1:79" ht="15.75" customHeight="1">
      <c r="A94" s="3"/>
      <c r="B94" s="341"/>
      <c r="C94" s="341"/>
      <c r="D94" s="341"/>
      <c r="E94" s="341"/>
      <c r="F94" s="341"/>
      <c r="G94" s="341"/>
      <c r="H94" s="341"/>
      <c r="I94" s="322"/>
      <c r="J94" s="4"/>
      <c r="K94" s="4"/>
      <c r="L94" s="4"/>
      <c r="M94" s="4"/>
      <c r="N94" s="323"/>
      <c r="O94" s="323"/>
      <c r="P94" s="323"/>
      <c r="Q94" s="323"/>
      <c r="R94" s="323"/>
      <c r="S94" s="323"/>
      <c r="T94" s="323"/>
      <c r="U94" s="323"/>
      <c r="V94" s="323"/>
      <c r="W94" s="332"/>
      <c r="X94" s="332"/>
      <c r="Y94" s="332"/>
      <c r="Z94" s="332"/>
      <c r="AA94" s="14"/>
      <c r="AB94" s="6" t="s">
        <v>12</v>
      </c>
      <c r="AC94" s="8">
        <f ca="1">I69*AD94+I79*0.04+I71*6%+I39+I41+I43</f>
        <v>0.10905478221451168</v>
      </c>
      <c r="AD94" s="2">
        <v>1.6E-2</v>
      </c>
      <c r="AE94" s="8">
        <f t="shared" ca="1" si="13"/>
        <v>9.3054782214511675E-2</v>
      </c>
      <c r="AF94" s="9">
        <v>-2.1909060882968179E-2</v>
      </c>
      <c r="AG94" s="16"/>
      <c r="AH94" s="14"/>
      <c r="AI94" s="14"/>
      <c r="AJ94" s="14"/>
      <c r="AK94" s="14"/>
      <c r="AL94" s="14"/>
      <c r="AM94" s="14"/>
      <c r="AN94" s="332"/>
      <c r="AO94" s="332"/>
      <c r="AP94" s="332"/>
      <c r="AQ94" s="332"/>
      <c r="AR94" s="332"/>
      <c r="AS94" s="332"/>
      <c r="AT94" s="332"/>
      <c r="AU94" s="28"/>
      <c r="AV94" s="332"/>
      <c r="AW94" s="28"/>
      <c r="AX94" s="332"/>
      <c r="AY94" s="359">
        <v>44276</v>
      </c>
      <c r="AZ94" s="299">
        <v>-4.150675257945121E-2</v>
      </c>
      <c r="BA94" s="299">
        <v>4.1986539068251005E-2</v>
      </c>
      <c r="BE94" s="4"/>
      <c r="BF94" s="4"/>
      <c r="BG94" s="4"/>
      <c r="BH94" s="4"/>
      <c r="BI94" s="4"/>
      <c r="BJ94" s="4"/>
      <c r="BK94" s="4"/>
      <c r="BL94" s="4"/>
      <c r="BM94" s="4"/>
      <c r="BN94" s="4"/>
      <c r="BO94" s="4"/>
      <c r="BP94" s="4"/>
      <c r="BQ94" s="4"/>
      <c r="BR94" s="4"/>
      <c r="BS94" s="4"/>
      <c r="BT94" s="4"/>
      <c r="BU94" s="4"/>
      <c r="BV94" s="4"/>
      <c r="BW94" s="4"/>
      <c r="BX94" s="4"/>
      <c r="BY94" s="4"/>
      <c r="BZ94" s="4"/>
      <c r="CA94" s="4"/>
    </row>
    <row r="95" spans="1:79" ht="15.75" customHeight="1">
      <c r="A95" s="3"/>
      <c r="B95" s="341"/>
      <c r="C95" s="341"/>
      <c r="D95" s="360" t="s">
        <v>250</v>
      </c>
      <c r="E95" s="341"/>
      <c r="F95" s="341"/>
      <c r="G95" s="341"/>
      <c r="H95" s="341"/>
      <c r="I95" s="322"/>
      <c r="J95" s="14"/>
      <c r="K95" s="14"/>
      <c r="L95" s="14"/>
      <c r="M95" s="14"/>
      <c r="N95" s="14"/>
      <c r="O95" s="14"/>
      <c r="P95" s="14"/>
      <c r="Q95" s="14"/>
      <c r="R95" s="14"/>
      <c r="S95" s="14"/>
      <c r="T95" s="14"/>
      <c r="U95" s="14"/>
      <c r="V95" s="14"/>
      <c r="W95" s="14"/>
      <c r="X95" s="361" t="s">
        <v>86</v>
      </c>
      <c r="Y95" s="361">
        <f ca="1">SUM(I3:I27)</f>
        <v>0.41072615349137997</v>
      </c>
      <c r="Z95" s="332"/>
      <c r="AA95" s="14"/>
      <c r="AB95" s="6" t="s">
        <v>15</v>
      </c>
      <c r="AC95" s="8">
        <f ca="1">+I69*AD95+I79*0.05+I71*5%+I45+I29+I47+I49+I51+I31</f>
        <v>0.19504752271263129</v>
      </c>
      <c r="AD95" s="2">
        <v>0.03</v>
      </c>
      <c r="AE95" s="8">
        <f t="shared" ca="1" si="13"/>
        <v>0.16504752271263129</v>
      </c>
      <c r="AF95" s="9">
        <v>3.9200180750113001E-2</v>
      </c>
      <c r="AG95" s="16"/>
      <c r="AH95" s="14"/>
      <c r="AI95" s="14"/>
      <c r="AJ95" s="4"/>
      <c r="AK95" s="4"/>
      <c r="AL95" s="14"/>
      <c r="AM95" s="14"/>
      <c r="AN95" s="332"/>
      <c r="AO95" s="332"/>
      <c r="AP95" s="332"/>
      <c r="AQ95" s="332"/>
      <c r="AR95" s="332"/>
      <c r="AS95" s="332"/>
      <c r="AT95" s="332"/>
      <c r="AU95" s="28"/>
      <c r="AV95" s="332"/>
      <c r="AW95" s="28"/>
      <c r="AX95" s="332"/>
      <c r="AY95" s="359">
        <v>44307</v>
      </c>
      <c r="AZ95" s="299">
        <v>1.545E-2</v>
      </c>
      <c r="BA95" s="299">
        <v>5.2999999999999999E-2</v>
      </c>
      <c r="BE95" s="4"/>
      <c r="BF95" s="4"/>
      <c r="BG95" s="4"/>
      <c r="BH95" s="4"/>
      <c r="BI95" s="4"/>
      <c r="BJ95" s="4"/>
      <c r="BK95" s="4"/>
      <c r="BL95" s="4"/>
      <c r="BM95" s="4"/>
      <c r="BN95" s="4"/>
      <c r="BO95" s="4"/>
      <c r="BP95" s="4"/>
      <c r="BQ95" s="4"/>
      <c r="BR95" s="4"/>
      <c r="BS95" s="4"/>
      <c r="BT95" s="4"/>
      <c r="BU95" s="4"/>
      <c r="BV95" s="4"/>
      <c r="BW95" s="4"/>
      <c r="BX95" s="4"/>
      <c r="BY95" s="4"/>
      <c r="BZ95" s="4"/>
      <c r="CA95" s="4"/>
    </row>
    <row r="96" spans="1:79" ht="15.75" customHeight="1">
      <c r="A96" s="3"/>
      <c r="B96" s="341"/>
      <c r="C96" s="341"/>
      <c r="D96" s="341"/>
      <c r="E96" s="341"/>
      <c r="F96" s="341"/>
      <c r="G96" s="341"/>
      <c r="H96" s="341"/>
      <c r="I96" s="322"/>
      <c r="J96" s="14"/>
      <c r="K96" s="323"/>
      <c r="L96" s="14"/>
      <c r="M96" s="14"/>
      <c r="N96" s="14"/>
      <c r="O96" s="14"/>
      <c r="P96" s="14"/>
      <c r="Q96" s="14"/>
      <c r="R96" s="14"/>
      <c r="S96" s="14"/>
      <c r="T96" s="14"/>
      <c r="U96" s="14"/>
      <c r="V96" s="14"/>
      <c r="W96" s="14"/>
      <c r="X96" s="361" t="s">
        <v>251</v>
      </c>
      <c r="Y96" s="361">
        <f ca="1">SUM(I29:I63)</f>
        <v>0.51204242943578571</v>
      </c>
      <c r="Z96" s="332"/>
      <c r="AA96" s="14"/>
      <c r="AB96" s="6" t="s">
        <v>17</v>
      </c>
      <c r="AC96" s="8">
        <f ca="1">I69*AD96+I79*0.13+I71*10%+0.02*I73+I53+I55</f>
        <v>5.9498512670578124E-2</v>
      </c>
      <c r="AD96" s="2">
        <v>8.7999999999999995E-2</v>
      </c>
      <c r="AE96" s="8">
        <f t="shared" ca="1" si="13"/>
        <v>-2.8501487329421871E-2</v>
      </c>
      <c r="AF96" s="9">
        <v>-1.3038094544394974E-2</v>
      </c>
      <c r="AG96" s="16"/>
      <c r="AH96" s="14"/>
      <c r="AI96" s="14"/>
      <c r="AJ96" s="4"/>
      <c r="AK96" s="4"/>
      <c r="AL96" s="14"/>
      <c r="AM96" s="14"/>
      <c r="AN96" s="332"/>
      <c r="AO96" s="332"/>
      <c r="AP96" s="332"/>
      <c r="AQ96" s="332"/>
      <c r="AR96" s="332"/>
      <c r="AS96" s="332"/>
      <c r="AT96" s="332"/>
      <c r="AU96" s="28"/>
      <c r="AV96" s="332"/>
      <c r="AW96" s="28"/>
      <c r="AX96" s="332"/>
      <c r="AY96" s="359">
        <v>44337</v>
      </c>
      <c r="AZ96" s="299">
        <v>-5.7500000000000002E-2</v>
      </c>
      <c r="BA96" s="299">
        <v>7.0000000000000001E-3</v>
      </c>
      <c r="BE96" s="4"/>
      <c r="BF96" s="4"/>
      <c r="BG96" s="4"/>
      <c r="BH96" s="4"/>
      <c r="BI96" s="4"/>
      <c r="BJ96" s="4"/>
      <c r="BK96" s="4"/>
      <c r="BL96" s="4"/>
      <c r="BM96" s="4"/>
      <c r="BN96" s="4"/>
      <c r="BO96" s="4"/>
      <c r="BP96" s="4"/>
      <c r="BQ96" s="4"/>
      <c r="BR96" s="4"/>
      <c r="BS96" s="4"/>
      <c r="BT96" s="4"/>
      <c r="BU96" s="4"/>
      <c r="BV96" s="4"/>
      <c r="BW96" s="4"/>
      <c r="BX96" s="4"/>
      <c r="BY96" s="4"/>
      <c r="BZ96" s="4"/>
      <c r="CA96" s="4"/>
    </row>
    <row r="97" spans="1:79" ht="15.75" customHeight="1">
      <c r="A97" s="3"/>
      <c r="B97" s="341"/>
      <c r="C97" s="341"/>
      <c r="D97" s="341"/>
      <c r="E97" s="341"/>
      <c r="F97" s="341"/>
      <c r="G97" s="341"/>
      <c r="H97" s="341"/>
      <c r="I97" s="322"/>
      <c r="J97" s="14"/>
      <c r="K97" s="323"/>
      <c r="L97" s="14"/>
      <c r="M97" s="14"/>
      <c r="N97" s="14"/>
      <c r="O97" s="14"/>
      <c r="P97" s="14"/>
      <c r="Q97" s="14"/>
      <c r="R97" s="14"/>
      <c r="S97" s="14"/>
      <c r="T97" s="14"/>
      <c r="U97" s="14"/>
      <c r="V97" s="14"/>
      <c r="W97" s="14"/>
      <c r="X97" s="361" t="s">
        <v>201</v>
      </c>
      <c r="Y97" s="361">
        <f ca="1">I65+I67</f>
        <v>4.967251180305423E-2</v>
      </c>
      <c r="Z97" s="332"/>
      <c r="AA97" s="14"/>
      <c r="AB97" s="6" t="s">
        <v>18</v>
      </c>
      <c r="AC97" s="8">
        <f ca="1">+I69*AD97+I79*0.08+I71*4%+I9+I11</f>
        <v>9.7446430829803143E-2</v>
      </c>
      <c r="AD97" s="2">
        <v>5.1999999999999998E-2</v>
      </c>
      <c r="AE97" s="8">
        <f t="shared" ca="1" si="13"/>
        <v>4.5446430829803146E-2</v>
      </c>
      <c r="AF97" s="9">
        <v>-1.7888636936255975E-2</v>
      </c>
      <c r="AG97" s="16"/>
      <c r="AH97" s="14"/>
      <c r="AI97" s="14"/>
      <c r="AJ97" s="4"/>
      <c r="AK97" s="4"/>
      <c r="AL97" s="14"/>
      <c r="AM97" s="14"/>
      <c r="AN97" s="332"/>
      <c r="AO97" s="332"/>
      <c r="AP97" s="332"/>
      <c r="AQ97" s="332"/>
      <c r="AR97" s="332"/>
      <c r="AS97" s="332"/>
      <c r="AT97" s="332"/>
      <c r="AU97" s="28"/>
      <c r="AV97" s="332"/>
      <c r="AW97" s="28"/>
      <c r="AX97" s="332"/>
      <c r="AY97" s="359">
        <v>44368</v>
      </c>
      <c r="AZ97" s="299">
        <v>3.4499999999999999E-3</v>
      </c>
      <c r="BA97" s="299">
        <v>2.7E-2</v>
      </c>
      <c r="BE97" s="4"/>
      <c r="BF97" s="4"/>
      <c r="BG97" s="4"/>
      <c r="BH97" s="4"/>
      <c r="BI97" s="4"/>
      <c r="BJ97" s="4"/>
      <c r="BK97" s="4"/>
      <c r="BL97" s="4"/>
      <c r="BM97" s="4"/>
      <c r="BN97" s="4"/>
      <c r="BO97" s="4"/>
      <c r="BP97" s="4"/>
      <c r="BQ97" s="4"/>
      <c r="BR97" s="4"/>
      <c r="BS97" s="4"/>
      <c r="BT97" s="4"/>
      <c r="BU97" s="4"/>
      <c r="BV97" s="4"/>
      <c r="BW97" s="4"/>
      <c r="BX97" s="4"/>
      <c r="BY97" s="4"/>
      <c r="BZ97" s="4"/>
      <c r="CA97" s="4"/>
    </row>
    <row r="98" spans="1:79" ht="15.75" customHeight="1">
      <c r="A98" s="3"/>
      <c r="B98" s="341"/>
      <c r="C98" s="341"/>
      <c r="D98" s="341"/>
      <c r="E98" s="341"/>
      <c r="F98" s="341"/>
      <c r="G98" s="341"/>
      <c r="H98" s="341"/>
      <c r="I98" s="322"/>
      <c r="J98" s="14"/>
      <c r="K98" s="323"/>
      <c r="L98" s="14"/>
      <c r="M98" s="14"/>
      <c r="N98" s="14"/>
      <c r="O98" s="14"/>
      <c r="P98" s="14"/>
      <c r="Q98" s="14"/>
      <c r="R98" s="14"/>
      <c r="S98" s="14"/>
      <c r="T98" s="14"/>
      <c r="U98" s="14"/>
      <c r="V98" s="14"/>
      <c r="W98" s="14"/>
      <c r="X98" s="362" t="s">
        <v>252</v>
      </c>
      <c r="Y98" s="361">
        <f ca="1">I69+I73+I75+I77</f>
        <v>0</v>
      </c>
      <c r="Z98" s="332"/>
      <c r="AA98" s="14"/>
      <c r="AB98" s="6" t="s">
        <v>20</v>
      </c>
      <c r="AC98" s="8">
        <f ca="1">I69*AD98+I79*0.06+I71*2%</f>
        <v>0</v>
      </c>
      <c r="AD98" s="2">
        <v>2.4E-2</v>
      </c>
      <c r="AE98" s="8">
        <f t="shared" ca="1" si="13"/>
        <v>-2.4E-2</v>
      </c>
      <c r="AF98" s="9">
        <v>2.1895232489699712E-2</v>
      </c>
      <c r="AG98" s="16"/>
      <c r="AH98" s="14"/>
      <c r="AI98" s="14"/>
      <c r="AJ98" s="4"/>
      <c r="AK98" s="4"/>
      <c r="AL98" s="14"/>
      <c r="AM98" s="14"/>
      <c r="AN98" s="332"/>
      <c r="AO98" s="332"/>
      <c r="AP98" s="332"/>
      <c r="AQ98" s="332"/>
      <c r="AR98" s="332"/>
      <c r="AS98" s="332"/>
      <c r="AT98" s="332"/>
      <c r="AU98" s="28"/>
      <c r="AV98" s="332"/>
      <c r="AW98" s="28"/>
      <c r="AX98" s="332"/>
      <c r="AY98" s="359">
        <v>44398</v>
      </c>
      <c r="AZ98" s="299">
        <v>-7.4000000000000003E-3</v>
      </c>
      <c r="BA98" s="299">
        <v>2.4E-2</v>
      </c>
      <c r="BE98" s="4"/>
      <c r="BF98" s="4"/>
      <c r="BG98" s="4"/>
      <c r="BH98" s="4"/>
      <c r="BI98" s="4"/>
      <c r="BJ98" s="4"/>
      <c r="BK98" s="4"/>
      <c r="BL98" s="4"/>
      <c r="BM98" s="4"/>
      <c r="BN98" s="4"/>
      <c r="BO98" s="4"/>
      <c r="BP98" s="4"/>
      <c r="BQ98" s="4"/>
      <c r="BR98" s="4"/>
      <c r="BS98" s="4"/>
      <c r="BT98" s="4"/>
      <c r="BU98" s="4"/>
      <c r="BV98" s="4"/>
      <c r="BW98" s="4"/>
      <c r="BX98" s="4"/>
      <c r="BY98" s="4"/>
      <c r="BZ98" s="4"/>
      <c r="CA98" s="4"/>
    </row>
    <row r="99" spans="1:79" ht="15.75" customHeight="1">
      <c r="A99" s="3"/>
      <c r="B99" s="341"/>
      <c r="C99" s="341"/>
      <c r="D99" s="341"/>
      <c r="E99" s="341"/>
      <c r="F99" s="341"/>
      <c r="G99" s="341"/>
      <c r="H99" s="341"/>
      <c r="I99" s="322"/>
      <c r="J99" s="14"/>
      <c r="K99" s="323"/>
      <c r="L99" s="14"/>
      <c r="M99" s="14"/>
      <c r="N99" s="14"/>
      <c r="O99" s="14"/>
      <c r="P99" s="14"/>
      <c r="Q99" s="14"/>
      <c r="R99" s="14"/>
      <c r="S99" s="14"/>
      <c r="T99" s="14"/>
      <c r="U99" s="14"/>
      <c r="V99" s="14"/>
      <c r="W99" s="14"/>
      <c r="X99" s="361" t="s">
        <v>224</v>
      </c>
      <c r="Y99" s="361">
        <f ca="1">N83</f>
        <v>2.7558905269780009E-2</v>
      </c>
      <c r="Z99" s="14"/>
      <c r="AA99" s="14"/>
      <c r="AB99" s="6" t="s">
        <v>38</v>
      </c>
      <c r="AC99" s="8">
        <f ca="1">I61+I63</f>
        <v>3.2822536815816018E-2</v>
      </c>
      <c r="AD99" s="2"/>
      <c r="AE99" s="9"/>
      <c r="AF99" s="363"/>
      <c r="AG99" s="16"/>
      <c r="AH99" s="14"/>
      <c r="AI99" s="14"/>
      <c r="AJ99" s="4"/>
      <c r="AK99" s="4"/>
      <c r="AL99" s="14"/>
      <c r="AM99" s="14"/>
      <c r="AN99" s="332"/>
      <c r="AO99" s="332"/>
      <c r="AP99" s="332"/>
      <c r="AQ99" s="332"/>
      <c r="AR99" s="332"/>
      <c r="AS99" s="332"/>
      <c r="AT99" s="332"/>
      <c r="AU99" s="28"/>
      <c r="AV99" s="332"/>
      <c r="AW99" s="28"/>
      <c r="AX99" s="332"/>
      <c r="AY99" s="359">
        <v>44429</v>
      </c>
      <c r="AZ99" s="299">
        <v>2.64E-2</v>
      </c>
      <c r="BA99" s="299">
        <v>2.9759868646097143E-2</v>
      </c>
      <c r="BE99" s="4"/>
      <c r="BF99" s="4"/>
      <c r="BG99" s="4"/>
      <c r="BH99" s="4"/>
      <c r="BI99" s="4"/>
      <c r="BJ99" s="4"/>
      <c r="BK99" s="4"/>
      <c r="BL99" s="4"/>
      <c r="BM99" s="4"/>
      <c r="BN99" s="4"/>
      <c r="BO99" s="4"/>
      <c r="BP99" s="4"/>
      <c r="BQ99" s="4"/>
      <c r="BR99" s="4"/>
      <c r="BS99" s="4"/>
      <c r="BT99" s="4"/>
      <c r="BU99" s="4"/>
      <c r="BV99" s="4"/>
      <c r="BW99" s="4"/>
      <c r="BX99" s="4"/>
      <c r="BY99" s="4"/>
      <c r="BZ99" s="4"/>
      <c r="CA99" s="4"/>
    </row>
    <row r="100" spans="1:79" ht="15.75" customHeight="1">
      <c r="A100" s="3"/>
      <c r="B100" s="341"/>
      <c r="C100" s="341"/>
      <c r="D100" s="341"/>
      <c r="E100" s="341"/>
      <c r="F100" s="341"/>
      <c r="G100" s="341"/>
      <c r="H100" s="341"/>
      <c r="I100" s="322"/>
      <c r="J100" s="14"/>
      <c r="K100" s="323"/>
      <c r="L100" s="14"/>
      <c r="M100" s="14"/>
      <c r="N100" s="14"/>
      <c r="O100" s="14"/>
      <c r="P100" s="14"/>
      <c r="Q100" s="14"/>
      <c r="R100" s="14"/>
      <c r="S100" s="14"/>
      <c r="T100" s="14"/>
      <c r="U100" s="14"/>
      <c r="V100" s="14"/>
      <c r="W100" s="14"/>
      <c r="Z100" s="14"/>
      <c r="AA100" s="14"/>
      <c r="AB100" s="6" t="s">
        <v>151</v>
      </c>
      <c r="AC100" s="8">
        <f ca="1">I35+I37</f>
        <v>3.0069486113662953E-2</v>
      </c>
      <c r="AD100" s="2"/>
      <c r="AE100" s="8">
        <f t="shared" ref="AE100:AE101" ca="1" si="14">AC100-AD100</f>
        <v>3.0069486113662953E-2</v>
      </c>
      <c r="AF100" s="9"/>
      <c r="AG100" s="16"/>
      <c r="AH100" s="14"/>
      <c r="AI100" s="14"/>
      <c r="AJ100" s="4"/>
      <c r="AK100" s="4"/>
      <c r="AL100" s="14"/>
      <c r="AM100" s="14"/>
      <c r="AN100" s="332"/>
      <c r="AO100" s="332"/>
      <c r="AP100" s="332"/>
      <c r="AQ100" s="332"/>
      <c r="AR100" s="332"/>
      <c r="AS100" s="332"/>
      <c r="AT100" s="332"/>
      <c r="AU100" s="28"/>
      <c r="AV100" s="332"/>
      <c r="AW100" s="28"/>
      <c r="AX100" s="332"/>
      <c r="AY100" s="359">
        <v>44460</v>
      </c>
      <c r="AZ100" s="299">
        <v>-1.0999999999999999E-2</v>
      </c>
      <c r="BA100" s="299">
        <v>-4.1000000000000002E-2</v>
      </c>
      <c r="BE100" s="4"/>
      <c r="BF100" s="4"/>
      <c r="BG100" s="4"/>
      <c r="BH100" s="4"/>
      <c r="BI100" s="4"/>
      <c r="BJ100" s="4"/>
      <c r="BK100" s="4"/>
      <c r="BL100" s="4"/>
      <c r="BM100" s="4"/>
      <c r="BN100" s="4"/>
      <c r="BO100" s="4"/>
      <c r="BP100" s="4"/>
      <c r="BQ100" s="4"/>
      <c r="BR100" s="4"/>
      <c r="BS100" s="4"/>
      <c r="BT100" s="4"/>
      <c r="BU100" s="4"/>
      <c r="BV100" s="4"/>
      <c r="BW100" s="4"/>
      <c r="BX100" s="4"/>
      <c r="BY100" s="4"/>
      <c r="BZ100" s="4"/>
      <c r="CA100" s="4"/>
    </row>
    <row r="101" spans="1:79" ht="15.75" customHeight="1">
      <c r="A101" s="3"/>
      <c r="B101" s="341"/>
      <c r="C101" s="341"/>
      <c r="D101" s="341"/>
      <c r="E101" s="341"/>
      <c r="F101" s="341"/>
      <c r="G101" s="341"/>
      <c r="H101" s="341"/>
      <c r="I101" s="322"/>
      <c r="J101" s="14"/>
      <c r="K101" s="323"/>
      <c r="L101" s="14"/>
      <c r="M101" s="14"/>
      <c r="N101" s="14"/>
      <c r="O101" s="14"/>
      <c r="P101" s="14"/>
      <c r="Q101" s="14"/>
      <c r="R101" s="14"/>
      <c r="S101" s="14"/>
      <c r="T101" s="14"/>
      <c r="U101" s="14"/>
      <c r="V101" s="14"/>
      <c r="W101" s="14"/>
      <c r="X101" s="361"/>
      <c r="Y101" s="361">
        <f ca="1">SUM(Y95:Y99)</f>
        <v>0.99999999999999989</v>
      </c>
      <c r="Z101" s="14"/>
      <c r="AA101" s="14"/>
      <c r="AB101" s="364" t="s">
        <v>224</v>
      </c>
      <c r="AC101" s="18">
        <f ca="1">N83</f>
        <v>2.7558905269780009E-2</v>
      </c>
      <c r="AD101" s="20"/>
      <c r="AE101" s="19">
        <f t="shared" ca="1" si="14"/>
        <v>2.7558905269780009E-2</v>
      </c>
      <c r="AF101" s="19"/>
      <c r="AG101" s="16"/>
      <c r="AH101" s="14"/>
      <c r="AI101" s="14"/>
      <c r="AJ101" s="4"/>
      <c r="AK101" s="4"/>
      <c r="AL101" s="14"/>
      <c r="AM101" s="14"/>
      <c r="AN101" s="332"/>
      <c r="AO101" s="332"/>
      <c r="AP101" s="332"/>
      <c r="AQ101" s="332"/>
      <c r="AR101" s="332"/>
      <c r="AS101" s="332"/>
      <c r="AT101" s="332"/>
      <c r="AU101" s="28"/>
      <c r="AV101" s="332"/>
      <c r="AW101" s="28"/>
      <c r="AX101" s="332"/>
      <c r="AY101" s="359">
        <v>44490</v>
      </c>
      <c r="AZ101" s="299">
        <f>7.8%</f>
        <v>7.8E-2</v>
      </c>
      <c r="BA101" s="299">
        <v>6.9000000000000006E-2</v>
      </c>
      <c r="BE101" s="4"/>
      <c r="BF101" s="4"/>
      <c r="BG101" s="4"/>
      <c r="BH101" s="4"/>
      <c r="BI101" s="4"/>
      <c r="BJ101" s="4"/>
      <c r="BK101" s="4"/>
      <c r="BL101" s="4"/>
      <c r="BM101" s="4"/>
      <c r="BN101" s="4"/>
      <c r="BO101" s="4"/>
      <c r="BP101" s="4"/>
      <c r="BQ101" s="4"/>
      <c r="BR101" s="4"/>
      <c r="BS101" s="4"/>
      <c r="BT101" s="4"/>
      <c r="BU101" s="4"/>
      <c r="BV101" s="4"/>
      <c r="BW101" s="4"/>
      <c r="BX101" s="4"/>
      <c r="BY101" s="4"/>
      <c r="BZ101" s="4"/>
      <c r="CA101" s="4"/>
    </row>
    <row r="102" spans="1:79" ht="15.75" customHeight="1">
      <c r="A102" s="3"/>
      <c r="Y102" s="14"/>
      <c r="Z102" s="14"/>
      <c r="AA102" s="14"/>
      <c r="AB102" s="29"/>
      <c r="AC102" s="350">
        <f t="shared" ref="AC102:AD102" ca="1" si="15">SUM(AC88:AC101)</f>
        <v>1.0000000000000002</v>
      </c>
      <c r="AD102" s="365">
        <f t="shared" si="15"/>
        <v>1.0004</v>
      </c>
      <c r="AE102" s="16"/>
      <c r="AF102" s="21"/>
      <c r="AG102" s="14"/>
      <c r="AH102" s="14"/>
      <c r="AI102" s="14"/>
      <c r="AJ102" s="4"/>
      <c r="AK102" s="4"/>
      <c r="AL102" s="14"/>
      <c r="AM102" s="14"/>
      <c r="AN102" s="332"/>
      <c r="AO102" s="332"/>
      <c r="AP102" s="332"/>
      <c r="AQ102" s="332"/>
      <c r="AR102" s="332"/>
      <c r="AS102" s="332"/>
      <c r="AT102" s="332"/>
      <c r="AU102" s="28"/>
      <c r="AV102" s="332"/>
      <c r="AW102" s="28"/>
      <c r="AX102" s="332"/>
      <c r="AY102" s="359">
        <v>44521</v>
      </c>
      <c r="AZ102" s="299">
        <v>-2E-3</v>
      </c>
      <c r="BA102" s="299">
        <v>-8.0000000000000002E-3</v>
      </c>
      <c r="BE102" s="4"/>
      <c r="BF102" s="4"/>
      <c r="BG102" s="4"/>
      <c r="BH102" s="4"/>
      <c r="BI102" s="4"/>
      <c r="BJ102" s="4"/>
      <c r="BK102" s="4"/>
      <c r="BL102" s="4"/>
      <c r="BM102" s="4"/>
      <c r="BN102" s="4"/>
      <c r="BO102" s="4"/>
      <c r="BP102" s="4"/>
      <c r="BQ102" s="4"/>
      <c r="BR102" s="4"/>
      <c r="BS102" s="4"/>
      <c r="BT102" s="4"/>
      <c r="BU102" s="4"/>
      <c r="BV102" s="4"/>
      <c r="BW102" s="4"/>
      <c r="BX102" s="4"/>
      <c r="BY102" s="4"/>
      <c r="BZ102" s="4"/>
      <c r="CA102" s="4"/>
    </row>
    <row r="103" spans="1:79" ht="15.75" customHeight="1">
      <c r="A103" s="244"/>
      <c r="Y103" s="14"/>
      <c r="Z103" s="14"/>
      <c r="AA103" s="14"/>
      <c r="AG103" s="14"/>
      <c r="AH103" s="4"/>
      <c r="AI103" s="4"/>
      <c r="AJ103" s="4"/>
      <c r="AK103" s="4"/>
      <c r="AL103" s="14"/>
      <c r="AM103" s="14"/>
      <c r="AN103" s="332"/>
      <c r="AO103" s="332"/>
      <c r="AP103" s="332"/>
      <c r="AQ103" s="332"/>
      <c r="AR103" s="332"/>
      <c r="AS103" s="332"/>
      <c r="AT103" s="332"/>
      <c r="AU103" s="28"/>
      <c r="AV103" s="332"/>
      <c r="AW103" s="28"/>
      <c r="AX103" s="332"/>
      <c r="AY103" s="359">
        <v>44551</v>
      </c>
      <c r="AZ103" s="299">
        <v>4.9000000000000002E-2</v>
      </c>
      <c r="BA103" s="299">
        <v>4.2999999999999997E-2</v>
      </c>
      <c r="BE103" s="4"/>
      <c r="BF103" s="4"/>
      <c r="BG103" s="4"/>
      <c r="BH103" s="4"/>
      <c r="BI103" s="4"/>
      <c r="BJ103" s="4"/>
      <c r="BK103" s="4"/>
      <c r="BL103" s="4"/>
      <c r="BM103" s="4"/>
      <c r="BN103" s="4"/>
      <c r="BO103" s="4"/>
      <c r="BP103" s="4"/>
      <c r="BQ103" s="4"/>
      <c r="BR103" s="4"/>
      <c r="BS103" s="4"/>
      <c r="BT103" s="4"/>
      <c r="BU103" s="4"/>
      <c r="BV103" s="4"/>
      <c r="BW103" s="4"/>
      <c r="BX103" s="4"/>
      <c r="BY103" s="4"/>
      <c r="BZ103" s="4"/>
      <c r="CA103" s="4"/>
    </row>
    <row r="104" spans="1:79" ht="13.2">
      <c r="A104" s="36"/>
      <c r="Y104" s="14"/>
      <c r="Z104" s="14"/>
      <c r="AA104" s="14"/>
      <c r="AB104" s="14"/>
      <c r="AC104" s="14"/>
      <c r="AD104" s="14"/>
      <c r="AE104" s="361"/>
      <c r="AF104" s="14"/>
      <c r="AG104" s="14"/>
      <c r="AH104" s="44"/>
      <c r="AI104" s="44"/>
      <c r="AJ104" s="44"/>
      <c r="AK104" s="44"/>
      <c r="AL104" s="44"/>
      <c r="AM104" s="44"/>
      <c r="AN104" s="44"/>
      <c r="AO104" s="44"/>
      <c r="AP104" s="44"/>
      <c r="AQ104" s="44"/>
      <c r="AR104" s="44"/>
      <c r="AS104" s="44"/>
      <c r="AT104" s="44"/>
      <c r="AU104" s="44"/>
      <c r="AV104" s="44"/>
      <c r="AW104" s="44"/>
      <c r="AX104" s="44"/>
      <c r="AY104" s="359">
        <v>44583</v>
      </c>
      <c r="AZ104" s="299">
        <v>-2.0706362890920212E-2</v>
      </c>
      <c r="BA104" s="299">
        <v>-5.2741283476503198E-2</v>
      </c>
      <c r="BD104" s="36"/>
      <c r="BE104" s="36"/>
      <c r="BF104" s="36"/>
      <c r="BG104" s="36"/>
      <c r="BH104" s="36"/>
      <c r="BI104" s="36"/>
      <c r="BJ104" s="36"/>
      <c r="BK104" s="36"/>
      <c r="BL104" s="36"/>
      <c r="BM104" s="36"/>
      <c r="BN104" s="36"/>
      <c r="BO104" s="36"/>
      <c r="BP104" s="36"/>
      <c r="BQ104" s="36"/>
      <c r="BR104" s="36"/>
    </row>
    <row r="105" spans="1:79" ht="15.75" customHeight="1">
      <c r="A105" s="14"/>
      <c r="Y105" s="14"/>
      <c r="Z105" s="14"/>
      <c r="AA105" s="14"/>
      <c r="AB105" s="13"/>
      <c r="AC105" s="346" t="s">
        <v>79</v>
      </c>
      <c r="AD105" s="14"/>
      <c r="AE105" s="14"/>
      <c r="AF105" s="14"/>
      <c r="AG105" s="14"/>
      <c r="AH105" s="4"/>
      <c r="AI105" s="4"/>
      <c r="AJ105" s="4"/>
      <c r="AK105" s="4"/>
      <c r="AL105" s="14"/>
      <c r="AM105" s="14"/>
      <c r="AN105" s="332"/>
      <c r="AO105" s="332"/>
      <c r="AP105" s="332"/>
      <c r="AQ105" s="332"/>
      <c r="AR105" s="332"/>
      <c r="AS105" s="332"/>
      <c r="AT105" s="332"/>
      <c r="AU105" s="28"/>
      <c r="AV105" s="332"/>
      <c r="AW105" s="28"/>
      <c r="AX105" s="332"/>
      <c r="AY105" s="359">
        <v>44614</v>
      </c>
      <c r="AZ105" s="299">
        <v>-2.3E-2</v>
      </c>
      <c r="BA105" s="299">
        <v>-3.1E-2</v>
      </c>
      <c r="BE105" s="4"/>
      <c r="BF105" s="4"/>
      <c r="BG105" s="4"/>
      <c r="BH105" s="4"/>
      <c r="BI105" s="4"/>
      <c r="BJ105" s="4"/>
      <c r="BK105" s="4"/>
      <c r="BL105" s="4"/>
      <c r="BM105" s="4"/>
      <c r="BN105" s="4"/>
      <c r="BO105" s="4"/>
      <c r="BP105" s="4"/>
      <c r="BQ105" s="4"/>
      <c r="BR105" s="4"/>
      <c r="BS105" s="4"/>
      <c r="BT105" s="4"/>
      <c r="BU105" s="4"/>
      <c r="BV105" s="4"/>
      <c r="BW105" s="4"/>
      <c r="BX105" s="4"/>
      <c r="BY105" s="4"/>
      <c r="BZ105" s="4"/>
      <c r="CA105" s="4"/>
    </row>
    <row r="106" spans="1:79" ht="15.75" customHeight="1">
      <c r="A106" s="14"/>
      <c r="B106" s="366" t="s">
        <v>253</v>
      </c>
      <c r="C106" s="367"/>
      <c r="D106" s="367"/>
      <c r="E106" s="367"/>
      <c r="F106" s="367"/>
      <c r="G106" s="367"/>
      <c r="H106" s="367"/>
      <c r="I106" s="368"/>
      <c r="J106" s="339"/>
      <c r="K106" s="369"/>
      <c r="L106" s="339"/>
      <c r="M106" s="339"/>
      <c r="N106" s="339"/>
      <c r="O106" s="339"/>
      <c r="P106" s="339"/>
      <c r="Q106" s="339"/>
      <c r="R106" s="339"/>
      <c r="S106" s="339"/>
      <c r="T106" s="339"/>
      <c r="U106" s="339"/>
      <c r="V106" s="339"/>
      <c r="W106" s="339"/>
      <c r="X106" s="339"/>
      <c r="Y106" s="14"/>
      <c r="Z106" s="14"/>
      <c r="AA106" s="14"/>
      <c r="AB106" s="6" t="s">
        <v>254</v>
      </c>
      <c r="AC106" s="350">
        <f ca="1">1-SUM(AC107:AC116)</f>
        <v>0.6043966846857296</v>
      </c>
      <c r="AD106" s="14"/>
      <c r="AE106" s="14"/>
      <c r="AF106" s="14"/>
      <c r="AG106" s="14"/>
      <c r="AJ106" s="4"/>
      <c r="AK106" s="4"/>
      <c r="AL106" s="14"/>
      <c r="AM106" s="14"/>
      <c r="AN106" s="332"/>
      <c r="AO106" s="332"/>
      <c r="AP106" s="332"/>
      <c r="AQ106" s="332"/>
      <c r="AR106" s="332"/>
      <c r="AS106" s="332"/>
      <c r="AT106" s="332"/>
      <c r="AU106" s="28"/>
      <c r="AV106" s="332"/>
      <c r="AW106" s="28"/>
      <c r="AX106" s="332"/>
      <c r="AY106" s="370">
        <v>45007</v>
      </c>
      <c r="AZ106" s="299">
        <v>0.03</v>
      </c>
      <c r="BA106" s="299">
        <v>-3.1E-2</v>
      </c>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row>
    <row r="107" spans="1:79" ht="15.75" customHeight="1">
      <c r="A107" s="14"/>
      <c r="B107" s="244"/>
      <c r="C107" s="864" t="s">
        <v>45</v>
      </c>
      <c r="D107" s="862"/>
      <c r="E107" s="862"/>
      <c r="F107" s="862"/>
      <c r="G107" s="862"/>
      <c r="H107" s="862"/>
      <c r="I107" s="863"/>
      <c r="J107" s="865" t="s">
        <v>255</v>
      </c>
      <c r="K107" s="866"/>
      <c r="L107" s="866"/>
      <c r="M107" s="866"/>
      <c r="N107" s="866"/>
      <c r="O107" s="866"/>
      <c r="P107" s="866"/>
      <c r="Q107" s="866"/>
      <c r="R107" s="866"/>
      <c r="S107" s="866"/>
      <c r="T107" s="866"/>
      <c r="U107" s="866"/>
      <c r="V107" s="866"/>
      <c r="W107" s="866"/>
      <c r="X107" s="867"/>
      <c r="Y107" s="14"/>
      <c r="Z107" s="14"/>
      <c r="AA107" s="14"/>
      <c r="AB107" s="31" t="s">
        <v>33</v>
      </c>
      <c r="AC107" s="350">
        <f ca="1">I59+I65</f>
        <v>4.5018554959157589E-2</v>
      </c>
      <c r="AD107" s="14"/>
      <c r="AE107" s="14"/>
      <c r="AF107" s="14"/>
      <c r="AG107" s="14"/>
      <c r="AJ107" s="4"/>
      <c r="AK107" s="4"/>
      <c r="AL107" s="14"/>
      <c r="AM107" s="14"/>
      <c r="AN107" s="332"/>
      <c r="AO107" s="332"/>
      <c r="AP107" s="332"/>
      <c r="AQ107" s="332"/>
      <c r="AR107" s="332"/>
      <c r="AS107" s="332"/>
      <c r="AT107" s="332"/>
      <c r="AU107" s="28"/>
      <c r="AV107" s="332"/>
      <c r="AW107" s="28"/>
      <c r="AX107" s="332"/>
      <c r="AY107" s="371" t="s">
        <v>256</v>
      </c>
      <c r="AZ107" s="299">
        <v>-9.0999999999999998E-2</v>
      </c>
      <c r="BA107" s="299">
        <v>-3.1E-2</v>
      </c>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row>
    <row r="108" spans="1:79" ht="48">
      <c r="A108" s="14"/>
      <c r="B108" s="37" t="s">
        <v>0</v>
      </c>
      <c r="C108" s="38" t="s">
        <v>1</v>
      </c>
      <c r="D108" s="37" t="s">
        <v>50</v>
      </c>
      <c r="E108" s="37" t="s">
        <v>2</v>
      </c>
      <c r="F108" s="37" t="s">
        <v>51</v>
      </c>
      <c r="G108" s="37" t="s">
        <v>52</v>
      </c>
      <c r="H108" s="372" t="s">
        <v>257</v>
      </c>
      <c r="I108" s="37" t="s">
        <v>54</v>
      </c>
      <c r="J108" s="373" t="s">
        <v>258</v>
      </c>
      <c r="K108" s="39" t="s">
        <v>55</v>
      </c>
      <c r="L108" s="373" t="s">
        <v>56</v>
      </c>
      <c r="M108" s="39" t="s">
        <v>57</v>
      </c>
      <c r="N108" s="374" t="s">
        <v>259</v>
      </c>
      <c r="O108" s="39" t="s">
        <v>59</v>
      </c>
      <c r="P108" s="39" t="s">
        <v>60</v>
      </c>
      <c r="Q108" s="39" t="s">
        <v>61</v>
      </c>
      <c r="R108" s="868" t="s">
        <v>260</v>
      </c>
      <c r="S108" s="869"/>
      <c r="T108" s="869"/>
      <c r="U108" s="869"/>
      <c r="V108" s="869"/>
      <c r="W108" s="869"/>
      <c r="X108" s="870"/>
      <c r="Y108" s="14"/>
      <c r="Z108" s="14"/>
      <c r="AA108" s="14"/>
      <c r="AB108" s="31" t="s">
        <v>261</v>
      </c>
      <c r="AC108" s="350">
        <f ca="1">I25</f>
        <v>3.8811411582236569E-2</v>
      </c>
      <c r="AD108" s="14"/>
      <c r="AE108" s="14"/>
      <c r="AF108" s="14"/>
      <c r="AG108" s="14"/>
      <c r="AJ108" s="4"/>
      <c r="AK108" s="4"/>
      <c r="AL108" s="14"/>
      <c r="AM108" s="14"/>
      <c r="AN108" s="332"/>
      <c r="AO108" s="332"/>
      <c r="AP108" s="332"/>
      <c r="AQ108" s="332"/>
      <c r="AR108" s="332"/>
      <c r="AS108" s="332"/>
      <c r="AT108" s="332"/>
      <c r="AU108" s="28"/>
      <c r="AV108" s="332"/>
      <c r="AW108" s="28"/>
      <c r="AX108" s="332"/>
      <c r="AY108" s="376">
        <v>45068</v>
      </c>
      <c r="AZ108" s="299">
        <v>1.52E-2</v>
      </c>
      <c r="BA108" s="299">
        <v>-3.1E-2</v>
      </c>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row>
    <row r="109" spans="1:79" ht="15.75" customHeight="1">
      <c r="A109" s="14"/>
      <c r="B109" s="7" t="s">
        <v>262</v>
      </c>
      <c r="C109" s="377" t="str">
        <f ca="1">IFERROR(__xludf.DUMMYFUNCTION("GoogleFinance(B109,""name"")"),"Microsoft Corp")</f>
        <v>Microsoft Corp</v>
      </c>
      <c r="D109" s="378">
        <f ca="1">IFERROR(__xludf.DUMMYFUNCTION("GoogleFinance(B109,""marketcap"")/1000000"),3801766.507384)</f>
        <v>3801766.5073839999</v>
      </c>
      <c r="E109" s="379" t="s">
        <v>7</v>
      </c>
      <c r="F109" s="379" t="s">
        <v>263</v>
      </c>
      <c r="G109" s="380">
        <v>45665</v>
      </c>
      <c r="H109" s="381">
        <v>45687</v>
      </c>
      <c r="I109" s="300">
        <f t="shared" ref="I109:I210" ca="1" si="16">N109/$M$84</f>
        <v>1.8808410962613053E-2</v>
      </c>
      <c r="J109" s="382">
        <v>414</v>
      </c>
      <c r="K109" s="324">
        <f>(423.66+445)/2</f>
        <v>434.33000000000004</v>
      </c>
      <c r="L109" s="383">
        <f>1000/K109+2000/445</f>
        <v>6.7967788175355714</v>
      </c>
      <c r="M109" s="313">
        <f>L109*K109</f>
        <v>2952.0449438202249</v>
      </c>
      <c r="N109" s="384">
        <f t="shared" ref="N109:N147" si="17">J109*L109</f>
        <v>2813.8664304597264</v>
      </c>
      <c r="O109" s="384">
        <f t="shared" ref="O109:O210" si="18">N109-M109</f>
        <v>-138.17851336049853</v>
      </c>
      <c r="P109" s="254">
        <f t="shared" ref="P109:P210" si="19">J109/K109-1</f>
        <v>-4.6807726843644315E-2</v>
      </c>
      <c r="Q109" s="282">
        <f t="shared" ref="Q109:Q210" si="20">H109-G109</f>
        <v>22</v>
      </c>
      <c r="R109" s="29" t="s">
        <v>62</v>
      </c>
      <c r="S109" s="14"/>
      <c r="T109" s="14"/>
      <c r="U109" s="14"/>
      <c r="V109" s="14"/>
      <c r="W109" s="14"/>
      <c r="X109" s="14"/>
      <c r="Y109" s="14"/>
      <c r="Z109" s="14"/>
      <c r="AA109" s="14"/>
      <c r="AB109" s="31" t="s">
        <v>186</v>
      </c>
      <c r="AC109" s="385">
        <f ca="1">I57</f>
        <v>4.8894831930254859E-2</v>
      </c>
      <c r="AD109" s="14"/>
      <c r="AE109" s="14"/>
      <c r="AF109" s="14"/>
      <c r="AG109" s="14"/>
      <c r="AJ109" s="4"/>
      <c r="AK109" s="4"/>
      <c r="AL109" s="14"/>
      <c r="AM109" s="14"/>
      <c r="AN109" s="332"/>
      <c r="AO109" s="332"/>
      <c r="AP109" s="332"/>
      <c r="AQ109" s="332"/>
      <c r="AR109" s="332"/>
      <c r="AS109" s="332"/>
      <c r="AT109" s="332"/>
      <c r="AU109" s="28"/>
      <c r="AV109" s="332"/>
      <c r="AW109" s="28"/>
      <c r="AX109" s="332"/>
      <c r="AY109" s="359">
        <v>44734</v>
      </c>
      <c r="AZ109" s="299">
        <v>-9.6000000000000002E-2</v>
      </c>
      <c r="BA109" s="299">
        <v>-8.4000000000000005E-2</v>
      </c>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row>
    <row r="110" spans="1:79" ht="15.75" customHeight="1">
      <c r="A110" s="14"/>
      <c r="B110" s="7" t="s">
        <v>207</v>
      </c>
      <c r="C110" s="377" t="str">
        <f ca="1">IFERROR(__xludf.DUMMYFUNCTION("GoogleFinance(B110,""name"")"),"JPMorgan Equity Focus ETF")</f>
        <v>JPMorgan Equity Focus ETF</v>
      </c>
      <c r="D110" s="378" t="str">
        <f ca="1">IFERROR(__xludf.DUMMYFUNCTION("GoogleFinance(B110,""marketcap"")/1000000"),"#N/A")</f>
        <v>#N/A</v>
      </c>
      <c r="E110" s="379" t="s">
        <v>80</v>
      </c>
      <c r="F110" s="379"/>
      <c r="G110" s="380">
        <v>45642</v>
      </c>
      <c r="H110" s="381">
        <v>45692</v>
      </c>
      <c r="I110" s="300">
        <f t="shared" ca="1" si="16"/>
        <v>1.8527416094038473E-2</v>
      </c>
      <c r="J110" s="382">
        <v>68.5</v>
      </c>
      <c r="K110" s="324">
        <f>M110/L110</f>
        <v>65.489280259318932</v>
      </c>
      <c r="L110" s="383">
        <f>6000/69.7+5000/67.2-2000/69.55-2000/70.06-1200/68.98-3150/69.5</f>
        <v>40.464637716382796</v>
      </c>
      <c r="M110" s="313">
        <f>6000+5000-2000-2000-1200-3150</f>
        <v>2650</v>
      </c>
      <c r="N110" s="384">
        <f t="shared" si="17"/>
        <v>2771.8276835722218</v>
      </c>
      <c r="O110" s="384">
        <f t="shared" si="18"/>
        <v>121.82768357222176</v>
      </c>
      <c r="P110" s="254">
        <f t="shared" si="19"/>
        <v>4.5972710781970294E-2</v>
      </c>
      <c r="Q110" s="282">
        <f t="shared" si="20"/>
        <v>50</v>
      </c>
      <c r="R110" s="4" t="s">
        <v>264</v>
      </c>
      <c r="Y110" s="14"/>
      <c r="Z110" s="14"/>
      <c r="AA110" s="14"/>
      <c r="AB110" s="31" t="s">
        <v>34</v>
      </c>
      <c r="AC110" s="350">
        <f ca="1">I19</f>
        <v>1.7799849229623469E-2</v>
      </c>
      <c r="AD110" s="14"/>
      <c r="AE110" s="14"/>
      <c r="AF110" s="14"/>
      <c r="AG110" s="14"/>
      <c r="AJ110" s="4"/>
      <c r="AK110" s="4"/>
      <c r="AL110" s="14"/>
      <c r="AM110" s="14"/>
      <c r="AN110" s="332"/>
      <c r="AO110" s="332"/>
      <c r="AP110" s="332"/>
      <c r="AQ110" s="332"/>
      <c r="AR110" s="332"/>
      <c r="AS110" s="332"/>
      <c r="AT110" s="332"/>
      <c r="AU110" s="28"/>
      <c r="AV110" s="332"/>
      <c r="AW110" s="28"/>
      <c r="AX110" s="332"/>
      <c r="AY110" s="359">
        <v>44764</v>
      </c>
      <c r="AZ110" s="299">
        <v>5.2999999999999999E-2</v>
      </c>
      <c r="BA110" s="299">
        <v>9.1999999999999998E-2</v>
      </c>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row>
    <row r="111" spans="1:79" ht="15.75" customHeight="1">
      <c r="A111" s="14"/>
      <c r="B111" s="290" t="s">
        <v>265</v>
      </c>
      <c r="C111" s="271" t="str">
        <f ca="1">IFERROR(__xludf.DUMMYFUNCTION("GoogleFinance(B111,""name"")"),"Kroger Co")</f>
        <v>Kroger Co</v>
      </c>
      <c r="D111" s="272">
        <f ca="1">IFERROR(__xludf.DUMMYFUNCTION("GoogleFinance(B111,""marketcap"")/1000000"),43378.914365)</f>
        <v>43378.914364999997</v>
      </c>
      <c r="E111" s="273" t="s">
        <v>18</v>
      </c>
      <c r="F111" s="273" t="s">
        <v>104</v>
      </c>
      <c r="G111" s="274">
        <v>44916</v>
      </c>
      <c r="H111" s="381">
        <v>45693</v>
      </c>
      <c r="I111" s="276">
        <f t="shared" ca="1" si="16"/>
        <v>1.7352150880511497E-2</v>
      </c>
      <c r="J111" s="277">
        <v>64.900000000000006</v>
      </c>
      <c r="K111" s="278">
        <v>44.39</v>
      </c>
      <c r="L111" s="279">
        <v>40</v>
      </c>
      <c r="M111" s="280">
        <f>L111*K111</f>
        <v>1775.6</v>
      </c>
      <c r="N111" s="281">
        <f t="shared" si="17"/>
        <v>2596</v>
      </c>
      <c r="O111" s="281">
        <f t="shared" si="18"/>
        <v>820.40000000000009</v>
      </c>
      <c r="P111" s="275">
        <f t="shared" si="19"/>
        <v>0.46204100022527617</v>
      </c>
      <c r="Q111" s="282">
        <f t="shared" si="20"/>
        <v>777</v>
      </c>
      <c r="R111" s="31" t="s">
        <v>266</v>
      </c>
      <c r="Y111" s="14"/>
      <c r="Z111" s="14"/>
      <c r="AA111" s="14"/>
      <c r="AB111" s="6" t="s">
        <v>35</v>
      </c>
      <c r="AC111" s="350">
        <f ca="1">I33+I29+I67</f>
        <v>7.1877596537707256E-2</v>
      </c>
      <c r="AD111" s="14"/>
      <c r="AE111" s="14"/>
      <c r="AF111" s="14"/>
      <c r="AG111" s="14"/>
      <c r="AH111" s="386"/>
      <c r="AI111" s="386"/>
      <c r="AJ111" s="386"/>
      <c r="AK111" s="386"/>
      <c r="AL111" s="14"/>
      <c r="AM111" s="14"/>
      <c r="AN111" s="332"/>
      <c r="AO111" s="332"/>
      <c r="AP111" s="332"/>
      <c r="AQ111" s="332"/>
      <c r="AR111" s="332"/>
      <c r="AS111" s="332"/>
      <c r="AT111" s="332"/>
      <c r="AU111" s="28"/>
      <c r="AV111" s="332"/>
      <c r="AW111" s="28"/>
      <c r="AX111" s="332"/>
      <c r="AY111" s="359">
        <v>44795</v>
      </c>
      <c r="AZ111" s="299">
        <v>-2.1000000000000001E-2</v>
      </c>
      <c r="BA111" s="299">
        <v>-4.1000000000000002E-2</v>
      </c>
      <c r="BD111" s="323"/>
      <c r="BE111" s="323"/>
      <c r="BF111" s="323"/>
      <c r="BG111" s="323"/>
      <c r="BH111" s="323"/>
      <c r="BI111" s="323"/>
      <c r="BJ111" s="323"/>
      <c r="BK111" s="323"/>
      <c r="BL111" s="323"/>
      <c r="BM111" s="323"/>
      <c r="BN111" s="323"/>
      <c r="BO111" s="323"/>
      <c r="BP111" s="323"/>
      <c r="BQ111" s="323"/>
      <c r="BR111" s="323"/>
      <c r="BS111" s="323"/>
      <c r="BT111" s="323"/>
      <c r="BU111" s="323"/>
      <c r="BV111" s="323"/>
      <c r="BW111" s="323"/>
      <c r="BX111" s="323"/>
      <c r="BY111" s="323"/>
      <c r="BZ111" s="323"/>
      <c r="CA111" s="323"/>
    </row>
    <row r="112" spans="1:79" ht="15.75" customHeight="1">
      <c r="A112" s="14"/>
      <c r="B112" s="387" t="s">
        <v>267</v>
      </c>
      <c r="C112" s="377" t="str">
        <f ca="1">IFERROR(__xludf.DUMMYFUNCTION("GoogleFinance(B112,""name"")"),"#N/A")</f>
        <v>#N/A</v>
      </c>
      <c r="D112" s="378" t="str">
        <f ca="1">IFERROR(__xludf.DUMMYFUNCTION("GoogleFinance(B112,""marketcap"")/1000000"),"#N/A")</f>
        <v>#N/A</v>
      </c>
      <c r="E112" s="379" t="s">
        <v>12</v>
      </c>
      <c r="F112" s="379" t="s">
        <v>30</v>
      </c>
      <c r="G112" s="380">
        <v>45372</v>
      </c>
      <c r="H112" s="381">
        <v>45695</v>
      </c>
      <c r="I112" s="300">
        <f t="shared" ca="1" si="16"/>
        <v>1.4368333870448216E-2</v>
      </c>
      <c r="J112" s="388">
        <v>2.52</v>
      </c>
      <c r="K112" s="324">
        <f t="shared" ref="K112:K113" si="21">M112/L112</f>
        <v>5.9330648363491978</v>
      </c>
      <c r="L112" s="383">
        <f>788.5+200/3.1</f>
        <v>853.01612903225805</v>
      </c>
      <c r="M112" s="313">
        <f>4061+1000</f>
        <v>5061</v>
      </c>
      <c r="N112" s="384">
        <f t="shared" si="17"/>
        <v>2149.6006451612902</v>
      </c>
      <c r="O112" s="384">
        <f t="shared" si="18"/>
        <v>-2911.3993548387098</v>
      </c>
      <c r="P112" s="254">
        <f t="shared" si="19"/>
        <v>-0.57526167849016197</v>
      </c>
      <c r="Q112" s="282">
        <f t="shared" si="20"/>
        <v>323</v>
      </c>
      <c r="R112" s="4" t="s">
        <v>264</v>
      </c>
      <c r="Y112" s="14"/>
      <c r="Z112" s="14"/>
      <c r="AA112" s="14"/>
      <c r="AB112" s="6" t="s">
        <v>36</v>
      </c>
      <c r="AC112" s="350">
        <f ca="1">I23+I31</f>
        <v>3.9653637986941812E-2</v>
      </c>
      <c r="AD112" s="14"/>
      <c r="AE112" s="14"/>
      <c r="AF112" s="14"/>
      <c r="AG112" s="14"/>
      <c r="AL112" s="14"/>
      <c r="AM112" s="14"/>
      <c r="AN112" s="332"/>
      <c r="AO112" s="332"/>
      <c r="AP112" s="332"/>
      <c r="AQ112" s="332"/>
      <c r="AR112" s="332"/>
      <c r="AS112" s="332"/>
      <c r="AT112" s="332"/>
      <c r="AU112" s="28"/>
      <c r="AV112" s="332"/>
      <c r="AW112" s="28"/>
      <c r="AX112" s="332"/>
      <c r="AY112" s="359">
        <v>44826</v>
      </c>
      <c r="AZ112" s="299">
        <v>-2.5000000000000001E-2</v>
      </c>
      <c r="BA112" s="299">
        <v>-9.6000000000000002E-2</v>
      </c>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row>
    <row r="113" spans="1:79" ht="15.75" customHeight="1">
      <c r="A113" s="14"/>
      <c r="B113" s="7" t="s">
        <v>159</v>
      </c>
      <c r="C113" s="377" t="str">
        <f ca="1">IFERROR(__xludf.DUMMYFUNCTION("GoogleFinance(B113,""name"")"),"Albemarle Corp")</f>
        <v>Albemarle Corp</v>
      </c>
      <c r="D113" s="378">
        <f ca="1">IFERROR(__xludf.DUMMYFUNCTION("GoogleFinance(B113,""marketcap"")/1000000"),10367.86331)</f>
        <v>10367.863310000001</v>
      </c>
      <c r="E113" s="379" t="s">
        <v>12</v>
      </c>
      <c r="F113" s="379" t="s">
        <v>30</v>
      </c>
      <c r="G113" s="380">
        <v>45379</v>
      </c>
      <c r="H113" s="381">
        <v>45695</v>
      </c>
      <c r="I113" s="300">
        <f t="shared" ca="1" si="16"/>
        <v>1.4805666400644226E-2</v>
      </c>
      <c r="J113" s="382">
        <v>78</v>
      </c>
      <c r="K113" s="324">
        <f t="shared" si="21"/>
        <v>153.07522637566751</v>
      </c>
      <c r="L113" s="383">
        <f>26.2+200/91</f>
        <v>28.397802197802196</v>
      </c>
      <c r="M113" s="313">
        <v>4347</v>
      </c>
      <c r="N113" s="384">
        <f t="shared" si="17"/>
        <v>2215.0285714285715</v>
      </c>
      <c r="O113" s="384">
        <f t="shared" si="18"/>
        <v>-2131.9714285714285</v>
      </c>
      <c r="P113" s="254">
        <f t="shared" si="19"/>
        <v>-0.4904466134279799</v>
      </c>
      <c r="Q113" s="282">
        <f t="shared" si="20"/>
        <v>316</v>
      </c>
      <c r="R113" s="4" t="s">
        <v>264</v>
      </c>
      <c r="Y113" s="14"/>
      <c r="Z113" s="14"/>
      <c r="AA113" s="14"/>
      <c r="AB113" s="31" t="s">
        <v>268</v>
      </c>
      <c r="AC113" s="350">
        <f ca="1">I41</f>
        <v>4.3096504889089858E-2</v>
      </c>
      <c r="AD113" s="14"/>
      <c r="AE113" s="14"/>
      <c r="AF113" s="14"/>
      <c r="AG113" s="14"/>
      <c r="AL113" s="14"/>
      <c r="AM113" s="14"/>
      <c r="AN113" s="332"/>
      <c r="AO113" s="332"/>
      <c r="AP113" s="332"/>
      <c r="AQ113" s="332"/>
      <c r="AR113" s="332"/>
      <c r="AS113" s="332"/>
      <c r="AT113" s="332"/>
      <c r="AU113" s="28"/>
      <c r="AV113" s="332"/>
      <c r="AW113" s="28"/>
      <c r="AX113" s="332"/>
      <c r="AY113" s="359">
        <v>44856</v>
      </c>
      <c r="AZ113" s="299">
        <v>4.8399999999999999E-2</v>
      </c>
      <c r="BA113" s="299">
        <v>8.1000000000000003E-2</v>
      </c>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row>
    <row r="114" spans="1:79" ht="15.75" customHeight="1">
      <c r="A114" s="14"/>
      <c r="B114" s="270" t="s">
        <v>269</v>
      </c>
      <c r="C114" s="271" t="str">
        <f ca="1">IFERROR(__xludf.DUMMYFUNCTION("GoogleFinance(B114,""name"")"),"Alibaba Group Holding Ltd - ADR")</f>
        <v>Alibaba Group Holding Ltd - ADR</v>
      </c>
      <c r="D114" s="272">
        <f ca="1">IFERROR(__xludf.DUMMYFUNCTION("GoogleFinance(B114,""marketcap"")/1000000"),340928.957993)</f>
        <v>340928.95799299999</v>
      </c>
      <c r="E114" s="273" t="s">
        <v>128</v>
      </c>
      <c r="F114" s="273" t="s">
        <v>24</v>
      </c>
      <c r="G114" s="274">
        <v>45267</v>
      </c>
      <c r="H114" s="381">
        <v>45695</v>
      </c>
      <c r="I114" s="276">
        <f t="shared" ca="1" si="16"/>
        <v>1.0657937048912013E-2</v>
      </c>
      <c r="J114" s="277">
        <v>106.3</v>
      </c>
      <c r="K114" s="278">
        <v>73.5</v>
      </c>
      <c r="L114" s="279">
        <v>15</v>
      </c>
      <c r="M114" s="280">
        <f t="shared" ref="M114:M122" si="22">L114*K114</f>
        <v>1102.5</v>
      </c>
      <c r="N114" s="281">
        <f t="shared" si="17"/>
        <v>1594.5</v>
      </c>
      <c r="O114" s="281">
        <f t="shared" si="18"/>
        <v>492</v>
      </c>
      <c r="P114" s="275">
        <f t="shared" si="19"/>
        <v>0.44625850340136042</v>
      </c>
      <c r="Q114" s="282">
        <f t="shared" si="20"/>
        <v>428</v>
      </c>
      <c r="R114" s="31" t="s">
        <v>266</v>
      </c>
      <c r="Y114" s="14"/>
      <c r="Z114" s="14"/>
      <c r="AA114" s="14"/>
      <c r="AB114" s="6" t="s">
        <v>38</v>
      </c>
      <c r="AC114" s="385">
        <f t="shared" ref="AC114:AC116" ca="1" si="23">AC99</f>
        <v>3.2822536815816018E-2</v>
      </c>
      <c r="AD114" s="14"/>
      <c r="AE114" s="14"/>
      <c r="AF114" s="14"/>
      <c r="AG114" s="14"/>
      <c r="AH114" s="29"/>
      <c r="AI114" s="29"/>
      <c r="AJ114" s="29"/>
      <c r="AK114" s="29"/>
      <c r="AL114" s="14"/>
      <c r="AM114" s="14"/>
      <c r="AN114" s="332"/>
      <c r="AO114" s="332"/>
      <c r="AP114" s="332"/>
      <c r="AQ114" s="332"/>
      <c r="AR114" s="332"/>
      <c r="AS114" s="332"/>
      <c r="AT114" s="332"/>
      <c r="AU114" s="28"/>
      <c r="AV114" s="332"/>
      <c r="AW114" s="28"/>
      <c r="AX114" s="332"/>
      <c r="AY114" s="359">
        <v>44887</v>
      </c>
      <c r="AZ114" s="299">
        <v>2.1999999999999999E-2</v>
      </c>
      <c r="BA114" s="299">
        <v>5.5591517568162496E-2</v>
      </c>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row>
    <row r="115" spans="1:79" ht="15.75" customHeight="1">
      <c r="A115" s="14"/>
      <c r="B115" s="270" t="s">
        <v>269</v>
      </c>
      <c r="C115" s="271" t="str">
        <f ca="1">IFERROR(__xludf.DUMMYFUNCTION("GoogleFinance(B115,""name"")"),"Alibaba Group Holding Ltd - ADR")</f>
        <v>Alibaba Group Holding Ltd - ADR</v>
      </c>
      <c r="D115" s="272">
        <f ca="1">IFERROR(__xludf.DUMMYFUNCTION("GoogleFinance(B115,""marketcap"")/1000000"),340928.957993)</f>
        <v>340928.95799299999</v>
      </c>
      <c r="E115" s="273" t="s">
        <v>128</v>
      </c>
      <c r="F115" s="273" t="s">
        <v>24</v>
      </c>
      <c r="G115" s="274">
        <v>45267</v>
      </c>
      <c r="H115" s="381">
        <v>45695</v>
      </c>
      <c r="I115" s="276">
        <f t="shared" ca="1" si="16"/>
        <v>7.5965791508864856E-3</v>
      </c>
      <c r="J115" s="277">
        <v>113.65</v>
      </c>
      <c r="K115" s="278">
        <v>73.5</v>
      </c>
      <c r="L115" s="279">
        <v>10</v>
      </c>
      <c r="M115" s="280">
        <f t="shared" si="22"/>
        <v>735</v>
      </c>
      <c r="N115" s="281">
        <f t="shared" si="17"/>
        <v>1136.5</v>
      </c>
      <c r="O115" s="281">
        <f t="shared" si="18"/>
        <v>401.5</v>
      </c>
      <c r="P115" s="275">
        <f t="shared" si="19"/>
        <v>0.54625850340136073</v>
      </c>
      <c r="Q115" s="282">
        <f t="shared" si="20"/>
        <v>428</v>
      </c>
      <c r="R115" s="31" t="s">
        <v>266</v>
      </c>
      <c r="Y115" s="14"/>
      <c r="Z115" s="14"/>
      <c r="AA115" s="14"/>
      <c r="AB115" s="6" t="s">
        <v>151</v>
      </c>
      <c r="AC115" s="350">
        <f t="shared" ca="1" si="23"/>
        <v>3.0069486113662953E-2</v>
      </c>
      <c r="AD115" s="14"/>
      <c r="AE115" s="14"/>
      <c r="AF115" s="14"/>
      <c r="AG115" s="14"/>
      <c r="AH115" s="29"/>
      <c r="AI115" s="29"/>
      <c r="AJ115" s="29"/>
      <c r="AK115" s="29"/>
      <c r="AL115" s="14"/>
      <c r="AM115" s="14"/>
      <c r="AN115" s="332"/>
      <c r="AO115" s="332"/>
      <c r="AP115" s="332"/>
      <c r="AQ115" s="332"/>
      <c r="AR115" s="332"/>
      <c r="AS115" s="332"/>
      <c r="AT115" s="332"/>
      <c r="AU115" s="28"/>
      <c r="AV115" s="332"/>
      <c r="AW115" s="28"/>
      <c r="AX115" s="332"/>
      <c r="AY115" s="359">
        <v>44917</v>
      </c>
      <c r="AZ115" s="299">
        <v>-0.01</v>
      </c>
      <c r="BA115" s="299">
        <v>-6.2E-2</v>
      </c>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row>
    <row r="116" spans="1:79" ht="15.75" customHeight="1">
      <c r="A116" s="14"/>
      <c r="B116" s="389" t="s">
        <v>265</v>
      </c>
      <c r="C116" s="377" t="str">
        <f ca="1">IFERROR(__xludf.DUMMYFUNCTION("GoogleFinance(B116,""name"")"),"Kroger Co")</f>
        <v>Kroger Co</v>
      </c>
      <c r="D116" s="378">
        <f ca="1">IFERROR(__xludf.DUMMYFUNCTION("GoogleFinance(B116,""marketcap"")/1000000"),43378.914365)</f>
        <v>43378.914364999997</v>
      </c>
      <c r="E116" s="379" t="s">
        <v>18</v>
      </c>
      <c r="F116" s="379" t="s">
        <v>104</v>
      </c>
      <c r="G116" s="380">
        <v>44916</v>
      </c>
      <c r="H116" s="381">
        <v>45701</v>
      </c>
      <c r="I116" s="300">
        <f t="shared" ca="1" si="16"/>
        <v>1.7592781632321364E-2</v>
      </c>
      <c r="J116" s="382">
        <v>65.8</v>
      </c>
      <c r="K116" s="324">
        <v>44.39</v>
      </c>
      <c r="L116" s="383">
        <v>40</v>
      </c>
      <c r="M116" s="313">
        <f t="shared" si="22"/>
        <v>1775.6</v>
      </c>
      <c r="N116" s="384">
        <f t="shared" si="17"/>
        <v>2632</v>
      </c>
      <c r="O116" s="384">
        <f t="shared" si="18"/>
        <v>856.40000000000009</v>
      </c>
      <c r="P116" s="254">
        <f t="shared" si="19"/>
        <v>0.48231583690020274</v>
      </c>
      <c r="Q116" s="282">
        <f t="shared" si="20"/>
        <v>785</v>
      </c>
      <c r="R116" s="31" t="s">
        <v>270</v>
      </c>
      <c r="Y116" s="14"/>
      <c r="Z116" s="14"/>
      <c r="AA116" s="14"/>
      <c r="AB116" s="364" t="s">
        <v>224</v>
      </c>
      <c r="AC116" s="8">
        <f t="shared" ca="1" si="23"/>
        <v>2.7558905269780009E-2</v>
      </c>
      <c r="AD116" s="14"/>
      <c r="AE116" s="14"/>
      <c r="AF116" s="14"/>
      <c r="AG116" s="14"/>
      <c r="AH116" s="29"/>
      <c r="AI116" s="29"/>
      <c r="AJ116" s="29"/>
      <c r="AK116" s="29"/>
      <c r="AL116" s="14"/>
      <c r="AM116" s="14"/>
      <c r="AN116" s="332"/>
      <c r="AO116" s="332"/>
      <c r="AP116" s="332"/>
      <c r="AQ116" s="332"/>
      <c r="AR116" s="332"/>
      <c r="AS116" s="332"/>
      <c r="AT116" s="332"/>
      <c r="AU116" s="28"/>
      <c r="AV116" s="332"/>
      <c r="AW116" s="28"/>
      <c r="AX116" s="332"/>
      <c r="AY116" s="359">
        <v>44584</v>
      </c>
      <c r="AZ116" s="299">
        <v>1.44E-2</v>
      </c>
      <c r="BA116" s="299">
        <v>6.4000000000000001E-2</v>
      </c>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row>
    <row r="117" spans="1:79" ht="15.75" customHeight="1">
      <c r="A117" s="14"/>
      <c r="B117" s="270" t="s">
        <v>269</v>
      </c>
      <c r="C117" s="271" t="str">
        <f ca="1">IFERROR(__xludf.DUMMYFUNCTION("GoogleFinance(B117,""name"")"),"Alibaba Group Holding Ltd - ADR")</f>
        <v>Alibaba Group Holding Ltd - ADR</v>
      </c>
      <c r="D117" s="272">
        <f ca="1">IFERROR(__xludf.DUMMYFUNCTION("GoogleFinance(B117,""marketcap"")/1000000"),340928.957993)</f>
        <v>340928.95799299999</v>
      </c>
      <c r="E117" s="273" t="s">
        <v>128</v>
      </c>
      <c r="F117" s="273" t="s">
        <v>24</v>
      </c>
      <c r="G117" s="274">
        <v>45267</v>
      </c>
      <c r="H117" s="381">
        <v>45702</v>
      </c>
      <c r="I117" s="276">
        <f t="shared" ca="1" si="16"/>
        <v>1.2532851656763889E-2</v>
      </c>
      <c r="J117" s="277">
        <v>125</v>
      </c>
      <c r="K117" s="278">
        <v>73.5</v>
      </c>
      <c r="L117" s="279">
        <v>15</v>
      </c>
      <c r="M117" s="280">
        <f t="shared" si="22"/>
        <v>1102.5</v>
      </c>
      <c r="N117" s="281">
        <f t="shared" si="17"/>
        <v>1875</v>
      </c>
      <c r="O117" s="281">
        <f t="shared" si="18"/>
        <v>772.5</v>
      </c>
      <c r="P117" s="275">
        <f t="shared" si="19"/>
        <v>0.70068027210884343</v>
      </c>
      <c r="Q117" s="282">
        <f t="shared" si="20"/>
        <v>435</v>
      </c>
      <c r="R117" s="31" t="s">
        <v>266</v>
      </c>
      <c r="Y117" s="14"/>
      <c r="Z117" s="14"/>
      <c r="AA117" s="14"/>
      <c r="AB117" s="14"/>
      <c r="AC117" s="14">
        <f ca="1">SUM(AC106:AC116)</f>
        <v>1.0000000000000002</v>
      </c>
      <c r="AD117" s="14"/>
      <c r="AE117" s="14"/>
      <c r="AF117" s="14"/>
      <c r="AG117" s="14"/>
      <c r="AH117" s="29"/>
      <c r="AI117" s="29"/>
      <c r="AJ117" s="29"/>
      <c r="AK117" s="29"/>
      <c r="AL117" s="14"/>
      <c r="AM117" s="14"/>
      <c r="AN117" s="332"/>
      <c r="AO117" s="332"/>
      <c r="AP117" s="332"/>
      <c r="AQ117" s="332"/>
      <c r="AR117" s="332"/>
      <c r="AS117" s="332"/>
      <c r="AT117" s="332"/>
      <c r="AU117" s="28"/>
      <c r="AV117" s="332"/>
      <c r="AW117" s="28"/>
      <c r="AX117" s="332"/>
      <c r="AY117" s="359">
        <v>44615</v>
      </c>
      <c r="AZ117" s="299">
        <v>-5.0000000000000001E-3</v>
      </c>
      <c r="BA117" s="299">
        <v>-2.5000000000000001E-2</v>
      </c>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row>
    <row r="118" spans="1:79" ht="15.75" customHeight="1">
      <c r="A118" s="14"/>
      <c r="B118" s="7" t="s">
        <v>269</v>
      </c>
      <c r="C118" s="377" t="str">
        <f ca="1">IFERROR(__xludf.DUMMYFUNCTION("GoogleFinance(B118,""name"")"),"Alibaba Group Holding Ltd - ADR")</f>
        <v>Alibaba Group Holding Ltd - ADR</v>
      </c>
      <c r="D118" s="378">
        <f ca="1">IFERROR(__xludf.DUMMYFUNCTION("GoogleFinance(B118,""marketcap"")/1000000"),340928.957993)</f>
        <v>340928.95799299999</v>
      </c>
      <c r="E118" s="379" t="s">
        <v>128</v>
      </c>
      <c r="F118" s="379" t="s">
        <v>24</v>
      </c>
      <c r="G118" s="380">
        <v>45267</v>
      </c>
      <c r="H118" s="381">
        <v>45708</v>
      </c>
      <c r="I118" s="300">
        <f t="shared" ca="1" si="16"/>
        <v>8.6025493772027336E-3</v>
      </c>
      <c r="J118" s="382">
        <v>143</v>
      </c>
      <c r="K118" s="324">
        <v>73.5</v>
      </c>
      <c r="L118" s="383">
        <v>9</v>
      </c>
      <c r="M118" s="313">
        <f t="shared" si="22"/>
        <v>661.5</v>
      </c>
      <c r="N118" s="384">
        <f t="shared" si="17"/>
        <v>1287</v>
      </c>
      <c r="O118" s="384">
        <f t="shared" si="18"/>
        <v>625.5</v>
      </c>
      <c r="P118" s="254">
        <f t="shared" si="19"/>
        <v>0.94557823129251695</v>
      </c>
      <c r="Q118" s="282">
        <f t="shared" si="20"/>
        <v>441</v>
      </c>
      <c r="R118" s="31" t="s">
        <v>266</v>
      </c>
      <c r="Y118" s="14"/>
      <c r="Z118" s="14"/>
      <c r="AA118" s="14"/>
      <c r="AB118" s="14"/>
      <c r="AC118" s="14"/>
      <c r="AD118" s="14"/>
      <c r="AE118" s="14"/>
      <c r="AF118" s="14"/>
      <c r="AG118" s="14"/>
      <c r="AH118" s="29"/>
      <c r="AI118" s="29"/>
      <c r="AJ118" s="29"/>
      <c r="AK118" s="29"/>
      <c r="AL118" s="14"/>
      <c r="AM118" s="14"/>
      <c r="AN118" s="332"/>
      <c r="AO118" s="332"/>
      <c r="AP118" s="332"/>
      <c r="AQ118" s="332"/>
      <c r="AR118" s="332"/>
      <c r="AS118" s="332"/>
      <c r="AT118" s="332"/>
      <c r="AU118" s="28"/>
      <c r="AV118" s="332"/>
      <c r="AW118" s="28"/>
      <c r="AX118" s="332"/>
      <c r="AY118" s="359">
        <v>44643</v>
      </c>
      <c r="AZ118" s="299">
        <v>3.2300000000000002E-2</v>
      </c>
      <c r="BA118" s="299">
        <v>3.3134810477968957E-2</v>
      </c>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row>
    <row r="119" spans="1:79" ht="15.75" customHeight="1">
      <c r="A119" s="14"/>
      <c r="B119" s="7" t="s">
        <v>271</v>
      </c>
      <c r="C119" s="377" t="str">
        <f ca="1">IFERROR(__xludf.DUMMYFUNCTION("GoogleFinance(B119,""name"")"),"Globant SA")</f>
        <v>Globant SA</v>
      </c>
      <c r="D119" s="378">
        <f ca="1">IFERROR(__xludf.DUMMYFUNCTION("GoogleFinance(B119,""marketcap"")/1000000"),2555.082861)</f>
        <v>2555.0828609999999</v>
      </c>
      <c r="E119" s="379" t="s">
        <v>7</v>
      </c>
      <c r="F119" s="379" t="s">
        <v>272</v>
      </c>
      <c r="G119" s="380">
        <v>45372</v>
      </c>
      <c r="H119" s="381">
        <v>45709</v>
      </c>
      <c r="I119" s="300">
        <f t="shared" ca="1" si="16"/>
        <v>2.3084412946833079E-2</v>
      </c>
      <c r="J119" s="382">
        <v>175</v>
      </c>
      <c r="K119" s="324">
        <f>(201.9+205.7+203.2)/3</f>
        <v>203.6</v>
      </c>
      <c r="L119" s="383">
        <f>3000/K119-5+10-15+15-15+15</f>
        <v>19.734774066797641</v>
      </c>
      <c r="M119" s="313">
        <f t="shared" si="22"/>
        <v>4017.9999999999995</v>
      </c>
      <c r="N119" s="384">
        <f t="shared" si="17"/>
        <v>3453.5854616895872</v>
      </c>
      <c r="O119" s="384">
        <f t="shared" si="18"/>
        <v>-564.41453831041235</v>
      </c>
      <c r="P119" s="254">
        <f t="shared" si="19"/>
        <v>-0.14047151277013747</v>
      </c>
      <c r="Q119" s="282">
        <f t="shared" si="20"/>
        <v>337</v>
      </c>
      <c r="R119" s="31" t="s">
        <v>62</v>
      </c>
      <c r="Y119" s="14"/>
      <c r="Z119" s="14"/>
      <c r="AA119" s="14"/>
      <c r="AB119" s="14"/>
      <c r="AC119" s="14"/>
      <c r="AD119" s="14"/>
      <c r="AE119" s="14"/>
      <c r="AF119" s="14"/>
      <c r="AG119" s="14"/>
      <c r="AH119" s="29"/>
      <c r="AI119" s="29"/>
      <c r="AJ119" s="29"/>
      <c r="AK119" s="29"/>
      <c r="AL119" s="14"/>
      <c r="AM119" s="14"/>
      <c r="AN119" s="332"/>
      <c r="AO119" s="332"/>
      <c r="AP119" s="332"/>
      <c r="AQ119" s="332"/>
      <c r="AR119" s="332"/>
      <c r="AS119" s="332"/>
      <c r="AT119" s="332"/>
      <c r="AU119" s="28"/>
      <c r="AV119" s="332"/>
      <c r="AW119" s="28"/>
      <c r="AX119" s="332"/>
      <c r="AY119" s="359">
        <v>44643</v>
      </c>
      <c r="AZ119" s="299">
        <v>3.2300000000000002E-2</v>
      </c>
      <c r="BA119" s="299">
        <v>3.3134810477968957E-2</v>
      </c>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row>
    <row r="120" spans="1:79" ht="15.75" customHeight="1">
      <c r="A120" s="14"/>
      <c r="B120" s="7" t="s">
        <v>273</v>
      </c>
      <c r="C120" s="377" t="str">
        <f ca="1">IFERROR(__xludf.DUMMYFUNCTION("GoogleFinance(B120,""name"")"),"Global X Uranium ETF")</f>
        <v>Global X Uranium ETF</v>
      </c>
      <c r="D120" s="378" t="str">
        <f ca="1">IFERROR(__xludf.DUMMYFUNCTION("GoogleFinance(B120,""marketcap"")/1000000"),"#N/A")</f>
        <v>#N/A</v>
      </c>
      <c r="E120" s="379" t="s">
        <v>15</v>
      </c>
      <c r="F120" s="379" t="s">
        <v>274</v>
      </c>
      <c r="G120" s="380">
        <v>45692</v>
      </c>
      <c r="H120" s="381">
        <v>45713</v>
      </c>
      <c r="I120" s="300">
        <f t="shared" ca="1" si="16"/>
        <v>2.8884074563936962E-2</v>
      </c>
      <c r="J120" s="382">
        <v>26</v>
      </c>
      <c r="K120" s="324">
        <v>28.7</v>
      </c>
      <c r="L120" s="383">
        <f>4770/K120</f>
        <v>166.20209059233449</v>
      </c>
      <c r="M120" s="313">
        <f t="shared" si="22"/>
        <v>4770</v>
      </c>
      <c r="N120" s="384">
        <f t="shared" si="17"/>
        <v>4321.254355400697</v>
      </c>
      <c r="O120" s="384">
        <f t="shared" si="18"/>
        <v>-448.74564459930298</v>
      </c>
      <c r="P120" s="254">
        <f t="shared" si="19"/>
        <v>-9.4076655052264813E-2</v>
      </c>
      <c r="Q120" s="282">
        <f t="shared" si="20"/>
        <v>21</v>
      </c>
      <c r="R120" s="31" t="s">
        <v>62</v>
      </c>
      <c r="X120" s="31"/>
      <c r="Y120" s="14"/>
      <c r="Z120" s="14"/>
      <c r="AA120" s="14"/>
      <c r="AB120" s="14"/>
      <c r="AC120" s="14"/>
      <c r="AD120" s="14"/>
      <c r="AE120" s="14"/>
      <c r="AF120" s="14"/>
      <c r="AG120" s="14"/>
      <c r="AH120" s="29"/>
      <c r="AI120" s="29"/>
      <c r="AJ120" s="29"/>
      <c r="AK120" s="29"/>
      <c r="AL120" s="14"/>
      <c r="AM120" s="14"/>
      <c r="AN120" s="332"/>
      <c r="AO120" s="332"/>
      <c r="AP120" s="332"/>
      <c r="AQ120" s="332"/>
      <c r="AR120" s="332"/>
      <c r="AS120" s="332"/>
      <c r="AT120" s="332"/>
      <c r="AU120" s="28"/>
      <c r="AV120" s="332"/>
      <c r="AW120" s="28"/>
      <c r="AX120" s="332"/>
      <c r="AY120" s="359">
        <v>44704</v>
      </c>
      <c r="AZ120" s="299">
        <v>-2.2599999999999999E-2</v>
      </c>
      <c r="BA120" s="299">
        <v>3.0000000000000001E-3</v>
      </c>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row>
    <row r="121" spans="1:79" ht="15.75" customHeight="1">
      <c r="A121" s="14"/>
      <c r="B121" s="7" t="s">
        <v>275</v>
      </c>
      <c r="C121" s="377" t="str">
        <f ca="1">IFERROR(__xludf.DUMMYFUNCTION("GoogleFinance(B121,""name"")"),"NVIDIA Corp")</f>
        <v>NVIDIA Corp</v>
      </c>
      <c r="D121" s="378">
        <f ca="1">IFERROR(__xludf.DUMMYFUNCTION("GoogleFinance(B121,""marketcap"")/1000000"),4330017.059326)</f>
        <v>4330017.0593259996</v>
      </c>
      <c r="E121" s="379" t="s">
        <v>7</v>
      </c>
      <c r="F121" s="379" t="s">
        <v>23</v>
      </c>
      <c r="G121" s="380">
        <v>45643</v>
      </c>
      <c r="H121" s="381">
        <v>45721</v>
      </c>
      <c r="I121" s="300">
        <f t="shared" ca="1" si="16"/>
        <v>4.7707157069450334E-2</v>
      </c>
      <c r="J121" s="382">
        <v>115</v>
      </c>
      <c r="K121" s="324">
        <v>128.9</v>
      </c>
      <c r="L121" s="383">
        <f>8000/K121</f>
        <v>62.06361520558572</v>
      </c>
      <c r="M121" s="313">
        <f t="shared" si="22"/>
        <v>8000</v>
      </c>
      <c r="N121" s="384">
        <f t="shared" si="17"/>
        <v>7137.3157486423579</v>
      </c>
      <c r="O121" s="384">
        <f t="shared" si="18"/>
        <v>-862.6842513576421</v>
      </c>
      <c r="P121" s="254">
        <f t="shared" si="19"/>
        <v>-0.10783553141970526</v>
      </c>
      <c r="Q121" s="282">
        <f t="shared" si="20"/>
        <v>78</v>
      </c>
      <c r="R121" s="31" t="s">
        <v>62</v>
      </c>
      <c r="Y121" s="14"/>
      <c r="Z121" s="14"/>
      <c r="AA121" s="14"/>
      <c r="AB121" s="14"/>
      <c r="AC121" s="14"/>
      <c r="AD121" s="14"/>
      <c r="AE121" s="14"/>
      <c r="AF121" s="14"/>
      <c r="AG121" s="14"/>
      <c r="AH121" s="29"/>
      <c r="AI121" s="29"/>
      <c r="AJ121" s="29"/>
      <c r="AK121" s="29"/>
      <c r="AL121" s="14"/>
      <c r="AM121" s="14"/>
      <c r="AN121" s="332"/>
      <c r="AO121" s="332"/>
      <c r="AP121" s="332"/>
      <c r="AQ121" s="332"/>
      <c r="AR121" s="332"/>
      <c r="AS121" s="332"/>
      <c r="AT121" s="332"/>
      <c r="AU121" s="28"/>
      <c r="AV121" s="332"/>
      <c r="AW121" s="28"/>
      <c r="AX121" s="332"/>
      <c r="AY121" s="359">
        <v>44735</v>
      </c>
      <c r="AZ121" s="299">
        <v>1.9E-2</v>
      </c>
      <c r="BA121" s="299">
        <v>6.0999999999999999E-2</v>
      </c>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row>
    <row r="122" spans="1:79" ht="15.75" customHeight="1">
      <c r="A122" s="14"/>
      <c r="B122" s="7" t="s">
        <v>276</v>
      </c>
      <c r="C122" s="377" t="str">
        <f ca="1">IFERROR(__xludf.DUMMYFUNCTION("GoogleFinance(B122,""name"")"),"Broadcom Inc")</f>
        <v>Broadcom Inc</v>
      </c>
      <c r="D122" s="378">
        <f ca="1">IFERROR(__xludf.DUMMYFUNCTION("GoogleFinance(B122,""marketcap"")/1000000"),1579772.757685)</f>
        <v>1579772.7576850001</v>
      </c>
      <c r="E122" s="379" t="s">
        <v>7</v>
      </c>
      <c r="F122" s="379" t="s">
        <v>23</v>
      </c>
      <c r="G122" s="380">
        <v>45709</v>
      </c>
      <c r="H122" s="381">
        <v>45721</v>
      </c>
      <c r="I122" s="300">
        <f t="shared" ca="1" si="16"/>
        <v>2.33416073184174E-2</v>
      </c>
      <c r="J122" s="382">
        <v>198</v>
      </c>
      <c r="K122" s="324">
        <v>226.8</v>
      </c>
      <c r="L122" s="383">
        <f>4000/K122</f>
        <v>17.636684303350968</v>
      </c>
      <c r="M122" s="313">
        <f t="shared" si="22"/>
        <v>4000</v>
      </c>
      <c r="N122" s="384">
        <f t="shared" si="17"/>
        <v>3492.0634920634916</v>
      </c>
      <c r="O122" s="384">
        <f t="shared" si="18"/>
        <v>-507.93650793650841</v>
      </c>
      <c r="P122" s="254">
        <f t="shared" si="19"/>
        <v>-0.12698412698412698</v>
      </c>
      <c r="Q122" s="282">
        <f t="shared" si="20"/>
        <v>12</v>
      </c>
      <c r="R122" s="31" t="s">
        <v>62</v>
      </c>
      <c r="Y122" s="14"/>
      <c r="Z122" s="14"/>
      <c r="AA122" s="14"/>
      <c r="AB122" s="14"/>
      <c r="AC122" s="14"/>
      <c r="AD122" s="14"/>
      <c r="AE122" s="14"/>
      <c r="AF122" s="14"/>
      <c r="AG122" s="14"/>
      <c r="AH122" s="29"/>
      <c r="AI122" s="29"/>
      <c r="AJ122" s="29"/>
      <c r="AK122" s="29"/>
      <c r="AL122" s="14"/>
      <c r="AM122" s="14"/>
      <c r="AN122" s="332"/>
      <c r="AO122" s="332"/>
      <c r="AP122" s="332"/>
      <c r="AQ122" s="332"/>
      <c r="AR122" s="332"/>
      <c r="AS122" s="332"/>
      <c r="AT122" s="332"/>
      <c r="AU122" s="28"/>
      <c r="AV122" s="332"/>
      <c r="AW122" s="28"/>
      <c r="AX122" s="332"/>
      <c r="AY122" s="359">
        <v>44765</v>
      </c>
      <c r="AZ122" s="299">
        <v>1.84E-2</v>
      </c>
      <c r="BA122" s="299">
        <v>3.7999999999999999E-2</v>
      </c>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row>
    <row r="123" spans="1:79" ht="15.75" customHeight="1">
      <c r="A123" s="14"/>
      <c r="B123" s="270" t="s">
        <v>211</v>
      </c>
      <c r="C123" s="271" t="str">
        <f ca="1">IFERROR(__xludf.DUMMYFUNCTION("GoogleFinance(B123,""name"")"),"JPMorgan Small &amp; Mid Cap Enhanced Equity ETF")</f>
        <v>JPMorgan Small &amp; Mid Cap Enhanced Equity ETF</v>
      </c>
      <c r="D123" s="272" t="str">
        <f ca="1">IFERROR(__xludf.DUMMYFUNCTION("GoogleFinance(B123,""marketcap"")/1000000"),"#N/A")</f>
        <v>#N/A</v>
      </c>
      <c r="E123" s="273" t="s">
        <v>212</v>
      </c>
      <c r="F123" s="273"/>
      <c r="G123" s="274">
        <v>45642</v>
      </c>
      <c r="H123" s="381">
        <v>45721</v>
      </c>
      <c r="I123" s="276">
        <f t="shared" ca="1" si="16"/>
        <v>5.4120573563609609E-2</v>
      </c>
      <c r="J123" s="277">
        <v>58</v>
      </c>
      <c r="K123" s="278">
        <f t="shared" ref="K123:K124" si="24">M123/L123</f>
        <v>63.037198259736037</v>
      </c>
      <c r="L123" s="279">
        <f>6000/63.75+5000/60.5-2200/59.2</f>
        <v>139.60011299583493</v>
      </c>
      <c r="M123" s="280">
        <f>6000+5000-2200</f>
        <v>8800</v>
      </c>
      <c r="N123" s="281">
        <f t="shared" si="17"/>
        <v>8096.8065537584262</v>
      </c>
      <c r="O123" s="281">
        <f t="shared" si="18"/>
        <v>-703.19344624157384</v>
      </c>
      <c r="P123" s="275">
        <f t="shared" si="19"/>
        <v>-7.9908346163815258E-2</v>
      </c>
      <c r="Q123" s="282">
        <f t="shared" si="20"/>
        <v>79</v>
      </c>
      <c r="R123" s="31" t="s">
        <v>62</v>
      </c>
      <c r="Y123" s="14"/>
      <c r="Z123" s="14"/>
      <c r="AA123" s="14"/>
      <c r="AB123" s="14"/>
      <c r="AC123" s="14"/>
      <c r="AD123" s="14"/>
      <c r="AE123" s="14"/>
      <c r="AF123" s="14"/>
      <c r="AG123" s="14"/>
      <c r="AH123" s="29"/>
      <c r="AI123" s="29"/>
      <c r="AJ123" s="29"/>
      <c r="AK123" s="29"/>
      <c r="AL123" s="14"/>
      <c r="AM123" s="14"/>
      <c r="AN123" s="332"/>
      <c r="AO123" s="332"/>
      <c r="AP123" s="332"/>
      <c r="AQ123" s="332"/>
      <c r="AR123" s="332"/>
      <c r="AS123" s="332"/>
      <c r="AT123" s="332"/>
      <c r="AU123" s="28"/>
      <c r="AV123" s="332"/>
      <c r="AW123" s="28"/>
      <c r="AX123" s="332"/>
      <c r="AY123" s="359">
        <v>44796</v>
      </c>
      <c r="AZ123" s="299">
        <v>2.3999999999999998E-3</v>
      </c>
      <c r="BA123" s="299">
        <v>-1.6E-2</v>
      </c>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row>
    <row r="124" spans="1:79" ht="15.75" customHeight="1">
      <c r="A124" s="14"/>
      <c r="B124" s="390" t="s">
        <v>214</v>
      </c>
      <c r="C124" s="391" t="str">
        <f ca="1">IFERROR(__xludf.DUMMYFUNCTION("GoogleFinance(B124,""name"")"),"JPMorgan US Tech Leaders ETF")</f>
        <v>JPMorgan US Tech Leaders ETF</v>
      </c>
      <c r="D124" s="392" t="str">
        <f ca="1">IFERROR(__xludf.DUMMYFUNCTION("GoogleFinance(B124,""marketcap"")/1000000"),"#N/A")</f>
        <v>#N/A</v>
      </c>
      <c r="E124" s="393" t="s">
        <v>7</v>
      </c>
      <c r="F124" s="257"/>
      <c r="G124" s="380">
        <v>45642</v>
      </c>
      <c r="H124" s="381">
        <v>45721</v>
      </c>
      <c r="I124" s="394">
        <f t="shared" ca="1" si="16"/>
        <v>8.3950183539263784E-2</v>
      </c>
      <c r="J124" s="256">
        <v>75</v>
      </c>
      <c r="K124" s="324">
        <f t="shared" si="24"/>
        <v>77.630358705161868</v>
      </c>
      <c r="L124" s="383">
        <f>4000/80.3+9000/76.5</f>
        <v>167.4602593216614</v>
      </c>
      <c r="M124" s="395">
        <f>4000+9000</f>
        <v>13000</v>
      </c>
      <c r="N124" s="395">
        <f t="shared" si="17"/>
        <v>12559.519449124604</v>
      </c>
      <c r="O124" s="395">
        <f t="shared" si="18"/>
        <v>-440.48055087539615</v>
      </c>
      <c r="P124" s="396">
        <f t="shared" si="19"/>
        <v>-3.3883119298107389E-2</v>
      </c>
      <c r="Q124" s="282">
        <f t="shared" si="20"/>
        <v>79</v>
      </c>
      <c r="R124" s="31" t="s">
        <v>62</v>
      </c>
      <c r="Y124" s="14"/>
      <c r="Z124" s="14"/>
      <c r="AA124" s="14"/>
      <c r="AB124" s="14"/>
      <c r="AC124" s="14"/>
      <c r="AD124" s="14"/>
      <c r="AE124" s="14"/>
      <c r="AF124" s="14"/>
      <c r="AG124" s="14"/>
      <c r="AH124" s="29"/>
      <c r="AI124" s="29"/>
      <c r="AJ124" s="29"/>
      <c r="AK124" s="29"/>
      <c r="AL124" s="14"/>
      <c r="AM124" s="14"/>
      <c r="AN124" s="332"/>
      <c r="AO124" s="332"/>
      <c r="AP124" s="332"/>
      <c r="AQ124" s="332"/>
      <c r="AR124" s="332"/>
      <c r="AS124" s="332"/>
      <c r="AT124" s="332"/>
      <c r="AU124" s="28"/>
      <c r="AV124" s="332"/>
      <c r="AW124" s="28"/>
      <c r="AX124" s="332"/>
      <c r="AY124" s="359">
        <v>44827</v>
      </c>
      <c r="AZ124" s="299">
        <v>-1.9E-2</v>
      </c>
      <c r="BA124" s="299">
        <v>-5.0999999999999997E-2</v>
      </c>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row>
    <row r="125" spans="1:79" ht="15.75" customHeight="1">
      <c r="A125" s="14"/>
      <c r="B125" s="1" t="s">
        <v>277</v>
      </c>
      <c r="C125" s="233" t="str">
        <f ca="1">IFERROR(__xludf.DUMMYFUNCTION("GoogleFinance(B125,""name"")"),"Target Corp")</f>
        <v>Target Corp</v>
      </c>
      <c r="D125" s="234">
        <f ca="1">IFERROR(__xludf.DUMMYFUNCTION("GoogleFinance(B125,""marketcap"")/1000000"),39918.960241)</f>
        <v>39918.960241000001</v>
      </c>
      <c r="E125" s="229" t="s">
        <v>18</v>
      </c>
      <c r="F125" s="229" t="s">
        <v>278</v>
      </c>
      <c r="G125" s="397">
        <v>45399</v>
      </c>
      <c r="H125" s="381">
        <v>45721</v>
      </c>
      <c r="I125" s="398">
        <f t="shared" ca="1" si="16"/>
        <v>2.9585588315188524E-2</v>
      </c>
      <c r="J125" s="399">
        <v>120</v>
      </c>
      <c r="K125" s="400">
        <v>148.06</v>
      </c>
      <c r="L125" s="401">
        <f>2500/K125+20</f>
        <v>36.885046602728622</v>
      </c>
      <c r="M125" s="402">
        <f t="shared" ref="M125:M130" si="25">L125*K125</f>
        <v>5461.2</v>
      </c>
      <c r="N125" s="402">
        <f t="shared" si="17"/>
        <v>4426.2055923274347</v>
      </c>
      <c r="O125" s="402">
        <f t="shared" si="18"/>
        <v>-1034.9944076725651</v>
      </c>
      <c r="P125" s="254">
        <f t="shared" si="19"/>
        <v>-0.18951776306902612</v>
      </c>
      <c r="Q125" s="282">
        <f t="shared" si="20"/>
        <v>322</v>
      </c>
      <c r="R125" s="31" t="s">
        <v>62</v>
      </c>
      <c r="Y125" s="14"/>
      <c r="Z125" s="14"/>
      <c r="AA125" s="14"/>
      <c r="AB125" s="14"/>
      <c r="AC125" s="14"/>
      <c r="AD125" s="14"/>
      <c r="AE125" s="14"/>
      <c r="AF125" s="14"/>
      <c r="AG125" s="14"/>
      <c r="AH125" s="29"/>
      <c r="AI125" s="29"/>
      <c r="AJ125" s="29"/>
      <c r="AK125" s="29"/>
      <c r="AL125" s="14"/>
      <c r="AM125" s="14"/>
      <c r="AN125" s="332"/>
      <c r="AO125" s="332"/>
      <c r="AP125" s="332"/>
      <c r="AQ125" s="332"/>
      <c r="AR125" s="332"/>
      <c r="AS125" s="332"/>
      <c r="AT125" s="332"/>
      <c r="AU125" s="28"/>
      <c r="AV125" s="332"/>
      <c r="AW125" s="28"/>
      <c r="AX125" s="332"/>
      <c r="AY125" s="359">
        <v>44857</v>
      </c>
      <c r="AZ125" s="299">
        <v>1.4999999999999999E-2</v>
      </c>
      <c r="BA125" s="299">
        <v>-2.1999999999999999E-2</v>
      </c>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row>
    <row r="126" spans="1:79" ht="15.75" customHeight="1">
      <c r="A126" s="14"/>
      <c r="B126" s="7" t="s">
        <v>37</v>
      </c>
      <c r="C126" s="377" t="str">
        <f ca="1">IFERROR(__xludf.DUMMYFUNCTION("GoogleFinance(B126,""name"")"),"iShares 20+ Year Treasury Bond ETF")</f>
        <v>iShares 20+ Year Treasury Bond ETF</v>
      </c>
      <c r="D126" s="378">
        <f ca="1">IFERROR(__xludf.DUMMYFUNCTION("GoogleFinance(B126,""marketcap"")/1000000"),11094.72019)</f>
        <v>11094.72019</v>
      </c>
      <c r="E126" s="379" t="s">
        <v>279</v>
      </c>
      <c r="F126" s="379" t="s">
        <v>280</v>
      </c>
      <c r="G126" s="380">
        <v>45407</v>
      </c>
      <c r="H126" s="381">
        <v>45726</v>
      </c>
      <c r="I126" s="300">
        <f t="shared" ca="1" si="16"/>
        <v>1.607547105840915E-2</v>
      </c>
      <c r="J126" s="382">
        <v>91</v>
      </c>
      <c r="K126" s="324">
        <v>87.5</v>
      </c>
      <c r="L126" s="383">
        <f>4500/K126-25</f>
        <v>26.428571428571431</v>
      </c>
      <c r="M126" s="313">
        <f t="shared" si="25"/>
        <v>2312.5</v>
      </c>
      <c r="N126" s="384">
        <f t="shared" si="17"/>
        <v>2405</v>
      </c>
      <c r="O126" s="384">
        <f t="shared" si="18"/>
        <v>92.5</v>
      </c>
      <c r="P126" s="254">
        <f t="shared" si="19"/>
        <v>4.0000000000000036E-2</v>
      </c>
      <c r="Q126" s="282">
        <f t="shared" si="20"/>
        <v>319</v>
      </c>
      <c r="R126" s="31" t="s">
        <v>281</v>
      </c>
      <c r="Y126" s="14"/>
      <c r="Z126" s="14"/>
      <c r="AA126" s="14"/>
      <c r="AB126" s="14"/>
      <c r="AC126" s="14"/>
      <c r="AD126" s="14"/>
      <c r="AE126" s="14"/>
      <c r="AF126" s="14"/>
      <c r="AG126" s="14"/>
      <c r="AH126" s="29"/>
      <c r="AI126" s="29"/>
      <c r="AJ126" s="29"/>
      <c r="AK126" s="29"/>
      <c r="AL126" s="14"/>
      <c r="AM126" s="14"/>
      <c r="AN126" s="332"/>
      <c r="AO126" s="332"/>
      <c r="AP126" s="332"/>
      <c r="AQ126" s="332"/>
      <c r="AR126" s="332"/>
      <c r="AS126" s="332"/>
      <c r="AT126" s="332"/>
      <c r="AU126" s="28"/>
      <c r="AV126" s="332"/>
      <c r="AW126" s="28"/>
      <c r="AX126" s="332"/>
      <c r="AY126" s="359">
        <v>44888</v>
      </c>
      <c r="AZ126" s="299">
        <v>5.3400000000000003E-2</v>
      </c>
      <c r="BA126" s="299">
        <v>9.8000000000000004E-2</v>
      </c>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row>
    <row r="127" spans="1:79" ht="15.75" customHeight="1">
      <c r="A127" s="14"/>
      <c r="B127" s="7" t="s">
        <v>282</v>
      </c>
      <c r="C127" s="377" t="str">
        <f ca="1">IFERROR(__xludf.DUMMYFUNCTION("GoogleFinance(B127,""name"")"),"Infosys Ltd")</f>
        <v>Infosys Ltd</v>
      </c>
      <c r="D127" s="378">
        <f ca="1">IFERROR(__xludf.DUMMYFUNCTION("GoogleFinance(B127,""marketcap"")/1000000"),5976276.480958)</f>
        <v>5976276.4809579998</v>
      </c>
      <c r="E127" s="379" t="s">
        <v>7</v>
      </c>
      <c r="F127" s="379" t="s">
        <v>263</v>
      </c>
      <c r="G127" s="380">
        <v>45695</v>
      </c>
      <c r="H127" s="381">
        <v>45728</v>
      </c>
      <c r="I127" s="300">
        <f t="shared" ca="1" si="16"/>
        <v>1.1688869162927511E-2</v>
      </c>
      <c r="J127" s="382">
        <v>19</v>
      </c>
      <c r="K127" s="324">
        <v>21.73</v>
      </c>
      <c r="L127" s="383">
        <f t="shared" ref="L127:L128" si="26">2000/K127</f>
        <v>92.038656235618959</v>
      </c>
      <c r="M127" s="313">
        <f t="shared" si="25"/>
        <v>2000</v>
      </c>
      <c r="N127" s="384">
        <f t="shared" si="17"/>
        <v>1748.7344684767602</v>
      </c>
      <c r="O127" s="384">
        <f t="shared" si="18"/>
        <v>-251.26553152323982</v>
      </c>
      <c r="P127" s="254">
        <f t="shared" si="19"/>
        <v>-0.12563276576161986</v>
      </c>
      <c r="Q127" s="282">
        <f t="shared" si="20"/>
        <v>33</v>
      </c>
      <c r="R127" s="31" t="s">
        <v>62</v>
      </c>
      <c r="Y127" s="14"/>
      <c r="Z127" s="14"/>
      <c r="AA127" s="14"/>
      <c r="AB127" s="14"/>
      <c r="AC127" s="14"/>
      <c r="AD127" s="14"/>
      <c r="AE127" s="14"/>
      <c r="AF127" s="14"/>
      <c r="AG127" s="14"/>
      <c r="AH127" s="29"/>
      <c r="AI127" s="29"/>
      <c r="AJ127" s="29"/>
      <c r="AK127" s="29"/>
      <c r="AL127" s="14"/>
      <c r="AM127" s="14"/>
      <c r="AN127" s="332"/>
      <c r="AO127" s="332"/>
      <c r="AP127" s="332"/>
      <c r="AQ127" s="332"/>
      <c r="AR127" s="332"/>
      <c r="AS127" s="332"/>
      <c r="AT127" s="332"/>
      <c r="AU127" s="28"/>
      <c r="AV127" s="332"/>
      <c r="AW127" s="28"/>
      <c r="AX127" s="332"/>
      <c r="AY127" s="359">
        <v>44918</v>
      </c>
      <c r="AZ127" s="403">
        <v>1.9E-2</v>
      </c>
      <c r="BA127" s="403">
        <v>4.1000000000000002E-2</v>
      </c>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row>
    <row r="128" spans="1:79" ht="15.75" customHeight="1">
      <c r="A128" s="14"/>
      <c r="B128" s="7" t="s">
        <v>140</v>
      </c>
      <c r="C128" s="377" t="str">
        <f ca="1">IFERROR(__xludf.DUMMYFUNCTION("GoogleFinance(B128,""name"")"),"Petroleo Brasileiro ADR Reptg 2 Ord Shs")</f>
        <v>Petroleo Brasileiro ADR Reptg 2 Ord Shs</v>
      </c>
      <c r="D128" s="378">
        <f ca="1">IFERROR(__xludf.DUMMYFUNCTION("GoogleFinance(B128,""marketcap"")/1000000"),436725.63)</f>
        <v>436725.63</v>
      </c>
      <c r="E128" s="379" t="s">
        <v>15</v>
      </c>
      <c r="F128" s="379" t="s">
        <v>141</v>
      </c>
      <c r="G128" s="380">
        <v>45632</v>
      </c>
      <c r="H128" s="381">
        <v>45728</v>
      </c>
      <c r="I128" s="300">
        <f t="shared" ca="1" si="16"/>
        <v>1.1779127710972497E-2</v>
      </c>
      <c r="J128" s="382">
        <v>12.6</v>
      </c>
      <c r="K128" s="324">
        <v>14.3</v>
      </c>
      <c r="L128" s="383">
        <f t="shared" si="26"/>
        <v>139.86013986013987</v>
      </c>
      <c r="M128" s="313">
        <f t="shared" si="25"/>
        <v>2000.0000000000002</v>
      </c>
      <c r="N128" s="384">
        <f t="shared" si="17"/>
        <v>1762.2377622377624</v>
      </c>
      <c r="O128" s="384">
        <f t="shared" si="18"/>
        <v>-237.76223776223787</v>
      </c>
      <c r="P128" s="254">
        <f t="shared" si="19"/>
        <v>-0.11888111888111896</v>
      </c>
      <c r="Q128" s="282">
        <f t="shared" si="20"/>
        <v>96</v>
      </c>
      <c r="R128" s="31" t="s">
        <v>62</v>
      </c>
      <c r="Y128" s="14"/>
      <c r="Z128" s="14"/>
      <c r="AA128" s="14"/>
      <c r="AB128" s="14"/>
      <c r="AC128" s="14"/>
      <c r="AD128" s="14"/>
      <c r="AE128" s="14"/>
      <c r="AF128" s="14"/>
      <c r="AG128" s="14"/>
      <c r="AH128" s="29"/>
      <c r="AI128" s="29"/>
      <c r="AJ128" s="29"/>
      <c r="AK128" s="29"/>
      <c r="AL128" s="14"/>
      <c r="AM128" s="14"/>
      <c r="AN128" s="332"/>
      <c r="AO128" s="332"/>
      <c r="AP128" s="332"/>
      <c r="AQ128" s="332"/>
      <c r="AR128" s="332"/>
      <c r="AS128" s="332"/>
      <c r="AT128" s="332"/>
      <c r="AU128" s="28"/>
      <c r="AV128" s="332"/>
      <c r="AW128" s="28"/>
      <c r="AX128" s="332"/>
      <c r="AY128" s="359">
        <v>44585</v>
      </c>
      <c r="AZ128" s="403">
        <v>3.3000000000000002E-2</v>
      </c>
      <c r="BA128" s="403">
        <v>1.6E-2</v>
      </c>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row>
    <row r="129" spans="1:79" ht="15.75" customHeight="1">
      <c r="A129" s="14"/>
      <c r="B129" s="7" t="s">
        <v>283</v>
      </c>
      <c r="C129" s="377" t="str">
        <f ca="1">IFERROR(__xludf.DUMMYFUNCTION("GoogleFinance(B129,""name"")"),"Apple Inc")</f>
        <v>Apple Inc</v>
      </c>
      <c r="D129" s="378">
        <f ca="1">IFERROR(__xludf.DUMMYFUNCTION("GoogleFinance(B129,""marketcap"")/1000000"),3791126)</f>
        <v>3791126</v>
      </c>
      <c r="E129" s="379" t="s">
        <v>7</v>
      </c>
      <c r="F129" s="379" t="s">
        <v>284</v>
      </c>
      <c r="G129" s="380">
        <v>45667</v>
      </c>
      <c r="H129" s="381">
        <v>45729</v>
      </c>
      <c r="I129" s="300">
        <f t="shared" ca="1" si="16"/>
        <v>1.8568757803509795E-2</v>
      </c>
      <c r="J129" s="382">
        <v>219</v>
      </c>
      <c r="K129" s="324">
        <v>236.5</v>
      </c>
      <c r="L129" s="383">
        <f>3000/K129</f>
        <v>12.684989429175475</v>
      </c>
      <c r="M129" s="313">
        <f t="shared" si="25"/>
        <v>3000</v>
      </c>
      <c r="N129" s="384">
        <f t="shared" si="17"/>
        <v>2778.0126849894291</v>
      </c>
      <c r="O129" s="384">
        <f t="shared" si="18"/>
        <v>-221.98731501057091</v>
      </c>
      <c r="P129" s="254">
        <f t="shared" si="19"/>
        <v>-7.3995771670190225E-2</v>
      </c>
      <c r="Q129" s="282">
        <f t="shared" si="20"/>
        <v>62</v>
      </c>
      <c r="R129" s="31" t="s">
        <v>62</v>
      </c>
      <c r="Y129" s="14"/>
      <c r="Z129" s="14"/>
      <c r="AA129" s="14"/>
      <c r="AB129" s="14"/>
      <c r="AC129" s="14"/>
      <c r="AD129" s="14"/>
      <c r="AE129" s="14"/>
      <c r="AF129" s="14"/>
      <c r="AG129" s="14"/>
      <c r="AH129" s="29"/>
      <c r="AI129" s="29"/>
      <c r="AJ129" s="29"/>
      <c r="AK129" s="29"/>
      <c r="AL129" s="14"/>
      <c r="AM129" s="14"/>
      <c r="AN129" s="332"/>
      <c r="AO129" s="332"/>
      <c r="AP129" s="332"/>
      <c r="AQ129" s="332"/>
      <c r="AR129" s="332"/>
      <c r="AS129" s="332"/>
      <c r="AT129" s="332"/>
      <c r="AU129" s="28"/>
      <c r="AV129" s="332"/>
      <c r="AW129" s="28"/>
      <c r="AX129" s="332"/>
      <c r="AY129" s="359">
        <v>44616</v>
      </c>
      <c r="AZ129" s="403">
        <v>2.9000000000000001E-2</v>
      </c>
      <c r="BA129" s="403">
        <v>5.2999999999999999E-2</v>
      </c>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row>
    <row r="130" spans="1:79" ht="15.75" customHeight="1">
      <c r="A130" s="14"/>
      <c r="B130" s="7" t="s">
        <v>285</v>
      </c>
      <c r="C130" s="377" t="str">
        <f ca="1">IFERROR(__xludf.DUMMYFUNCTION("GoogleFinance(B130,""name"")"),"Alphabet Inc Class A")</f>
        <v>Alphabet Inc Class A</v>
      </c>
      <c r="D130" s="378">
        <f ca="1">IFERROR(__xludf.DUMMYFUNCTION("GoogleFinance(B130,""marketcap"")/1000000"),2985902.562886)</f>
        <v>2985902.5628860001</v>
      </c>
      <c r="E130" s="379" t="s">
        <v>13</v>
      </c>
      <c r="F130" s="379" t="s">
        <v>24</v>
      </c>
      <c r="G130" s="380">
        <v>45713</v>
      </c>
      <c r="H130" s="381">
        <v>45729</v>
      </c>
      <c r="I130" s="300">
        <f t="shared" ca="1" si="16"/>
        <v>2.1713206869594333E-2</v>
      </c>
      <c r="J130" s="382">
        <v>164</v>
      </c>
      <c r="K130" s="324">
        <v>176.7</v>
      </c>
      <c r="L130" s="383">
        <f>3500/K130</f>
        <v>19.807583474816074</v>
      </c>
      <c r="M130" s="313">
        <f t="shared" si="25"/>
        <v>3500</v>
      </c>
      <c r="N130" s="384">
        <f t="shared" si="17"/>
        <v>3248.4436898698359</v>
      </c>
      <c r="O130" s="384">
        <f t="shared" si="18"/>
        <v>-251.55631013016409</v>
      </c>
      <c r="P130" s="254">
        <f t="shared" si="19"/>
        <v>-7.1873231465761078E-2</v>
      </c>
      <c r="Q130" s="282">
        <f t="shared" si="20"/>
        <v>16</v>
      </c>
      <c r="R130" s="31" t="s">
        <v>62</v>
      </c>
      <c r="Y130" s="14"/>
      <c r="Z130" s="14"/>
      <c r="AA130" s="14"/>
      <c r="AB130" s="14"/>
      <c r="AC130" s="14"/>
      <c r="AD130" s="14"/>
      <c r="AE130" s="14"/>
      <c r="AF130" s="14"/>
      <c r="AG130" s="14"/>
      <c r="AH130" s="29"/>
      <c r="AI130" s="29"/>
      <c r="AJ130" s="29"/>
      <c r="AK130" s="29"/>
      <c r="AL130" s="14"/>
      <c r="AM130" s="14"/>
      <c r="AN130" s="332"/>
      <c r="AO130" s="332"/>
      <c r="AP130" s="332"/>
      <c r="AQ130" s="332"/>
      <c r="AR130" s="332"/>
      <c r="AS130" s="332"/>
      <c r="AT130" s="332"/>
      <c r="AU130" s="28"/>
      <c r="AV130" s="332"/>
      <c r="AW130" s="28"/>
      <c r="AX130" s="332"/>
      <c r="AY130" s="359">
        <v>44644</v>
      </c>
      <c r="AZ130" s="403">
        <v>3.3000000000000002E-2</v>
      </c>
      <c r="BA130" s="403">
        <v>0.03</v>
      </c>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row>
    <row r="131" spans="1:79" ht="15.75" customHeight="1">
      <c r="A131" s="14"/>
      <c r="B131" s="7" t="s">
        <v>207</v>
      </c>
      <c r="C131" s="377" t="str">
        <f ca="1">IFERROR(__xludf.DUMMYFUNCTION("GoogleFinance(B131,""name"")"),"JPMorgan Equity Focus ETF")</f>
        <v>JPMorgan Equity Focus ETF</v>
      </c>
      <c r="D131" s="378" t="str">
        <f ca="1">IFERROR(__xludf.DUMMYFUNCTION("GoogleFinance(B131,""marketcap"")/1000000"),"#N/A")</f>
        <v>#N/A</v>
      </c>
      <c r="E131" s="379" t="s">
        <v>80</v>
      </c>
      <c r="F131" s="379"/>
      <c r="G131" s="380">
        <v>45727</v>
      </c>
      <c r="H131" s="381">
        <v>45735</v>
      </c>
      <c r="I131" s="300">
        <f t="shared" ca="1" si="16"/>
        <v>2.7005799259723681E-2</v>
      </c>
      <c r="J131" s="382">
        <v>64.239999999999995</v>
      </c>
      <c r="K131" s="324">
        <v>63.6</v>
      </c>
      <c r="L131" s="383">
        <f>M131/K131</f>
        <v>62.893081761006286</v>
      </c>
      <c r="M131" s="313">
        <v>4000</v>
      </c>
      <c r="N131" s="384">
        <f t="shared" si="17"/>
        <v>4040.2515723270435</v>
      </c>
      <c r="O131" s="384">
        <f t="shared" si="18"/>
        <v>40.251572327043505</v>
      </c>
      <c r="P131" s="254">
        <f t="shared" si="19"/>
        <v>1.0062893081761004E-2</v>
      </c>
      <c r="Q131" s="282">
        <f t="shared" si="20"/>
        <v>8</v>
      </c>
      <c r="R131" s="31" t="s">
        <v>281</v>
      </c>
      <c r="Y131" s="14"/>
      <c r="Z131" s="14"/>
      <c r="AA131" s="14"/>
      <c r="AB131" s="14"/>
      <c r="AC131" s="14"/>
      <c r="AD131" s="14"/>
      <c r="AE131" s="14"/>
      <c r="AF131" s="14"/>
      <c r="AG131" s="14"/>
      <c r="AH131" s="29"/>
      <c r="AI131" s="29"/>
      <c r="AJ131" s="29"/>
      <c r="AK131" s="29"/>
      <c r="AL131" s="14"/>
      <c r="AM131" s="14"/>
      <c r="AN131" s="332"/>
      <c r="AO131" s="332"/>
      <c r="AP131" s="332"/>
      <c r="AQ131" s="332"/>
      <c r="AR131" s="332"/>
      <c r="AS131" s="332"/>
      <c r="AT131" s="332"/>
      <c r="AU131" s="28"/>
      <c r="AV131" s="332"/>
      <c r="AW131" s="28"/>
      <c r="AX131" s="332"/>
      <c r="AY131" s="359">
        <v>44675</v>
      </c>
      <c r="AZ131" s="403">
        <v>8.9999999999999993E-3</v>
      </c>
      <c r="BA131" s="299">
        <v>-4.2000000000000003E-2</v>
      </c>
      <c r="BC131" s="404"/>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row>
    <row r="132" spans="1:79" ht="15.75" customHeight="1">
      <c r="A132" s="14"/>
      <c r="B132" s="270" t="s">
        <v>286</v>
      </c>
      <c r="C132" s="405" t="str">
        <f ca="1">IFERROR(__xludf.DUMMYFUNCTION("GoogleFinance(B132,""name"")"),"Baidu Inc")</f>
        <v>Baidu Inc</v>
      </c>
      <c r="D132" s="272">
        <f ca="1">IFERROR(__xludf.DUMMYFUNCTION("GoogleFinance(B132,""marketcap"")/1000000"),368997.153)</f>
        <v>368997.15299999999</v>
      </c>
      <c r="E132" s="273" t="s">
        <v>13</v>
      </c>
      <c r="F132" s="273" t="s">
        <v>24</v>
      </c>
      <c r="G132" s="274">
        <v>45383</v>
      </c>
      <c r="H132" s="381">
        <v>45736</v>
      </c>
      <c r="I132" s="276">
        <f t="shared" ca="1" si="16"/>
        <v>2.5266228940036002E-2</v>
      </c>
      <c r="J132" s="277">
        <v>94.5</v>
      </c>
      <c r="K132" s="278">
        <v>105.4</v>
      </c>
      <c r="L132" s="279">
        <v>40</v>
      </c>
      <c r="M132" s="280">
        <f t="shared" ref="M132:M134" si="27">L132*K132</f>
        <v>4216</v>
      </c>
      <c r="N132" s="281">
        <f t="shared" si="17"/>
        <v>3780</v>
      </c>
      <c r="O132" s="406">
        <f t="shared" si="18"/>
        <v>-436</v>
      </c>
      <c r="P132" s="407">
        <f t="shared" si="19"/>
        <v>-0.10341555977229611</v>
      </c>
      <c r="Q132" s="282">
        <f t="shared" si="20"/>
        <v>353</v>
      </c>
      <c r="R132" s="31" t="s">
        <v>281</v>
      </c>
      <c r="Y132" s="14"/>
      <c r="Z132" s="14"/>
      <c r="AA132" s="14"/>
      <c r="AB132" s="14"/>
      <c r="AC132" s="14"/>
      <c r="AD132" s="14"/>
      <c r="AE132" s="14"/>
      <c r="AF132" s="14"/>
      <c r="AG132" s="14"/>
      <c r="AH132" s="29"/>
      <c r="AI132" s="29"/>
      <c r="AJ132" s="29"/>
      <c r="AK132" s="29"/>
      <c r="AL132" s="14"/>
      <c r="AM132" s="14"/>
      <c r="AN132" s="332"/>
      <c r="AO132" s="332"/>
      <c r="AP132" s="332"/>
      <c r="AQ132" s="332"/>
      <c r="AR132" s="332"/>
      <c r="AS132" s="332"/>
      <c r="AT132" s="332"/>
      <c r="AU132" s="28"/>
      <c r="AV132" s="332"/>
      <c r="AW132" s="28"/>
      <c r="AX132" s="332"/>
      <c r="AY132" s="359">
        <v>44705</v>
      </c>
      <c r="AZ132" s="403">
        <v>1.0999999999999999E-2</v>
      </c>
      <c r="BA132" s="299">
        <v>5.0999999999999997E-2</v>
      </c>
      <c r="BC132" s="408">
        <v>100000</v>
      </c>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row>
    <row r="133" spans="1:79" ht="15.75" customHeight="1">
      <c r="A133" s="14"/>
      <c r="B133" s="270" t="s">
        <v>287</v>
      </c>
      <c r="C133" s="271" t="str">
        <f ca="1">IFERROR(__xludf.DUMMYFUNCTION("GoogleFinance(B133,""name"")"),"PDD Holdings Inc - ADR")</f>
        <v>PDD Holdings Inc - ADR</v>
      </c>
      <c r="D133" s="272">
        <f ca="1">IFERROR(__xludf.DUMMYFUNCTION("GoogleFinance(B133,""marketcap"")/1000000"),184539.791338)</f>
        <v>184539.79133800001</v>
      </c>
      <c r="E133" s="273" t="s">
        <v>128</v>
      </c>
      <c r="F133" s="273" t="s">
        <v>24</v>
      </c>
      <c r="G133" s="274">
        <v>45727</v>
      </c>
      <c r="H133" s="381">
        <v>45736</v>
      </c>
      <c r="I133" s="276">
        <f t="shared" ca="1" si="16"/>
        <v>2.5587069942449157E-2</v>
      </c>
      <c r="J133" s="277">
        <v>127.6</v>
      </c>
      <c r="K133" s="278">
        <v>116.4</v>
      </c>
      <c r="L133" s="279">
        <v>30</v>
      </c>
      <c r="M133" s="280">
        <f t="shared" si="27"/>
        <v>3492</v>
      </c>
      <c r="N133" s="281">
        <f t="shared" si="17"/>
        <v>3828</v>
      </c>
      <c r="O133" s="281">
        <f t="shared" si="18"/>
        <v>336</v>
      </c>
      <c r="P133" s="275">
        <f t="shared" si="19"/>
        <v>9.6219931271477543E-2</v>
      </c>
      <c r="Q133" s="282">
        <f t="shared" si="20"/>
        <v>9</v>
      </c>
      <c r="R133" s="31" t="s">
        <v>281</v>
      </c>
      <c r="S133" s="25"/>
      <c r="T133" s="25"/>
      <c r="U133" s="25"/>
      <c r="V133" s="25"/>
      <c r="W133" s="25"/>
      <c r="X133" s="25"/>
      <c r="Y133" s="14"/>
      <c r="Z133" s="14"/>
      <c r="AA133" s="14"/>
      <c r="AB133" s="14"/>
      <c r="AC133" s="14"/>
      <c r="AD133" s="14"/>
      <c r="AE133" s="14"/>
      <c r="AF133" s="14"/>
      <c r="AG133" s="14"/>
      <c r="AH133" s="29"/>
      <c r="AI133" s="29"/>
      <c r="AJ133" s="29"/>
      <c r="AK133" s="29"/>
      <c r="AL133" s="14"/>
      <c r="AM133" s="14"/>
      <c r="AN133" s="332"/>
      <c r="AO133" s="332"/>
      <c r="AP133" s="332"/>
      <c r="AQ133" s="332"/>
      <c r="AR133" s="332"/>
      <c r="AS133" s="332"/>
      <c r="AT133" s="332"/>
      <c r="AU133" s="28"/>
      <c r="AV133" s="332"/>
      <c r="AW133" s="28"/>
      <c r="AX133" s="332"/>
      <c r="AY133" s="359">
        <v>44736</v>
      </c>
      <c r="AZ133" s="403">
        <v>-3.0000000000000001E-3</v>
      </c>
      <c r="BA133" s="299">
        <v>3.2000000000000001E-2</v>
      </c>
      <c r="BB133" s="40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row>
    <row r="134" spans="1:79" ht="15.75" customHeight="1">
      <c r="A134" s="14"/>
      <c r="B134" s="270" t="s">
        <v>25</v>
      </c>
      <c r="C134" s="271" t="str">
        <f ca="1">IFERROR(__xludf.DUMMYFUNCTION("GoogleFinance(B134,""name"")"),"VanEck Gold Miners ETF")</f>
        <v>VanEck Gold Miners ETF</v>
      </c>
      <c r="D134" s="272" t="str">
        <f ca="1">IFERROR(__xludf.DUMMYFUNCTION("GoogleFinance(B134,""marketcap"")/1000000"),"#N/A")</f>
        <v>#N/A</v>
      </c>
      <c r="E134" s="273" t="s">
        <v>12</v>
      </c>
      <c r="F134" s="273" t="s">
        <v>288</v>
      </c>
      <c r="G134" s="274">
        <v>45498</v>
      </c>
      <c r="H134" s="381">
        <v>45736</v>
      </c>
      <c r="I134" s="276">
        <f t="shared" ca="1" si="16"/>
        <v>2.7070959578610002E-2</v>
      </c>
      <c r="J134" s="277">
        <v>45</v>
      </c>
      <c r="K134" s="278">
        <v>36.299999999999997</v>
      </c>
      <c r="L134" s="279">
        <v>90</v>
      </c>
      <c r="M134" s="280">
        <f t="shared" si="27"/>
        <v>3266.9999999999995</v>
      </c>
      <c r="N134" s="281">
        <f t="shared" si="17"/>
        <v>4050</v>
      </c>
      <c r="O134" s="281">
        <f t="shared" si="18"/>
        <v>783.00000000000045</v>
      </c>
      <c r="P134" s="275">
        <f t="shared" si="19"/>
        <v>0.2396694214876034</v>
      </c>
      <c r="Q134" s="282">
        <f t="shared" si="20"/>
        <v>238</v>
      </c>
      <c r="R134" s="31" t="s">
        <v>281</v>
      </c>
      <c r="S134" s="25"/>
      <c r="T134" s="25"/>
      <c r="U134" s="25"/>
      <c r="V134" s="25"/>
      <c r="W134" s="25"/>
      <c r="X134" s="25"/>
      <c r="Y134" s="14"/>
      <c r="Z134" s="14"/>
      <c r="AA134" s="14"/>
      <c r="AB134" s="14"/>
      <c r="AC134" s="14"/>
      <c r="AD134" s="14"/>
      <c r="AE134" s="14"/>
      <c r="AF134" s="14"/>
      <c r="AG134" s="14"/>
      <c r="AH134" s="29"/>
      <c r="AI134" s="29"/>
      <c r="AJ134" s="29"/>
      <c r="AK134" s="29"/>
      <c r="AL134" s="14"/>
      <c r="AM134" s="14"/>
      <c r="AN134" s="332"/>
      <c r="AO134" s="332"/>
      <c r="AP134" s="332"/>
      <c r="AQ134" s="332"/>
      <c r="AR134" s="332"/>
      <c r="AS134" s="332"/>
      <c r="AT134" s="332"/>
      <c r="AU134" s="28"/>
      <c r="AV134" s="332"/>
      <c r="AW134" s="28"/>
      <c r="AX134" s="332"/>
      <c r="AY134" s="359">
        <v>44766</v>
      </c>
      <c r="AZ134" s="403">
        <v>3.3000000000000002E-2</v>
      </c>
      <c r="BA134" s="299">
        <v>1.2E-2</v>
      </c>
      <c r="BB134" s="40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row>
    <row r="135" spans="1:79" ht="15.75" customHeight="1">
      <c r="A135" s="14"/>
      <c r="B135" s="270" t="s">
        <v>27</v>
      </c>
      <c r="C135" s="271" t="str">
        <f ca="1">IFERROR(__xludf.DUMMYFUNCTION("GoogleFinance(B135,""name"")"),"Global X Silver Miners ETF")</f>
        <v>Global X Silver Miners ETF</v>
      </c>
      <c r="D135" s="272" t="str">
        <f ca="1">IFERROR(__xludf.DUMMYFUNCTION("GoogleFinance(B135,""marketcap"")/1000000"),"#N/A")</f>
        <v>#N/A</v>
      </c>
      <c r="E135" s="273" t="s">
        <v>12</v>
      </c>
      <c r="F135" s="273" t="s">
        <v>288</v>
      </c>
      <c r="G135" s="274">
        <v>45687</v>
      </c>
      <c r="H135" s="381">
        <v>45736</v>
      </c>
      <c r="I135" s="276">
        <f t="shared" ca="1" si="16"/>
        <v>1.5169787348139743E-2</v>
      </c>
      <c r="J135" s="277">
        <v>40</v>
      </c>
      <c r="K135" s="278">
        <v>35.25</v>
      </c>
      <c r="L135" s="279">
        <f>M135/K135</f>
        <v>56.737588652482266</v>
      </c>
      <c r="M135" s="280">
        <v>2000</v>
      </c>
      <c r="N135" s="281">
        <f t="shared" si="17"/>
        <v>2269.5035460992908</v>
      </c>
      <c r="O135" s="281">
        <f t="shared" si="18"/>
        <v>269.50354609929082</v>
      </c>
      <c r="P135" s="275">
        <f t="shared" si="19"/>
        <v>0.13475177304964547</v>
      </c>
      <c r="Q135" s="282">
        <f t="shared" si="20"/>
        <v>49</v>
      </c>
      <c r="R135" s="31" t="s">
        <v>281</v>
      </c>
      <c r="S135" s="25"/>
      <c r="T135" s="25"/>
      <c r="U135" s="25"/>
      <c r="V135" s="25"/>
      <c r="W135" s="25"/>
      <c r="X135" s="25"/>
      <c r="Y135" s="14"/>
      <c r="Z135" s="14"/>
      <c r="AA135" s="14"/>
      <c r="AB135" s="14"/>
      <c r="AC135" s="14"/>
      <c r="AD135" s="14"/>
      <c r="AE135" s="14"/>
      <c r="AF135" s="14"/>
      <c r="AG135" s="14"/>
      <c r="AH135" s="29"/>
      <c r="AI135" s="29"/>
      <c r="AJ135" s="29"/>
      <c r="AK135" s="29"/>
      <c r="AL135" s="14"/>
      <c r="AM135" s="14"/>
      <c r="AN135" s="332"/>
      <c r="AO135" s="332"/>
      <c r="AP135" s="332"/>
      <c r="AQ135" s="332"/>
      <c r="AR135" s="332"/>
      <c r="AS135" s="332"/>
      <c r="AT135" s="332"/>
      <c r="AU135" s="28"/>
      <c r="AV135" s="332"/>
      <c r="AW135" s="28"/>
      <c r="AX135" s="332"/>
      <c r="AY135" s="359">
        <v>44797</v>
      </c>
      <c r="AZ135" s="403">
        <v>3.5999999999999997E-2</v>
      </c>
      <c r="BA135" s="299">
        <v>2.3E-2</v>
      </c>
      <c r="BB135" s="40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row>
    <row r="136" spans="1:79" ht="15.75" customHeight="1">
      <c r="A136" s="14"/>
      <c r="B136" s="270" t="s">
        <v>40</v>
      </c>
      <c r="C136" s="271" t="str">
        <f ca="1">IFERROR(__xludf.DUMMYFUNCTION("GoogleFinance(B136,""name"")"),"iShares Silver Trust")</f>
        <v>iShares Silver Trust</v>
      </c>
      <c r="D136" s="272">
        <f ca="1">IFERROR(__xludf.DUMMYFUNCTION("GoogleFinance(B136,""marketcap"")/1000000"),16781.674244)</f>
        <v>16781.674244000002</v>
      </c>
      <c r="E136" s="273" t="s">
        <v>38</v>
      </c>
      <c r="F136" s="273" t="s">
        <v>41</v>
      </c>
      <c r="G136" s="274">
        <v>45498</v>
      </c>
      <c r="H136" s="381">
        <v>45736</v>
      </c>
      <c r="I136" s="276">
        <f t="shared" ca="1" si="16"/>
        <v>3.0580158042503892E-2</v>
      </c>
      <c r="J136" s="277">
        <v>30.5</v>
      </c>
      <c r="K136" s="278">
        <v>25.4</v>
      </c>
      <c r="L136" s="279">
        <v>150</v>
      </c>
      <c r="M136" s="280">
        <f t="shared" ref="M136:M163" si="28">L136*K136</f>
        <v>3810</v>
      </c>
      <c r="N136" s="281">
        <f t="shared" si="17"/>
        <v>4575</v>
      </c>
      <c r="O136" s="281">
        <f t="shared" si="18"/>
        <v>765</v>
      </c>
      <c r="P136" s="275">
        <f t="shared" si="19"/>
        <v>0.20078740157480324</v>
      </c>
      <c r="Q136" s="282">
        <f t="shared" si="20"/>
        <v>238</v>
      </c>
      <c r="R136" s="31" t="s">
        <v>281</v>
      </c>
      <c r="S136" s="25"/>
      <c r="T136" s="25"/>
      <c r="U136" s="25"/>
      <c r="V136" s="25"/>
      <c r="W136" s="25"/>
      <c r="X136" s="25"/>
      <c r="Y136" s="14"/>
      <c r="Z136" s="14"/>
      <c r="AA136" s="14"/>
      <c r="AB136" s="14"/>
      <c r="AC136" s="14"/>
      <c r="AD136" s="14"/>
      <c r="AE136" s="14"/>
      <c r="AF136" s="14"/>
      <c r="AG136" s="14"/>
      <c r="AH136" s="29"/>
      <c r="AI136" s="29"/>
      <c r="AJ136" s="29"/>
      <c r="AK136" s="29"/>
      <c r="AL136" s="14"/>
      <c r="AM136" s="14"/>
      <c r="AN136" s="332"/>
      <c r="AO136" s="332"/>
      <c r="AP136" s="332"/>
      <c r="AQ136" s="332"/>
      <c r="AR136" s="332"/>
      <c r="AS136" s="332"/>
      <c r="AT136" s="332"/>
      <c r="AU136" s="28"/>
      <c r="AV136" s="332"/>
      <c r="AW136" s="28"/>
      <c r="AX136" s="332"/>
      <c r="AY136" s="359">
        <v>44828</v>
      </c>
      <c r="AZ136" s="403">
        <v>2.7E-2</v>
      </c>
      <c r="BA136" s="299">
        <v>2.7E-2</v>
      </c>
      <c r="BB136" s="40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row>
    <row r="137" spans="1:79" ht="15.75" customHeight="1">
      <c r="A137" s="14"/>
      <c r="B137" s="7" t="s">
        <v>132</v>
      </c>
      <c r="C137" s="377" t="str">
        <f ca="1">IFERROR(__xludf.DUMMYFUNCTION("GoogleFinance(B137,""name"")"),"MercadoLibre Inc")</f>
        <v>MercadoLibre Inc</v>
      </c>
      <c r="D137" s="378">
        <f ca="1">IFERROR(__xludf.DUMMYFUNCTION("GoogleFinance(B137,""marketcap"")/1000000"),125142.37341)</f>
        <v>125142.37341</v>
      </c>
      <c r="E137" s="379" t="s">
        <v>128</v>
      </c>
      <c r="F137" s="379" t="s">
        <v>289</v>
      </c>
      <c r="G137" s="380">
        <v>45603</v>
      </c>
      <c r="H137" s="381">
        <v>45741</v>
      </c>
      <c r="I137" s="300">
        <f t="shared" ca="1" si="16"/>
        <v>8.4857310265724455E-3</v>
      </c>
      <c r="J137" s="382">
        <v>2190</v>
      </c>
      <c r="K137" s="324">
        <v>1812</v>
      </c>
      <c r="L137" s="383">
        <f>2500/K137-0.8</f>
        <v>0.57969094922737296</v>
      </c>
      <c r="M137" s="313">
        <f t="shared" si="28"/>
        <v>1050.3999999999999</v>
      </c>
      <c r="N137" s="384">
        <f t="shared" si="17"/>
        <v>1269.5231788079468</v>
      </c>
      <c r="O137" s="384">
        <f t="shared" si="18"/>
        <v>219.12317880794694</v>
      </c>
      <c r="P137" s="254">
        <f t="shared" si="19"/>
        <v>0.20860927152317887</v>
      </c>
      <c r="Q137" s="282">
        <f t="shared" si="20"/>
        <v>138</v>
      </c>
      <c r="R137" s="31" t="s">
        <v>281</v>
      </c>
      <c r="S137" s="25"/>
      <c r="T137" s="25"/>
      <c r="U137" s="25"/>
      <c r="V137" s="25"/>
      <c r="W137" s="25"/>
      <c r="X137" s="25"/>
      <c r="Y137" s="14"/>
      <c r="Z137" s="14"/>
      <c r="AA137" s="14"/>
      <c r="AB137" s="14"/>
      <c r="AC137" s="14"/>
      <c r="AD137" s="14"/>
      <c r="AE137" s="14"/>
      <c r="AF137" s="14"/>
      <c r="AG137" s="14"/>
      <c r="AH137" s="29"/>
      <c r="AI137" s="29"/>
      <c r="AJ137" s="29"/>
      <c r="AK137" s="29"/>
      <c r="AL137" s="14"/>
      <c r="AM137" s="14"/>
      <c r="AN137" s="332"/>
      <c r="AO137" s="332"/>
      <c r="AP137" s="332"/>
      <c r="AQ137" s="332"/>
      <c r="AR137" s="332"/>
      <c r="AS137" s="332"/>
      <c r="AT137" s="332"/>
      <c r="AU137" s="28"/>
      <c r="AV137" s="332"/>
      <c r="AW137" s="28"/>
      <c r="AX137" s="332"/>
      <c r="AY137" s="359">
        <v>44858</v>
      </c>
      <c r="AZ137" s="403">
        <v>-1E-3</v>
      </c>
      <c r="BA137" s="299">
        <v>-1.2999999999999999E-2</v>
      </c>
      <c r="BB137" s="40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row>
    <row r="138" spans="1:79" ht="15.75" customHeight="1">
      <c r="A138" s="14"/>
      <c r="B138" s="7" t="s">
        <v>290</v>
      </c>
      <c r="C138" s="377" t="str">
        <f ca="1">IFERROR(__xludf.DUMMYFUNCTION("GoogleFinance(B138,""name"")"),"Freeport-McMoRan Inc")</f>
        <v>Freeport-McMoRan Inc</v>
      </c>
      <c r="D138" s="378">
        <f ca="1">IFERROR(__xludf.DUMMYFUNCTION("GoogleFinance(B138,""marketcap"")/1000000"),51328.9205)</f>
        <v>51328.9205</v>
      </c>
      <c r="E138" s="379" t="s">
        <v>12</v>
      </c>
      <c r="F138" s="379" t="s">
        <v>291</v>
      </c>
      <c r="G138" s="380">
        <v>45695</v>
      </c>
      <c r="H138" s="381">
        <v>45750</v>
      </c>
      <c r="I138" s="300">
        <f t="shared" ca="1" si="16"/>
        <v>2.3773656750974804E-2</v>
      </c>
      <c r="J138" s="382">
        <v>34.5</v>
      </c>
      <c r="K138" s="324">
        <v>38.799999999999997</v>
      </c>
      <c r="L138" s="383">
        <f>4000/K138</f>
        <v>103.09278350515464</v>
      </c>
      <c r="M138" s="313">
        <f t="shared" si="28"/>
        <v>4000</v>
      </c>
      <c r="N138" s="384">
        <f t="shared" si="17"/>
        <v>3556.7010309278353</v>
      </c>
      <c r="O138" s="384">
        <f t="shared" si="18"/>
        <v>-443.29896907216471</v>
      </c>
      <c r="P138" s="254">
        <f t="shared" si="19"/>
        <v>-0.11082474226804118</v>
      </c>
      <c r="Q138" s="282">
        <f t="shared" si="20"/>
        <v>55</v>
      </c>
      <c r="R138" s="31" t="s">
        <v>62</v>
      </c>
      <c r="S138" s="25"/>
      <c r="T138" s="25"/>
      <c r="U138" s="25"/>
      <c r="V138" s="25"/>
      <c r="W138" s="25"/>
      <c r="X138" s="25"/>
      <c r="Y138" s="14"/>
      <c r="Z138" s="14"/>
      <c r="AA138" s="14"/>
      <c r="AB138" s="14"/>
      <c r="AC138" s="14"/>
      <c r="AD138" s="14"/>
      <c r="AE138" s="14"/>
      <c r="AF138" s="14"/>
      <c r="AG138" s="14"/>
      <c r="AH138" s="29"/>
      <c r="AI138" s="29"/>
      <c r="AJ138" s="29"/>
      <c r="AK138" s="29"/>
      <c r="AL138" s="14"/>
      <c r="AM138" s="14"/>
      <c r="AN138" s="332"/>
      <c r="AO138" s="332"/>
      <c r="AP138" s="332"/>
      <c r="AQ138" s="332"/>
      <c r="AR138" s="332"/>
      <c r="AS138" s="332"/>
      <c r="AT138" s="332"/>
      <c r="AU138" s="28"/>
      <c r="AV138" s="332"/>
      <c r="AW138" s="28"/>
      <c r="AX138" s="332"/>
      <c r="AY138" s="359">
        <v>44889</v>
      </c>
      <c r="AZ138" s="403">
        <v>5.0999999999999997E-2</v>
      </c>
      <c r="BA138" s="299">
        <v>0.06</v>
      </c>
      <c r="BB138" s="40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row>
    <row r="139" spans="1:79" ht="15.75" customHeight="1">
      <c r="A139" s="14"/>
      <c r="B139" s="7" t="s">
        <v>292</v>
      </c>
      <c r="C139" s="377" t="str">
        <f ca="1">IFERROR(__xludf.DUMMYFUNCTION("GoogleFinance(B139,""name"")"),"Loma Negra Compania Indl Argntna SA-ADR")</f>
        <v>Loma Negra Compania Indl Argntna SA-ADR</v>
      </c>
      <c r="D139" s="378">
        <f ca="1">IFERROR(__xludf.DUMMYFUNCTION("GoogleFinance(B139,""marketcap"")/1000000"),943.002417)</f>
        <v>943.00241700000004</v>
      </c>
      <c r="E139" s="379" t="s">
        <v>11</v>
      </c>
      <c r="F139" s="379" t="s">
        <v>293</v>
      </c>
      <c r="G139" s="380">
        <v>45574</v>
      </c>
      <c r="H139" s="381">
        <v>45751</v>
      </c>
      <c r="I139" s="300">
        <f t="shared" ca="1" si="16"/>
        <v>1.589580868079447E-2</v>
      </c>
      <c r="J139" s="382">
        <v>10</v>
      </c>
      <c r="K139" s="324">
        <v>8.41</v>
      </c>
      <c r="L139" s="383">
        <f>2000/K139-120+120</f>
        <v>237.81212841854935</v>
      </c>
      <c r="M139" s="313">
        <f t="shared" si="28"/>
        <v>2000</v>
      </c>
      <c r="N139" s="384">
        <f t="shared" si="17"/>
        <v>2378.1212841854936</v>
      </c>
      <c r="O139" s="384">
        <f t="shared" si="18"/>
        <v>378.12128418549355</v>
      </c>
      <c r="P139" s="254">
        <f t="shared" si="19"/>
        <v>0.18906064209274676</v>
      </c>
      <c r="Q139" s="282">
        <f t="shared" si="20"/>
        <v>177</v>
      </c>
      <c r="R139" s="31" t="s">
        <v>62</v>
      </c>
      <c r="S139" s="25"/>
      <c r="T139" s="25"/>
      <c r="U139" s="25"/>
      <c r="V139" s="25"/>
      <c r="W139" s="25"/>
      <c r="X139" s="25"/>
      <c r="Y139" s="14"/>
      <c r="Z139" s="14"/>
      <c r="AA139" s="14"/>
      <c r="AB139" s="14"/>
      <c r="AC139" s="14"/>
      <c r="AD139" s="14"/>
      <c r="AE139" s="14"/>
      <c r="AF139" s="14"/>
      <c r="AG139" s="14"/>
      <c r="AH139" s="29"/>
      <c r="AI139" s="29"/>
      <c r="AJ139" s="29"/>
      <c r="AK139" s="29"/>
      <c r="AL139" s="14"/>
      <c r="AM139" s="14"/>
      <c r="AN139" s="332"/>
      <c r="AO139" s="332"/>
      <c r="AP139" s="332"/>
      <c r="AQ139" s="332"/>
      <c r="AR139" s="332"/>
      <c r="AS139" s="332"/>
      <c r="AT139" s="332"/>
      <c r="AU139" s="28"/>
      <c r="AV139" s="332"/>
      <c r="AW139" s="28"/>
      <c r="AX139" s="332"/>
      <c r="AY139" s="359">
        <v>44919</v>
      </c>
      <c r="AZ139" s="403">
        <v>-3.7999999999999999E-2</v>
      </c>
      <c r="BA139" s="299">
        <v>-2.7E-2</v>
      </c>
      <c r="BB139" s="40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row>
    <row r="140" spans="1:79" ht="15.75" customHeight="1">
      <c r="A140" s="14"/>
      <c r="B140" s="7" t="s">
        <v>294</v>
      </c>
      <c r="C140" s="377" t="str">
        <f ca="1">IFERROR(__xludf.DUMMYFUNCTION("GoogleFinance(B140,""name"")"),"First Trust NASDAQ Oil &amp; Gas ETF")</f>
        <v>First Trust NASDAQ Oil &amp; Gas ETF</v>
      </c>
      <c r="D140" s="378" t="str">
        <f ca="1">IFERROR(__xludf.DUMMYFUNCTION("GoogleFinance(B140,""marketcap"")/1000000"),"#N/A")</f>
        <v>#N/A</v>
      </c>
      <c r="E140" s="379" t="s">
        <v>15</v>
      </c>
      <c r="F140" s="379" t="s">
        <v>295</v>
      </c>
      <c r="G140" s="380">
        <v>45254</v>
      </c>
      <c r="H140" s="381">
        <v>45754</v>
      </c>
      <c r="I140" s="300">
        <f t="shared" ca="1" si="16"/>
        <v>4.5171512882123378E-2</v>
      </c>
      <c r="J140" s="382">
        <v>24.92</v>
      </c>
      <c r="K140" s="324">
        <v>29.5</v>
      </c>
      <c r="L140" s="383">
        <f>8000/K140-50-100+150</f>
        <v>271.18644067796612</v>
      </c>
      <c r="M140" s="313">
        <f t="shared" si="28"/>
        <v>8000.0000000000009</v>
      </c>
      <c r="N140" s="384">
        <f t="shared" si="17"/>
        <v>6757.9661016949158</v>
      </c>
      <c r="O140" s="384">
        <f t="shared" si="18"/>
        <v>-1242.0338983050851</v>
      </c>
      <c r="P140" s="254">
        <f t="shared" si="19"/>
        <v>-0.15525423728813559</v>
      </c>
      <c r="Q140" s="282">
        <f t="shared" si="20"/>
        <v>500</v>
      </c>
      <c r="R140" s="24" t="s">
        <v>296</v>
      </c>
      <c r="S140" s="25"/>
      <c r="T140" s="25"/>
      <c r="U140" s="25"/>
      <c r="V140" s="25"/>
      <c r="W140" s="25"/>
      <c r="X140" s="25"/>
      <c r="Y140" s="14"/>
      <c r="Z140" s="14"/>
      <c r="AA140" s="14"/>
      <c r="AB140" s="14"/>
      <c r="AC140" s="14"/>
      <c r="AD140" s="14"/>
      <c r="AE140" s="14"/>
      <c r="AF140" s="14"/>
      <c r="AG140" s="14"/>
      <c r="AH140" s="29"/>
      <c r="AI140" s="29"/>
      <c r="AJ140" s="29"/>
      <c r="AK140" s="29"/>
      <c r="AL140" s="14"/>
      <c r="AM140" s="14"/>
      <c r="AN140" s="332"/>
      <c r="AO140" s="332"/>
      <c r="AP140" s="332"/>
      <c r="AQ140" s="332"/>
      <c r="AR140" s="332"/>
      <c r="AS140" s="332"/>
      <c r="AT140" s="332"/>
      <c r="AU140" s="28"/>
      <c r="AV140" s="332"/>
      <c r="AW140" s="28"/>
      <c r="AX140" s="332"/>
      <c r="AY140" s="359">
        <v>44951</v>
      </c>
      <c r="AZ140" s="403">
        <v>3.5999999999999997E-2</v>
      </c>
      <c r="BA140" s="299">
        <v>2.7E-2</v>
      </c>
      <c r="BB140" s="40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row>
    <row r="141" spans="1:79" ht="15.75" customHeight="1">
      <c r="A141" s="14"/>
      <c r="B141" s="7" t="s">
        <v>297</v>
      </c>
      <c r="C141" s="377" t="str">
        <f ca="1">IFERROR(__xludf.DUMMYFUNCTION("GoogleFinance(B141,""name"")"),"Occidental Petroleum Corp")</f>
        <v>Occidental Petroleum Corp</v>
      </c>
      <c r="D141" s="378">
        <f ca="1">IFERROR(__xludf.DUMMYFUNCTION("GoogleFinance(B141,""marketcap"")/1000000"),46731.349013)</f>
        <v>46731.349012999999</v>
      </c>
      <c r="E141" s="379" t="s">
        <v>15</v>
      </c>
      <c r="F141" s="379" t="s">
        <v>141</v>
      </c>
      <c r="G141" s="380">
        <v>45652</v>
      </c>
      <c r="H141" s="381">
        <v>45754</v>
      </c>
      <c r="I141" s="300">
        <f t="shared" ca="1" si="16"/>
        <v>2.0893975987966492E-2</v>
      </c>
      <c r="J141" s="382">
        <v>38.799999999999997</v>
      </c>
      <c r="K141" s="324">
        <f>(48.5+50.8)/2</f>
        <v>49.65</v>
      </c>
      <c r="L141" s="383">
        <f>4000/K141</f>
        <v>80.56394763343404</v>
      </c>
      <c r="M141" s="313">
        <f t="shared" si="28"/>
        <v>4000</v>
      </c>
      <c r="N141" s="384">
        <f t="shared" si="17"/>
        <v>3125.8811681772404</v>
      </c>
      <c r="O141" s="384">
        <f t="shared" si="18"/>
        <v>-874.1188318227596</v>
      </c>
      <c r="P141" s="254">
        <f t="shared" si="19"/>
        <v>-0.21852970795568982</v>
      </c>
      <c r="Q141" s="282">
        <f t="shared" si="20"/>
        <v>102</v>
      </c>
      <c r="R141" s="24" t="s">
        <v>296</v>
      </c>
      <c r="S141" s="25"/>
      <c r="T141" s="25"/>
      <c r="U141" s="25"/>
      <c r="V141" s="25"/>
      <c r="W141" s="25"/>
      <c r="X141" s="25"/>
      <c r="Y141" s="14"/>
      <c r="Z141" s="14"/>
      <c r="AA141" s="14"/>
      <c r="AB141" s="14"/>
      <c r="AC141" s="14"/>
      <c r="AD141" s="14"/>
      <c r="AE141" s="14"/>
      <c r="AF141" s="14"/>
      <c r="AG141" s="14"/>
      <c r="AH141" s="29"/>
      <c r="AI141" s="29"/>
      <c r="AJ141" s="29"/>
      <c r="AK141" s="29"/>
      <c r="AL141" s="14"/>
      <c r="AM141" s="14"/>
      <c r="AN141" s="332"/>
      <c r="AO141" s="332"/>
      <c r="AP141" s="332"/>
      <c r="AQ141" s="332"/>
      <c r="AR141" s="332"/>
      <c r="AS141" s="332"/>
      <c r="AT141" s="332"/>
      <c r="AU141" s="28"/>
      <c r="AV141" s="332"/>
      <c r="AW141" s="28"/>
      <c r="AX141" s="332"/>
      <c r="AY141" s="359">
        <v>44982</v>
      </c>
      <c r="AZ141" s="403">
        <v>-4.2000000000000003E-2</v>
      </c>
      <c r="BA141" s="299">
        <v>-1.2999999999999999E-2</v>
      </c>
      <c r="BB141" s="40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row>
    <row r="142" spans="1:79" ht="15.75" customHeight="1">
      <c r="A142" s="14"/>
      <c r="B142" s="7" t="s">
        <v>287</v>
      </c>
      <c r="C142" s="377" t="str">
        <f ca="1">IFERROR(__xludf.DUMMYFUNCTION("GoogleFinance(B142,""name"")"),"PDD Holdings Inc - ADR")</f>
        <v>PDD Holdings Inc - ADR</v>
      </c>
      <c r="D142" s="378">
        <f ca="1">IFERROR(__xludf.DUMMYFUNCTION("GoogleFinance(B142,""marketcap"")/1000000"),184539.791338)</f>
        <v>184539.79133800001</v>
      </c>
      <c r="E142" s="379" t="s">
        <v>128</v>
      </c>
      <c r="F142" s="379" t="s">
        <v>24</v>
      </c>
      <c r="G142" s="380">
        <v>45727</v>
      </c>
      <c r="H142" s="381">
        <v>45756</v>
      </c>
      <c r="I142" s="300">
        <f t="shared" ca="1" si="16"/>
        <v>5.9689794823947484E-3</v>
      </c>
      <c r="J142" s="382">
        <v>94</v>
      </c>
      <c r="K142" s="324">
        <v>116.4</v>
      </c>
      <c r="L142" s="383">
        <f>39.5-30</f>
        <v>9.5</v>
      </c>
      <c r="M142" s="313">
        <f t="shared" si="28"/>
        <v>1105.8</v>
      </c>
      <c r="N142" s="384">
        <f t="shared" si="17"/>
        <v>893</v>
      </c>
      <c r="O142" s="384">
        <f t="shared" si="18"/>
        <v>-212.79999999999995</v>
      </c>
      <c r="P142" s="254">
        <f t="shared" si="19"/>
        <v>-0.19243986254295542</v>
      </c>
      <c r="Q142" s="282">
        <f t="shared" si="20"/>
        <v>29</v>
      </c>
      <c r="R142" s="24" t="s">
        <v>296</v>
      </c>
      <c r="S142" s="25"/>
      <c r="T142" s="25"/>
      <c r="U142" s="25"/>
      <c r="V142" s="25"/>
      <c r="W142" s="25"/>
      <c r="X142" s="25"/>
      <c r="Y142" s="14"/>
      <c r="Z142" s="14"/>
      <c r="AA142" s="14"/>
      <c r="AB142" s="14"/>
      <c r="AC142" s="14"/>
      <c r="AD142" s="14"/>
      <c r="AE142" s="14"/>
      <c r="AF142" s="14"/>
      <c r="AG142" s="14"/>
      <c r="AH142" s="29"/>
      <c r="AI142" s="29"/>
      <c r="AJ142" s="29"/>
      <c r="AK142" s="29"/>
      <c r="AL142" s="14"/>
      <c r="AM142" s="14"/>
      <c r="AN142" s="332"/>
      <c r="AO142" s="332"/>
      <c r="AP142" s="332"/>
      <c r="AQ142" s="332"/>
      <c r="AR142" s="332"/>
      <c r="AS142" s="332"/>
      <c r="AT142" s="332"/>
      <c r="AU142" s="28"/>
      <c r="AV142" s="332"/>
      <c r="AW142" s="28"/>
      <c r="AX142" s="332"/>
      <c r="AY142" s="359">
        <v>45010</v>
      </c>
      <c r="AZ142" s="403">
        <v>0</v>
      </c>
      <c r="BA142" s="299">
        <v>-5.8999999999999997E-2</v>
      </c>
      <c r="BB142" s="40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row>
    <row r="143" spans="1:79" ht="15.75" customHeight="1">
      <c r="A143" s="14"/>
      <c r="B143" s="410" t="s">
        <v>214</v>
      </c>
      <c r="C143" s="411" t="str">
        <f ca="1">IFERROR(__xludf.DUMMYFUNCTION("GoogleFinance(B143,""name"")"),"JPMorgan US Tech Leaders ETF")</f>
        <v>JPMorgan US Tech Leaders ETF</v>
      </c>
      <c r="D143" s="412" t="str">
        <f ca="1">IFERROR(__xludf.DUMMYFUNCTION("GoogleFinance(B143,""marketcap"")/1000000"),"#N/A")</f>
        <v>#N/A</v>
      </c>
      <c r="E143" s="413" t="s">
        <v>7</v>
      </c>
      <c r="F143" s="413" t="s">
        <v>7</v>
      </c>
      <c r="G143" s="414">
        <v>45727</v>
      </c>
      <c r="H143" s="381">
        <v>45756</v>
      </c>
      <c r="I143" s="415">
        <f t="shared" ca="1" si="16"/>
        <v>0.13134428536288556</v>
      </c>
      <c r="J143" s="416">
        <v>65.5</v>
      </c>
      <c r="K143" s="417">
        <f>(18000*67.3+6000*58.5+6000*58)/30000</f>
        <v>63.68</v>
      </c>
      <c r="L143" s="418">
        <v>300</v>
      </c>
      <c r="M143" s="419">
        <f t="shared" si="28"/>
        <v>19104</v>
      </c>
      <c r="N143" s="420">
        <f t="shared" si="17"/>
        <v>19650</v>
      </c>
      <c r="O143" s="421">
        <f t="shared" si="18"/>
        <v>546</v>
      </c>
      <c r="P143" s="422">
        <f t="shared" si="19"/>
        <v>2.8580402010050188E-2</v>
      </c>
      <c r="Q143" s="282">
        <f t="shared" si="20"/>
        <v>29</v>
      </c>
      <c r="R143" s="24" t="s">
        <v>266</v>
      </c>
      <c r="S143" s="25"/>
      <c r="T143" s="25"/>
      <c r="U143" s="25"/>
      <c r="V143" s="25"/>
      <c r="W143" s="25"/>
      <c r="X143" s="25"/>
      <c r="Y143" s="14"/>
      <c r="Z143" s="14"/>
      <c r="AA143" s="14"/>
      <c r="AB143" s="14"/>
      <c r="AC143" s="14"/>
      <c r="AD143" s="14"/>
      <c r="AE143" s="14"/>
      <c r="AF143" s="14"/>
      <c r="AG143" s="14"/>
      <c r="AH143" s="29"/>
      <c r="AI143" s="29"/>
      <c r="AJ143" s="29"/>
      <c r="AK143" s="29"/>
      <c r="AL143" s="14"/>
      <c r="AM143" s="14"/>
      <c r="AN143" s="332"/>
      <c r="AO143" s="332"/>
      <c r="AP143" s="332"/>
      <c r="AQ143" s="332"/>
      <c r="AR143" s="332"/>
      <c r="AS143" s="332"/>
      <c r="AT143" s="332"/>
      <c r="AU143" s="28"/>
      <c r="AV143" s="332"/>
      <c r="AW143" s="28"/>
      <c r="AX143" s="332"/>
      <c r="AY143" s="359">
        <v>45041</v>
      </c>
      <c r="AZ143" s="403">
        <v>0.06</v>
      </c>
      <c r="BA143" s="299">
        <v>-8.9999999999999993E-3</v>
      </c>
      <c r="BB143" s="40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row>
    <row r="144" spans="1:79" ht="15.75" customHeight="1">
      <c r="A144" s="14"/>
      <c r="B144" s="390" t="s">
        <v>218</v>
      </c>
      <c r="C144" s="391" t="str">
        <f ca="1">IFERROR(__xludf.DUMMYFUNCTION("GoogleFinance(B144,""name"")"),"Roundhill Magnificent Seven ETF")</f>
        <v>Roundhill Magnificent Seven ETF</v>
      </c>
      <c r="D144" s="392" t="str">
        <f ca="1">IFERROR(__xludf.DUMMYFUNCTION("GoogleFinance(B144,""marketcap"")/1000000"),"#N/A")</f>
        <v>#N/A</v>
      </c>
      <c r="E144" s="393" t="s">
        <v>7</v>
      </c>
      <c r="F144" s="257" t="s">
        <v>219</v>
      </c>
      <c r="G144" s="380">
        <v>45736</v>
      </c>
      <c r="H144" s="381">
        <v>45756</v>
      </c>
      <c r="I144" s="394">
        <f t="shared" ca="1" si="16"/>
        <v>7.686815682815186E-2</v>
      </c>
      <c r="J144" s="256">
        <v>46</v>
      </c>
      <c r="K144" s="324">
        <f>(47.39*5000+46.6*8000)/13000</f>
        <v>46.903846153846153</v>
      </c>
      <c r="L144" s="383">
        <v>250</v>
      </c>
      <c r="M144" s="313">
        <f t="shared" si="28"/>
        <v>11725.961538461539</v>
      </c>
      <c r="N144" s="395">
        <f t="shared" si="17"/>
        <v>11500</v>
      </c>
      <c r="O144" s="384">
        <f t="shared" si="18"/>
        <v>-225.96153846153902</v>
      </c>
      <c r="P144" s="254">
        <f t="shared" si="19"/>
        <v>-1.927019270192698E-2</v>
      </c>
      <c r="Q144" s="282">
        <f t="shared" si="20"/>
        <v>20</v>
      </c>
      <c r="R144" s="24" t="s">
        <v>266</v>
      </c>
      <c r="S144" s="25"/>
      <c r="T144" s="25"/>
      <c r="U144" s="25"/>
      <c r="V144" s="25"/>
      <c r="W144" s="25"/>
      <c r="X144" s="25"/>
      <c r="Y144" s="14"/>
      <c r="Z144" s="14"/>
      <c r="AA144" s="14"/>
      <c r="AB144" s="14"/>
      <c r="AC144" s="14"/>
      <c r="AD144" s="14"/>
      <c r="AE144" s="14"/>
      <c r="AF144" s="14"/>
      <c r="AG144" s="14"/>
      <c r="AH144" s="29"/>
      <c r="AI144" s="29"/>
      <c r="AJ144" s="29"/>
      <c r="AK144" s="29"/>
      <c r="AL144" s="14"/>
      <c r="AM144" s="14"/>
      <c r="AN144" s="332"/>
      <c r="AO144" s="332"/>
      <c r="AP144" s="332"/>
      <c r="AQ144" s="332"/>
      <c r="AR144" s="332"/>
      <c r="AS144" s="332"/>
      <c r="AT144" s="332"/>
      <c r="AU144" s="28"/>
      <c r="AV144" s="332"/>
      <c r="AW144" s="28"/>
      <c r="AX144" s="332"/>
      <c r="AY144" s="359">
        <v>45071</v>
      </c>
      <c r="AZ144" s="403">
        <v>6.2E-2</v>
      </c>
      <c r="BA144" s="299">
        <v>6.3E-2</v>
      </c>
      <c r="BB144" s="40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row>
    <row r="145" spans="1:79" ht="15.75" customHeight="1">
      <c r="A145" s="14"/>
      <c r="B145" s="390" t="s">
        <v>214</v>
      </c>
      <c r="C145" s="391" t="str">
        <f ca="1">IFERROR(__xludf.DUMMYFUNCTION("GoogleFinance(B145,""name"")"),"JPMorgan US Tech Leaders ETF")</f>
        <v>JPMorgan US Tech Leaders ETF</v>
      </c>
      <c r="D145" s="392" t="str">
        <f ca="1">IFERROR(__xludf.DUMMYFUNCTION("GoogleFinance(B145,""marketcap"")/1000000"),"#N/A")</f>
        <v>#N/A</v>
      </c>
      <c r="E145" s="393" t="s">
        <v>7</v>
      </c>
      <c r="F145" s="393" t="s">
        <v>7</v>
      </c>
      <c r="G145" s="380">
        <v>45727</v>
      </c>
      <c r="H145" s="381">
        <v>45762</v>
      </c>
      <c r="I145" s="394">
        <f t="shared" ca="1" si="16"/>
        <v>4.3647744703289706E-2</v>
      </c>
      <c r="J145" s="256">
        <v>65.3</v>
      </c>
      <c r="K145" s="324">
        <f>(18000*67.3+6000*58.5+6000*58)/30000</f>
        <v>63.68</v>
      </c>
      <c r="L145" s="383">
        <v>100</v>
      </c>
      <c r="M145" s="313">
        <f t="shared" si="28"/>
        <v>6368</v>
      </c>
      <c r="N145" s="395">
        <f t="shared" si="17"/>
        <v>6530</v>
      </c>
      <c r="O145" s="384">
        <f t="shared" si="18"/>
        <v>162</v>
      </c>
      <c r="P145" s="254">
        <f t="shared" si="19"/>
        <v>2.5439698492462304E-2</v>
      </c>
      <c r="Q145" s="282">
        <f t="shared" si="20"/>
        <v>35</v>
      </c>
      <c r="R145" s="24" t="s">
        <v>266</v>
      </c>
      <c r="S145" s="25"/>
      <c r="T145" s="25"/>
      <c r="U145" s="25"/>
      <c r="V145" s="25"/>
      <c r="W145" s="25"/>
      <c r="X145" s="25"/>
      <c r="Y145" s="14"/>
      <c r="Z145" s="14"/>
      <c r="AA145" s="14"/>
      <c r="AB145" s="14"/>
      <c r="AC145" s="14"/>
      <c r="AD145" s="14"/>
      <c r="AE145" s="14"/>
      <c r="AF145" s="14"/>
      <c r="AG145" s="14"/>
      <c r="AH145" s="29"/>
      <c r="AI145" s="29"/>
      <c r="AJ145" s="29"/>
      <c r="AK145" s="29"/>
      <c r="AL145" s="14"/>
      <c r="AM145" s="14"/>
      <c r="AN145" s="332"/>
      <c r="AO145" s="332"/>
      <c r="AP145" s="332"/>
      <c r="AQ145" s="332"/>
      <c r="AR145" s="332"/>
      <c r="AS145" s="332"/>
      <c r="AT145" s="332"/>
      <c r="AU145" s="28"/>
      <c r="AV145" s="332"/>
      <c r="AW145" s="28"/>
      <c r="AX145" s="332"/>
      <c r="AY145" s="359">
        <v>45102</v>
      </c>
      <c r="AZ145" s="403">
        <v>3.5000000000000003E-2</v>
      </c>
      <c r="BA145" s="299">
        <v>4.8000000000000001E-2</v>
      </c>
      <c r="BB145" s="40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row>
    <row r="146" spans="1:79" ht="15.75" customHeight="1">
      <c r="A146" s="14"/>
      <c r="B146" s="390" t="s">
        <v>9</v>
      </c>
      <c r="C146" s="391" t="str">
        <f ca="1">IFERROR(__xludf.DUMMYFUNCTION("GoogleFinance(B146,""name"")"),"Consumer Discretionary Select Sector SPDR Fund")</f>
        <v>Consumer Discretionary Select Sector SPDR Fund</v>
      </c>
      <c r="D146" s="392">
        <f ca="1">IFERROR(__xludf.DUMMYFUNCTION("GoogleFinance(B146,""marketcap"")/1000000"),28358.460866)</f>
        <v>28358.460866000001</v>
      </c>
      <c r="E146" s="379" t="s">
        <v>128</v>
      </c>
      <c r="F146" s="379" t="s">
        <v>128</v>
      </c>
      <c r="G146" s="380">
        <v>45748</v>
      </c>
      <c r="H146" s="381">
        <v>45762</v>
      </c>
      <c r="I146" s="394">
        <f t="shared" ca="1" si="16"/>
        <v>1.9049934518281113E-2</v>
      </c>
      <c r="J146" s="256">
        <v>190</v>
      </c>
      <c r="K146" s="324">
        <f>(199.7+174.4)/2</f>
        <v>187.05</v>
      </c>
      <c r="L146" s="383">
        <v>15</v>
      </c>
      <c r="M146" s="313">
        <f t="shared" si="28"/>
        <v>2805.75</v>
      </c>
      <c r="N146" s="395">
        <f t="shared" si="17"/>
        <v>2850</v>
      </c>
      <c r="O146" s="384">
        <f t="shared" si="18"/>
        <v>44.25</v>
      </c>
      <c r="P146" s="254">
        <f t="shared" si="19"/>
        <v>1.5771184175354058E-2</v>
      </c>
      <c r="Q146" s="282">
        <f t="shared" si="20"/>
        <v>14</v>
      </c>
      <c r="R146" s="24" t="s">
        <v>266</v>
      </c>
      <c r="S146" s="25"/>
      <c r="T146" s="25"/>
      <c r="U146" s="25"/>
      <c r="V146" s="25"/>
      <c r="W146" s="25"/>
      <c r="X146" s="25"/>
      <c r="Y146" s="14"/>
      <c r="Z146" s="14"/>
      <c r="AA146" s="14"/>
      <c r="AB146" s="14"/>
      <c r="AC146" s="14"/>
      <c r="AD146" s="14"/>
      <c r="AE146" s="14"/>
      <c r="AF146" s="14"/>
      <c r="AG146" s="14"/>
      <c r="AH146" s="29"/>
      <c r="AI146" s="29"/>
      <c r="AJ146" s="29"/>
      <c r="AK146" s="29"/>
      <c r="AL146" s="14"/>
      <c r="AM146" s="14"/>
      <c r="AN146" s="332"/>
      <c r="AO146" s="332"/>
      <c r="AP146" s="332"/>
      <c r="AQ146" s="332"/>
      <c r="AR146" s="332"/>
      <c r="AS146" s="332"/>
      <c r="AT146" s="332"/>
      <c r="AU146" s="28"/>
      <c r="AV146" s="332"/>
      <c r="AW146" s="28"/>
      <c r="AX146" s="332"/>
      <c r="AY146" s="359">
        <v>45132</v>
      </c>
      <c r="AZ146" s="403">
        <v>1.0999999999999999E-2</v>
      </c>
      <c r="BA146" s="299">
        <v>2.4E-2</v>
      </c>
      <c r="BB146" s="40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row>
    <row r="147" spans="1:79" ht="15.75" customHeight="1">
      <c r="A147" s="14"/>
      <c r="B147" s="390" t="s">
        <v>218</v>
      </c>
      <c r="C147" s="391" t="str">
        <f ca="1">IFERROR(__xludf.DUMMYFUNCTION("GoogleFinance(B147,""name"")"),"Roundhill Magnificent Seven ETF")</f>
        <v>Roundhill Magnificent Seven ETF</v>
      </c>
      <c r="D147" s="392" t="str">
        <f ca="1">IFERROR(__xludf.DUMMYFUNCTION("GoogleFinance(B147,""marketcap"")/1000000"),"#N/A")</f>
        <v>#N/A</v>
      </c>
      <c r="E147" s="393" t="s">
        <v>7</v>
      </c>
      <c r="F147" s="257" t="s">
        <v>219</v>
      </c>
      <c r="G147" s="380">
        <v>45736</v>
      </c>
      <c r="H147" s="381">
        <v>45762</v>
      </c>
      <c r="I147" s="394">
        <f t="shared" ca="1" si="16"/>
        <v>1.5019369425465846E-2</v>
      </c>
      <c r="J147" s="256">
        <v>44.94</v>
      </c>
      <c r="K147" s="324">
        <f>(47.39*5000+46.6*8000+40.5*3000)/16000</f>
        <v>45.703125</v>
      </c>
      <c r="L147" s="383">
        <v>50</v>
      </c>
      <c r="M147" s="313">
        <f t="shared" si="28"/>
        <v>2285.15625</v>
      </c>
      <c r="N147" s="395">
        <f t="shared" si="17"/>
        <v>2247</v>
      </c>
      <c r="O147" s="384">
        <f t="shared" si="18"/>
        <v>-38.15625</v>
      </c>
      <c r="P147" s="254">
        <f t="shared" si="19"/>
        <v>-1.6697435897435997E-2</v>
      </c>
      <c r="Q147" s="282">
        <f t="shared" si="20"/>
        <v>26</v>
      </c>
      <c r="R147" s="24" t="s">
        <v>266</v>
      </c>
      <c r="S147" s="25"/>
      <c r="T147" s="25"/>
      <c r="U147" s="25"/>
      <c r="V147" s="25"/>
      <c r="W147" s="25"/>
      <c r="X147" s="25"/>
      <c r="Y147" s="14"/>
      <c r="Z147" s="14"/>
      <c r="AA147" s="14"/>
      <c r="AB147" s="14"/>
      <c r="AC147" s="14"/>
      <c r="AD147" s="14"/>
      <c r="AE147" s="14"/>
      <c r="AF147" s="14"/>
      <c r="AG147" s="14"/>
      <c r="AH147" s="29"/>
      <c r="AI147" s="29"/>
      <c r="AJ147" s="29"/>
      <c r="AK147" s="29"/>
      <c r="AL147" s="14"/>
      <c r="AM147" s="14"/>
      <c r="AN147" s="332"/>
      <c r="AO147" s="332"/>
      <c r="AP147" s="332"/>
      <c r="AQ147" s="332"/>
      <c r="AR147" s="332"/>
      <c r="AS147" s="332"/>
      <c r="AT147" s="332"/>
      <c r="AU147" s="28"/>
      <c r="AV147" s="332"/>
      <c r="AW147" s="28"/>
      <c r="AX147" s="332"/>
      <c r="AY147" s="359">
        <v>45163</v>
      </c>
      <c r="AZ147" s="403">
        <v>6.0999999999999999E-2</v>
      </c>
      <c r="BA147" s="299">
        <v>2.1000000000000001E-2</v>
      </c>
      <c r="BB147" s="40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row>
    <row r="148" spans="1:79" ht="15.75" customHeight="1">
      <c r="A148" s="14"/>
      <c r="B148" s="270" t="s">
        <v>25</v>
      </c>
      <c r="C148" s="271" t="str">
        <f ca="1">IFERROR(__xludf.DUMMYFUNCTION("GoogleFinance(B148,""name"")"),"VanEck Gold Miners ETF")</f>
        <v>VanEck Gold Miners ETF</v>
      </c>
      <c r="D148" s="272" t="str">
        <f ca="1">IFERROR(__xludf.DUMMYFUNCTION("GoogleFinance(B148,""marketcap"")/1000000"),"#N/A")</f>
        <v>#N/A</v>
      </c>
      <c r="E148" s="273" t="s">
        <v>12</v>
      </c>
      <c r="F148" s="273" t="s">
        <v>288</v>
      </c>
      <c r="G148" s="274">
        <v>45498</v>
      </c>
      <c r="H148" s="381">
        <v>45762</v>
      </c>
      <c r="I148" s="276">
        <f t="shared" ca="1" si="16"/>
        <v>1.025354370212043E-2</v>
      </c>
      <c r="J148" s="277">
        <v>50.3</v>
      </c>
      <c r="K148" s="278">
        <f>(36.3+42)/2</f>
        <v>39.15</v>
      </c>
      <c r="L148" s="279">
        <v>30</v>
      </c>
      <c r="M148" s="280">
        <f t="shared" si="28"/>
        <v>1174.5</v>
      </c>
      <c r="N148" s="281">
        <f>J148*L148+25</f>
        <v>1534</v>
      </c>
      <c r="O148" s="281">
        <f t="shared" si="18"/>
        <v>359.5</v>
      </c>
      <c r="P148" s="275">
        <f t="shared" si="19"/>
        <v>0.28480204342273296</v>
      </c>
      <c r="Q148" s="282">
        <f t="shared" si="20"/>
        <v>264</v>
      </c>
      <c r="R148" s="24" t="s">
        <v>266</v>
      </c>
      <c r="S148" s="25"/>
      <c r="T148" s="25"/>
      <c r="U148" s="25"/>
      <c r="V148" s="25"/>
      <c r="W148" s="25"/>
      <c r="X148" s="25"/>
      <c r="Y148" s="14"/>
      <c r="Z148" s="14"/>
      <c r="AA148" s="14"/>
      <c r="AB148" s="14"/>
      <c r="AC148" s="14"/>
      <c r="AD148" s="14"/>
      <c r="AE148" s="14"/>
      <c r="AF148" s="14"/>
      <c r="AG148" s="14"/>
      <c r="AH148" s="29"/>
      <c r="AI148" s="29"/>
      <c r="AJ148" s="29"/>
      <c r="AK148" s="29"/>
      <c r="AL148" s="14"/>
      <c r="AM148" s="14"/>
      <c r="AN148" s="332"/>
      <c r="AO148" s="332"/>
      <c r="AP148" s="332"/>
      <c r="AQ148" s="332"/>
      <c r="AR148" s="332"/>
      <c r="AS148" s="332"/>
      <c r="AT148" s="332"/>
      <c r="AU148" s="28"/>
      <c r="AV148" s="332"/>
      <c r="AW148" s="28"/>
      <c r="AX148" s="332"/>
      <c r="AY148" s="359"/>
      <c r="AZ148" s="403"/>
      <c r="BA148" s="299"/>
      <c r="BB148" s="40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row>
    <row r="149" spans="1:79" ht="15.75" customHeight="1">
      <c r="A149" s="14"/>
      <c r="B149" s="270" t="s">
        <v>27</v>
      </c>
      <c r="C149" s="271" t="str">
        <f ca="1">IFERROR(__xludf.DUMMYFUNCTION("GoogleFinance(B149,""name"")"),"Global X Silver Miners ETF")</f>
        <v>Global X Silver Miners ETF</v>
      </c>
      <c r="D149" s="272" t="str">
        <f ca="1">IFERROR(__xludf.DUMMYFUNCTION("GoogleFinance(B149,""marketcap"")/1000000"),"#N/A")</f>
        <v>#N/A</v>
      </c>
      <c r="E149" s="273" t="s">
        <v>12</v>
      </c>
      <c r="F149" s="273" t="s">
        <v>288</v>
      </c>
      <c r="G149" s="274">
        <v>45687</v>
      </c>
      <c r="H149" s="381">
        <v>45762</v>
      </c>
      <c r="I149" s="276">
        <f t="shared" ca="1" si="16"/>
        <v>4.1408541873947892E-3</v>
      </c>
      <c r="J149" s="277">
        <v>41.3</v>
      </c>
      <c r="K149" s="278">
        <v>35.25</v>
      </c>
      <c r="L149" s="279">
        <v>15</v>
      </c>
      <c r="M149" s="280">
        <f t="shared" si="28"/>
        <v>528.75</v>
      </c>
      <c r="N149" s="281">
        <f t="shared" ref="N149:N150" si="29">J149*L149</f>
        <v>619.5</v>
      </c>
      <c r="O149" s="281">
        <f t="shared" si="18"/>
        <v>90.75</v>
      </c>
      <c r="P149" s="275">
        <f t="shared" si="19"/>
        <v>0.17163120567375878</v>
      </c>
      <c r="Q149" s="282">
        <f t="shared" si="20"/>
        <v>75</v>
      </c>
      <c r="R149" s="24" t="s">
        <v>266</v>
      </c>
      <c r="S149" s="25"/>
      <c r="T149" s="25"/>
      <c r="U149" s="25"/>
      <c r="V149" s="25"/>
      <c r="W149" s="25"/>
      <c r="X149" s="25"/>
      <c r="Y149" s="14"/>
      <c r="Z149" s="14"/>
      <c r="AA149" s="14"/>
      <c r="AB149" s="14"/>
      <c r="AC149" s="14"/>
      <c r="AD149" s="14"/>
      <c r="AE149" s="14"/>
      <c r="AF149" s="14"/>
      <c r="AG149" s="14"/>
      <c r="AH149" s="29"/>
      <c r="AI149" s="29"/>
      <c r="AJ149" s="29"/>
      <c r="AK149" s="29"/>
      <c r="AL149" s="14"/>
      <c r="AM149" s="14"/>
      <c r="AN149" s="332"/>
      <c r="AO149" s="332"/>
      <c r="AP149" s="332"/>
      <c r="AQ149" s="332"/>
      <c r="AR149" s="332"/>
      <c r="AS149" s="332"/>
      <c r="AT149" s="332"/>
      <c r="AU149" s="28"/>
      <c r="AV149" s="332"/>
      <c r="AW149" s="28"/>
      <c r="AX149" s="332"/>
      <c r="AY149" s="359"/>
      <c r="AZ149" s="403"/>
      <c r="BA149" s="299"/>
      <c r="BB149" s="40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row>
    <row r="150" spans="1:79" ht="15.75" customHeight="1">
      <c r="A150" s="14"/>
      <c r="B150" s="270" t="s">
        <v>40</v>
      </c>
      <c r="C150" s="271" t="str">
        <f ca="1">IFERROR(__xludf.DUMMYFUNCTION("GoogleFinance(B150,""name"")"),"iShares Silver Trust")</f>
        <v>iShares Silver Trust</v>
      </c>
      <c r="D150" s="272">
        <f ca="1">IFERROR(__xludf.DUMMYFUNCTION("GoogleFinance(B150,""marketcap"")/1000000"),16781.674244)</f>
        <v>16781.674244000002</v>
      </c>
      <c r="E150" s="273" t="s">
        <v>38</v>
      </c>
      <c r="F150" s="273" t="s">
        <v>41</v>
      </c>
      <c r="G150" s="274">
        <v>45498</v>
      </c>
      <c r="H150" s="381">
        <v>45762</v>
      </c>
      <c r="I150" s="276">
        <f t="shared" ca="1" si="16"/>
        <v>5.8954534193417342E-3</v>
      </c>
      <c r="J150" s="277">
        <v>29.4</v>
      </c>
      <c r="K150" s="278">
        <f>(25.4+27.2)/2</f>
        <v>26.299999999999997</v>
      </c>
      <c r="L150" s="279">
        <v>30</v>
      </c>
      <c r="M150" s="280">
        <f t="shared" si="28"/>
        <v>788.99999999999989</v>
      </c>
      <c r="N150" s="281">
        <f t="shared" si="29"/>
        <v>882</v>
      </c>
      <c r="O150" s="281">
        <f t="shared" si="18"/>
        <v>93.000000000000114</v>
      </c>
      <c r="P150" s="275">
        <f t="shared" si="19"/>
        <v>0.11787072243346008</v>
      </c>
      <c r="Q150" s="282">
        <f t="shared" si="20"/>
        <v>264</v>
      </c>
      <c r="R150" s="24" t="s">
        <v>266</v>
      </c>
      <c r="S150" s="25"/>
      <c r="T150" s="25"/>
      <c r="U150" s="25"/>
      <c r="V150" s="25"/>
      <c r="W150" s="25"/>
      <c r="X150" s="25"/>
      <c r="Y150" s="14"/>
      <c r="Z150" s="14"/>
      <c r="AA150" s="14"/>
      <c r="AB150" s="14"/>
      <c r="AC150" s="14"/>
      <c r="AD150" s="14"/>
      <c r="AE150" s="14"/>
      <c r="AF150" s="14"/>
      <c r="AG150" s="14"/>
      <c r="AH150" s="29"/>
      <c r="AI150" s="29"/>
      <c r="AJ150" s="29"/>
      <c r="AK150" s="29"/>
      <c r="AL150" s="14"/>
      <c r="AM150" s="14"/>
      <c r="AN150" s="332"/>
      <c r="AO150" s="332"/>
      <c r="AP150" s="332"/>
      <c r="AQ150" s="332"/>
      <c r="AR150" s="332"/>
      <c r="AS150" s="332"/>
      <c r="AT150" s="332"/>
      <c r="AU150" s="28"/>
      <c r="AV150" s="332"/>
      <c r="AW150" s="28"/>
      <c r="AX150" s="332"/>
      <c r="AY150" s="359"/>
      <c r="AZ150" s="403"/>
      <c r="BA150" s="299"/>
      <c r="BB150" s="40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row>
    <row r="151" spans="1:79" ht="15.75" customHeight="1">
      <c r="A151" s="14"/>
      <c r="B151" s="270" t="s">
        <v>25</v>
      </c>
      <c r="C151" s="271" t="str">
        <f ca="1">IFERROR(__xludf.DUMMYFUNCTION("GoogleFinance(B151,""name"")"),"VanEck Gold Miners ETF")</f>
        <v>VanEck Gold Miners ETF</v>
      </c>
      <c r="D151" s="272" t="str">
        <f ca="1">IFERROR(__xludf.DUMMYFUNCTION("GoogleFinance(B151,""marketcap"")/1000000"),"#N/A")</f>
        <v>#N/A</v>
      </c>
      <c r="E151" s="273" t="s">
        <v>12</v>
      </c>
      <c r="F151" s="273" t="s">
        <v>288</v>
      </c>
      <c r="G151" s="274">
        <v>45498</v>
      </c>
      <c r="H151" s="381">
        <v>45763</v>
      </c>
      <c r="I151" s="276">
        <f t="shared" ca="1" si="16"/>
        <v>1.7479150443966706E-2</v>
      </c>
      <c r="J151" s="277">
        <v>51.8</v>
      </c>
      <c r="K151" s="278">
        <f>(36.3+42)/2</f>
        <v>39.15</v>
      </c>
      <c r="L151" s="279">
        <v>50</v>
      </c>
      <c r="M151" s="280">
        <f t="shared" si="28"/>
        <v>1957.5</v>
      </c>
      <c r="N151" s="281">
        <f>J151*L151+25</f>
        <v>2615</v>
      </c>
      <c r="O151" s="281">
        <f t="shared" si="18"/>
        <v>657.5</v>
      </c>
      <c r="P151" s="275">
        <f t="shared" si="19"/>
        <v>0.32311621966794379</v>
      </c>
      <c r="Q151" s="282">
        <f t="shared" si="20"/>
        <v>265</v>
      </c>
      <c r="R151" s="24" t="s">
        <v>266</v>
      </c>
      <c r="S151" s="25"/>
      <c r="T151" s="25"/>
      <c r="U151" s="25"/>
      <c r="V151" s="25"/>
      <c r="W151" s="25"/>
      <c r="X151" s="25"/>
      <c r="Y151" s="14"/>
      <c r="Z151" s="14"/>
      <c r="AA151" s="14"/>
      <c r="AB151" s="14"/>
      <c r="AC151" s="14"/>
      <c r="AD151" s="14"/>
      <c r="AE151" s="14"/>
      <c r="AF151" s="14"/>
      <c r="AG151" s="14"/>
      <c r="AH151" s="29"/>
      <c r="AI151" s="29"/>
      <c r="AJ151" s="29"/>
      <c r="AK151" s="29"/>
      <c r="AL151" s="14"/>
      <c r="AM151" s="14"/>
      <c r="AN151" s="332"/>
      <c r="AO151" s="332"/>
      <c r="AP151" s="332"/>
      <c r="AQ151" s="332"/>
      <c r="AR151" s="332"/>
      <c r="AS151" s="332"/>
      <c r="AT151" s="332"/>
      <c r="AU151" s="28"/>
      <c r="AV151" s="332"/>
      <c r="AW151" s="28"/>
      <c r="AX151" s="332"/>
      <c r="AY151" s="359"/>
      <c r="AZ151" s="403"/>
      <c r="BA151" s="299"/>
      <c r="BB151" s="40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row>
    <row r="152" spans="1:79" ht="15.75" customHeight="1">
      <c r="A152" s="14"/>
      <c r="B152" s="270" t="s">
        <v>27</v>
      </c>
      <c r="C152" s="271" t="str">
        <f ca="1">IFERROR(__xludf.DUMMYFUNCTION("GoogleFinance(B152,""name"")"),"Global X Silver Miners ETF")</f>
        <v>Global X Silver Miners ETF</v>
      </c>
      <c r="D152" s="272" t="str">
        <f ca="1">IFERROR(__xludf.DUMMYFUNCTION("GoogleFinance(B152,""marketcap"")/1000000"),"#N/A")</f>
        <v>#N/A</v>
      </c>
      <c r="E152" s="273" t="s">
        <v>12</v>
      </c>
      <c r="F152" s="273" t="s">
        <v>288</v>
      </c>
      <c r="G152" s="274">
        <v>45687</v>
      </c>
      <c r="H152" s="381">
        <v>45763</v>
      </c>
      <c r="I152" s="276">
        <f t="shared" ca="1" si="16"/>
        <v>7.0351073966634639E-3</v>
      </c>
      <c r="J152" s="277">
        <v>42.1</v>
      </c>
      <c r="K152" s="278">
        <v>35.25</v>
      </c>
      <c r="L152" s="279">
        <v>25</v>
      </c>
      <c r="M152" s="280">
        <f t="shared" si="28"/>
        <v>881.25</v>
      </c>
      <c r="N152" s="281">
        <f t="shared" ref="N152:N153" si="30">J152*L152</f>
        <v>1052.5</v>
      </c>
      <c r="O152" s="281">
        <f t="shared" si="18"/>
        <v>171.25</v>
      </c>
      <c r="P152" s="275">
        <f t="shared" si="19"/>
        <v>0.19432624113475172</v>
      </c>
      <c r="Q152" s="282">
        <f t="shared" si="20"/>
        <v>76</v>
      </c>
      <c r="R152" s="24" t="s">
        <v>266</v>
      </c>
      <c r="S152" s="25"/>
      <c r="T152" s="25"/>
      <c r="U152" s="25"/>
      <c r="V152" s="25"/>
      <c r="W152" s="25"/>
      <c r="X152" s="25"/>
      <c r="Y152" s="14"/>
      <c r="Z152" s="14"/>
      <c r="AA152" s="14"/>
      <c r="AB152" s="14"/>
      <c r="AC152" s="14"/>
      <c r="AD152" s="14"/>
      <c r="AE152" s="14"/>
      <c r="AF152" s="14"/>
      <c r="AG152" s="14"/>
      <c r="AH152" s="29"/>
      <c r="AI152" s="29"/>
      <c r="AJ152" s="29"/>
      <c r="AK152" s="29"/>
      <c r="AL152" s="14"/>
      <c r="AM152" s="14"/>
      <c r="AN152" s="332"/>
      <c r="AO152" s="332"/>
      <c r="AP152" s="332"/>
      <c r="AQ152" s="332"/>
      <c r="AR152" s="332"/>
      <c r="AS152" s="332"/>
      <c r="AT152" s="332"/>
      <c r="AU152" s="28"/>
      <c r="AV152" s="332"/>
      <c r="AW152" s="28"/>
      <c r="AX152" s="332"/>
      <c r="AY152" s="359"/>
      <c r="AZ152" s="403"/>
      <c r="BA152" s="299"/>
      <c r="BB152" s="40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row>
    <row r="153" spans="1:79" ht="15.75" customHeight="1">
      <c r="A153" s="14"/>
      <c r="B153" s="270" t="s">
        <v>40</v>
      </c>
      <c r="C153" s="271" t="str">
        <f ca="1">IFERROR(__xludf.DUMMYFUNCTION("GoogleFinance(B153,""name"")"),"iShares Silver Trust")</f>
        <v>iShares Silver Trust</v>
      </c>
      <c r="D153" s="272">
        <f ca="1">IFERROR(__xludf.DUMMYFUNCTION("GoogleFinance(B153,""marketcap"")/1000000"),16781.674244)</f>
        <v>16781.674244000002</v>
      </c>
      <c r="E153" s="273" t="s">
        <v>38</v>
      </c>
      <c r="F153" s="273" t="s">
        <v>41</v>
      </c>
      <c r="G153" s="274">
        <v>45498</v>
      </c>
      <c r="H153" s="381">
        <v>45763</v>
      </c>
      <c r="I153" s="276">
        <f t="shared" ca="1" si="16"/>
        <v>7.9675515599266968E-3</v>
      </c>
      <c r="J153" s="277">
        <v>29.8</v>
      </c>
      <c r="K153" s="278">
        <f>(25.4+27.2)/2</f>
        <v>26.299999999999997</v>
      </c>
      <c r="L153" s="279">
        <v>40</v>
      </c>
      <c r="M153" s="280">
        <f t="shared" si="28"/>
        <v>1052</v>
      </c>
      <c r="N153" s="281">
        <f t="shared" si="30"/>
        <v>1192</v>
      </c>
      <c r="O153" s="281">
        <f t="shared" si="18"/>
        <v>140</v>
      </c>
      <c r="P153" s="275">
        <f t="shared" si="19"/>
        <v>0.13307984790874539</v>
      </c>
      <c r="Q153" s="282">
        <f t="shared" si="20"/>
        <v>265</v>
      </c>
      <c r="R153" s="24" t="s">
        <v>266</v>
      </c>
      <c r="S153" s="25"/>
      <c r="T153" s="25"/>
      <c r="U153" s="25"/>
      <c r="V153" s="25"/>
      <c r="W153" s="25"/>
      <c r="X153" s="25"/>
      <c r="Y153" s="14"/>
      <c r="Z153" s="14"/>
      <c r="AA153" s="14"/>
      <c r="AB153" s="14"/>
      <c r="AC153" s="14"/>
      <c r="AD153" s="14"/>
      <c r="AE153" s="14"/>
      <c r="AF153" s="14"/>
      <c r="AG153" s="14"/>
      <c r="AH153" s="29"/>
      <c r="AI153" s="29"/>
      <c r="AJ153" s="29"/>
      <c r="AK153" s="29"/>
      <c r="AL153" s="14"/>
      <c r="AM153" s="14"/>
      <c r="AN153" s="332"/>
      <c r="AO153" s="332"/>
      <c r="AP153" s="332"/>
      <c r="AQ153" s="332"/>
      <c r="AR153" s="332"/>
      <c r="AS153" s="332"/>
      <c r="AT153" s="332"/>
      <c r="AU153" s="28"/>
      <c r="AV153" s="332"/>
      <c r="AW153" s="28"/>
      <c r="AX153" s="332"/>
      <c r="AY153" s="359"/>
      <c r="AZ153" s="403"/>
      <c r="BA153" s="299"/>
      <c r="BB153" s="40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row>
    <row r="154" spans="1:79" ht="15.75" customHeight="1">
      <c r="A154" s="14"/>
      <c r="B154" s="270" t="s">
        <v>25</v>
      </c>
      <c r="C154" s="271" t="str">
        <f ca="1">IFERROR(__xludf.DUMMYFUNCTION("GoogleFinance(B154,""name"")"),"VanEck Gold Miners ETF")</f>
        <v>VanEck Gold Miners ETF</v>
      </c>
      <c r="D154" s="272" t="str">
        <f ca="1">IFERROR(__xludf.DUMMYFUNCTION("GoogleFinance(B154,""marketcap"")/1000000"),"#N/A")</f>
        <v>#N/A</v>
      </c>
      <c r="E154" s="273" t="s">
        <v>12</v>
      </c>
      <c r="F154" s="273" t="s">
        <v>288</v>
      </c>
      <c r="G154" s="274">
        <v>45498</v>
      </c>
      <c r="H154" s="381">
        <v>45764</v>
      </c>
      <c r="I154" s="276">
        <f t="shared" ca="1" si="16"/>
        <v>4.5639632593271386E-3</v>
      </c>
      <c r="J154" s="277">
        <v>50.6</v>
      </c>
      <c r="K154" s="278">
        <f>(36.3+42)/2</f>
        <v>39.15</v>
      </c>
      <c r="L154" s="279">
        <v>13</v>
      </c>
      <c r="M154" s="280">
        <f t="shared" si="28"/>
        <v>508.95</v>
      </c>
      <c r="N154" s="281">
        <f>J154*L154+25</f>
        <v>682.80000000000007</v>
      </c>
      <c r="O154" s="281">
        <f t="shared" si="18"/>
        <v>173.85000000000008</v>
      </c>
      <c r="P154" s="275">
        <f t="shared" si="19"/>
        <v>0.2924648786717754</v>
      </c>
      <c r="Q154" s="282">
        <f t="shared" si="20"/>
        <v>266</v>
      </c>
      <c r="R154" s="24" t="s">
        <v>266</v>
      </c>
      <c r="S154" s="25"/>
      <c r="T154" s="25"/>
      <c r="U154" s="25"/>
      <c r="V154" s="25"/>
      <c r="W154" s="25"/>
      <c r="X154" s="25"/>
      <c r="Y154" s="14"/>
      <c r="Z154" s="14"/>
      <c r="AA154" s="14"/>
      <c r="AB154" s="14"/>
      <c r="AC154" s="14"/>
      <c r="AD154" s="14"/>
      <c r="AE154" s="14"/>
      <c r="AF154" s="14"/>
      <c r="AG154" s="14"/>
      <c r="AH154" s="29"/>
      <c r="AI154" s="29"/>
      <c r="AJ154" s="29"/>
      <c r="AK154" s="29"/>
      <c r="AL154" s="14"/>
      <c r="AM154" s="14"/>
      <c r="AN154" s="332"/>
      <c r="AO154" s="332"/>
      <c r="AP154" s="332"/>
      <c r="AQ154" s="332"/>
      <c r="AR154" s="332"/>
      <c r="AS154" s="332"/>
      <c r="AT154" s="332"/>
      <c r="AU154" s="28"/>
      <c r="AV154" s="332"/>
      <c r="AW154" s="28"/>
      <c r="AX154" s="332"/>
      <c r="AY154" s="359"/>
      <c r="AZ154" s="403"/>
      <c r="BA154" s="299"/>
      <c r="BB154" s="40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row>
    <row r="155" spans="1:79" ht="15.75" customHeight="1">
      <c r="A155" s="14"/>
      <c r="B155" s="270" t="s">
        <v>27</v>
      </c>
      <c r="C155" s="271" t="str">
        <f ca="1">IFERROR(__xludf.DUMMYFUNCTION("GoogleFinance(B155,""name"")"),"Global X Silver Miners ETF")</f>
        <v>Global X Silver Miners ETF</v>
      </c>
      <c r="D155" s="272" t="str">
        <f ca="1">IFERROR(__xludf.DUMMYFUNCTION("GoogleFinance(B155,""marketcap"")/1000000"),"#N/A")</f>
        <v>#N/A</v>
      </c>
      <c r="E155" s="273" t="s">
        <v>12</v>
      </c>
      <c r="F155" s="273" t="s">
        <v>288</v>
      </c>
      <c r="G155" s="274">
        <v>45687</v>
      </c>
      <c r="H155" s="381">
        <v>45764</v>
      </c>
      <c r="I155" s="276">
        <f t="shared" ca="1" si="16"/>
        <v>4.6213135885084895E-3</v>
      </c>
      <c r="J155" s="277">
        <v>41.4</v>
      </c>
      <c r="K155" s="278">
        <v>35.25</v>
      </c>
      <c r="L155" s="279">
        <v>16.7</v>
      </c>
      <c r="M155" s="280">
        <f t="shared" si="28"/>
        <v>588.67499999999995</v>
      </c>
      <c r="N155" s="281">
        <f t="shared" ref="N155:N210" si="31">J155*L155</f>
        <v>691.38</v>
      </c>
      <c r="O155" s="281">
        <f t="shared" si="18"/>
        <v>102.70500000000004</v>
      </c>
      <c r="P155" s="275">
        <f t="shared" si="19"/>
        <v>0.1744680851063829</v>
      </c>
      <c r="Q155" s="282">
        <f t="shared" si="20"/>
        <v>77</v>
      </c>
      <c r="R155" s="24" t="s">
        <v>266</v>
      </c>
      <c r="S155" s="25"/>
      <c r="T155" s="25"/>
      <c r="U155" s="25"/>
      <c r="V155" s="25"/>
      <c r="W155" s="25"/>
      <c r="X155" s="25"/>
      <c r="Y155" s="14"/>
      <c r="Z155" s="14"/>
      <c r="AA155" s="14"/>
      <c r="AB155" s="14"/>
      <c r="AC155" s="14"/>
      <c r="AD155" s="14"/>
      <c r="AE155" s="14"/>
      <c r="AF155" s="14"/>
      <c r="AG155" s="14"/>
      <c r="AH155" s="29"/>
      <c r="AI155" s="29"/>
      <c r="AJ155" s="29"/>
      <c r="AK155" s="29"/>
      <c r="AL155" s="14"/>
      <c r="AM155" s="14"/>
      <c r="AN155" s="332"/>
      <c r="AO155" s="332"/>
      <c r="AP155" s="332"/>
      <c r="AQ155" s="332"/>
      <c r="AR155" s="332"/>
      <c r="AS155" s="332"/>
      <c r="AT155" s="332"/>
      <c r="AU155" s="28"/>
      <c r="AV155" s="332"/>
      <c r="AW155" s="28"/>
      <c r="AX155" s="332"/>
      <c r="AY155" s="359"/>
      <c r="AZ155" s="403"/>
      <c r="BA155" s="299"/>
      <c r="BB155" s="40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row>
    <row r="156" spans="1:79" ht="15.75" customHeight="1">
      <c r="A156" s="14"/>
      <c r="B156" s="270" t="s">
        <v>40</v>
      </c>
      <c r="C156" s="271" t="str">
        <f ca="1">IFERROR(__xludf.DUMMYFUNCTION("GoogleFinance(B156,""name"")"),"iShares Silver Trust")</f>
        <v>iShares Silver Trust</v>
      </c>
      <c r="D156" s="272">
        <f ca="1">IFERROR(__xludf.DUMMYFUNCTION("GoogleFinance(B156,""marketcap"")/1000000"),16781.674244)</f>
        <v>16781.674244000002</v>
      </c>
      <c r="E156" s="273" t="s">
        <v>38</v>
      </c>
      <c r="F156" s="273" t="s">
        <v>41</v>
      </c>
      <c r="G156" s="274">
        <v>45498</v>
      </c>
      <c r="H156" s="381">
        <v>45764</v>
      </c>
      <c r="I156" s="276">
        <f t="shared" ca="1" si="16"/>
        <v>4.1127805996836386E-3</v>
      </c>
      <c r="J156" s="277">
        <v>29.3</v>
      </c>
      <c r="K156" s="278">
        <f>(25.4+27.2)/2</f>
        <v>26.299999999999997</v>
      </c>
      <c r="L156" s="279">
        <v>21</v>
      </c>
      <c r="M156" s="280">
        <f t="shared" si="28"/>
        <v>552.29999999999995</v>
      </c>
      <c r="N156" s="281">
        <f t="shared" si="31"/>
        <v>615.30000000000007</v>
      </c>
      <c r="O156" s="281">
        <f t="shared" si="18"/>
        <v>63.000000000000114</v>
      </c>
      <c r="P156" s="275">
        <f t="shared" si="19"/>
        <v>0.11406844106463887</v>
      </c>
      <c r="Q156" s="282">
        <f t="shared" si="20"/>
        <v>266</v>
      </c>
      <c r="R156" s="24" t="s">
        <v>266</v>
      </c>
      <c r="S156" s="25"/>
      <c r="T156" s="25"/>
      <c r="U156" s="25"/>
      <c r="V156" s="25"/>
      <c r="W156" s="25"/>
      <c r="X156" s="25"/>
      <c r="Y156" s="14"/>
      <c r="Z156" s="14"/>
      <c r="AA156" s="14"/>
      <c r="AB156" s="14"/>
      <c r="AC156" s="14"/>
      <c r="AD156" s="14"/>
      <c r="AE156" s="14"/>
      <c r="AF156" s="14"/>
      <c r="AG156" s="14"/>
      <c r="AH156" s="29"/>
      <c r="AI156" s="29"/>
      <c r="AJ156" s="29"/>
      <c r="AK156" s="29"/>
      <c r="AL156" s="14"/>
      <c r="AM156" s="14"/>
      <c r="AN156" s="332"/>
      <c r="AO156" s="332"/>
      <c r="AP156" s="332"/>
      <c r="AQ156" s="332"/>
      <c r="AR156" s="332"/>
      <c r="AS156" s="332"/>
      <c r="AT156" s="332"/>
      <c r="AU156" s="28"/>
      <c r="AV156" s="332"/>
      <c r="AW156" s="28"/>
      <c r="AX156" s="332"/>
      <c r="AY156" s="359"/>
      <c r="AZ156" s="403"/>
      <c r="BA156" s="299"/>
      <c r="BB156" s="40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row>
    <row r="157" spans="1:79" ht="15.75" customHeight="1">
      <c r="A157" s="14"/>
      <c r="B157" s="423" t="s">
        <v>214</v>
      </c>
      <c r="C157" s="424" t="str">
        <f ca="1">IFERROR(__xludf.DUMMYFUNCTION("GoogleFinance(B157,""name"")"),"JPMorgan US Tech Leaders ETF")</f>
        <v>JPMorgan US Tech Leaders ETF</v>
      </c>
      <c r="D157" s="425" t="str">
        <f ca="1">IFERROR(__xludf.DUMMYFUNCTION("GoogleFinance(B157,""marketcap"")/1000000"),"#N/A")</f>
        <v>#N/A</v>
      </c>
      <c r="E157" s="426" t="s">
        <v>7</v>
      </c>
      <c r="F157" s="426" t="s">
        <v>7</v>
      </c>
      <c r="G157" s="427">
        <v>45727</v>
      </c>
      <c r="H157" s="381">
        <v>45770</v>
      </c>
      <c r="I157" s="428">
        <f t="shared" ca="1" si="16"/>
        <v>2.2057818915904446E-2</v>
      </c>
      <c r="J157" s="429">
        <v>66</v>
      </c>
      <c r="K157" s="430">
        <f>(18000*67.3+6000*58.5+6000*58+6000/61.3)/30000</f>
        <v>63.683262642740623</v>
      </c>
      <c r="L157" s="431">
        <v>50</v>
      </c>
      <c r="M157" s="432">
        <f t="shared" si="28"/>
        <v>3184.163132137031</v>
      </c>
      <c r="N157" s="433">
        <f t="shared" si="31"/>
        <v>3300</v>
      </c>
      <c r="O157" s="434">
        <f t="shared" si="18"/>
        <v>115.83686786296903</v>
      </c>
      <c r="P157" s="435">
        <f t="shared" si="19"/>
        <v>3.6379061956296699E-2</v>
      </c>
      <c r="Q157" s="282">
        <f t="shared" si="20"/>
        <v>43</v>
      </c>
      <c r="R157" s="24" t="s">
        <v>266</v>
      </c>
      <c r="S157" s="25"/>
      <c r="T157" s="25"/>
      <c r="U157" s="25"/>
      <c r="V157" s="25"/>
      <c r="W157" s="25"/>
      <c r="X157" s="25"/>
      <c r="Y157" s="14"/>
      <c r="Z157" s="14"/>
      <c r="AA157" s="14"/>
      <c r="AB157" s="14"/>
      <c r="AC157" s="14"/>
      <c r="AD157" s="14"/>
      <c r="AE157" s="14"/>
      <c r="AF157" s="14"/>
      <c r="AG157" s="14"/>
      <c r="AH157" s="29"/>
      <c r="AI157" s="29"/>
      <c r="AJ157" s="29"/>
      <c r="AK157" s="29"/>
      <c r="AL157" s="14"/>
      <c r="AM157" s="14"/>
      <c r="AN157" s="332"/>
      <c r="AO157" s="332"/>
      <c r="AP157" s="332"/>
      <c r="AQ157" s="332"/>
      <c r="AR157" s="332"/>
      <c r="AS157" s="332"/>
      <c r="AT157" s="332"/>
      <c r="AU157" s="28"/>
      <c r="AV157" s="332"/>
      <c r="AW157" s="28"/>
      <c r="AX157" s="332"/>
      <c r="AY157" s="359"/>
      <c r="AZ157" s="403"/>
      <c r="BA157" s="299"/>
      <c r="BB157" s="40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row>
    <row r="158" spans="1:79" ht="15.75" customHeight="1">
      <c r="A158" s="14"/>
      <c r="B158" s="423" t="s">
        <v>9</v>
      </c>
      <c r="C158" s="424" t="str">
        <f ca="1">IFERROR(__xludf.DUMMYFUNCTION("GoogleFinance(B158,""name"")"),"Consumer Discretionary Select Sector SPDR Fund")</f>
        <v>Consumer Discretionary Select Sector SPDR Fund</v>
      </c>
      <c r="D158" s="425">
        <f ca="1">IFERROR(__xludf.DUMMYFUNCTION("GoogleFinance(B158,""marketcap"")/1000000"),28358.460866)</f>
        <v>28358.460866000001</v>
      </c>
      <c r="E158" s="436" t="s">
        <v>128</v>
      </c>
      <c r="F158" s="436" t="s">
        <v>128</v>
      </c>
      <c r="G158" s="427">
        <v>45748</v>
      </c>
      <c r="H158" s="381">
        <v>45770</v>
      </c>
      <c r="I158" s="428">
        <f t="shared" ca="1" si="16"/>
        <v>2.4033998965142977E-2</v>
      </c>
      <c r="J158" s="429">
        <f ca="1">IFERROR(__xludf.DUMMYFUNCTION("GOOGLEFINANCE(B158)"),239.71)</f>
        <v>239.71</v>
      </c>
      <c r="K158" s="430">
        <f>(199.7+174.4+178.85)/3</f>
        <v>184.31666666666669</v>
      </c>
      <c r="L158" s="431">
        <v>15</v>
      </c>
      <c r="M158" s="432">
        <f t="shared" si="28"/>
        <v>2764.7500000000005</v>
      </c>
      <c r="N158" s="433">
        <f t="shared" ca="1" si="31"/>
        <v>3595.65</v>
      </c>
      <c r="O158" s="434">
        <f t="shared" ca="1" si="18"/>
        <v>830.89999999999964</v>
      </c>
      <c r="P158" s="435">
        <f t="shared" ca="1" si="19"/>
        <v>0.30053350212496599</v>
      </c>
      <c r="Q158" s="282">
        <f t="shared" si="20"/>
        <v>22</v>
      </c>
      <c r="R158" s="24" t="s">
        <v>266</v>
      </c>
      <c r="S158" s="25"/>
      <c r="T158" s="25"/>
      <c r="U158" s="25"/>
      <c r="V158" s="25"/>
      <c r="W158" s="25"/>
      <c r="X158" s="25"/>
      <c r="Y158" s="14"/>
      <c r="Z158" s="14"/>
      <c r="AA158" s="14"/>
      <c r="AB158" s="14"/>
      <c r="AC158" s="14"/>
      <c r="AD158" s="14"/>
      <c r="AE158" s="14"/>
      <c r="AF158" s="14"/>
      <c r="AG158" s="14"/>
      <c r="AH158" s="29"/>
      <c r="AI158" s="29"/>
      <c r="AJ158" s="29"/>
      <c r="AK158" s="29"/>
      <c r="AL158" s="14"/>
      <c r="AM158" s="14"/>
      <c r="AN158" s="332"/>
      <c r="AO158" s="332"/>
      <c r="AP158" s="332"/>
      <c r="AQ158" s="332"/>
      <c r="AR158" s="332"/>
      <c r="AS158" s="332"/>
      <c r="AT158" s="332"/>
      <c r="AU158" s="28"/>
      <c r="AV158" s="332"/>
      <c r="AW158" s="28"/>
      <c r="AX158" s="332"/>
      <c r="AY158" s="359"/>
      <c r="AZ158" s="403"/>
      <c r="BA158" s="299"/>
      <c r="BB158" s="40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row>
    <row r="159" spans="1:79" ht="15.75" customHeight="1">
      <c r="A159" s="14"/>
      <c r="B159" s="423" t="s">
        <v>218</v>
      </c>
      <c r="C159" s="424" t="str">
        <f ca="1">IFERROR(__xludf.DUMMYFUNCTION("GoogleFinance(B159,""name"")"),"Roundhill Magnificent Seven ETF")</f>
        <v>Roundhill Magnificent Seven ETF</v>
      </c>
      <c r="D159" s="425" t="str">
        <f ca="1">IFERROR(__xludf.DUMMYFUNCTION("GoogleFinance(B159,""marketcap"")/1000000"),"#N/A")</f>
        <v>#N/A</v>
      </c>
      <c r="E159" s="426" t="s">
        <v>7</v>
      </c>
      <c r="F159" s="437" t="s">
        <v>219</v>
      </c>
      <c r="G159" s="427">
        <v>45736</v>
      </c>
      <c r="H159" s="381">
        <v>45770</v>
      </c>
      <c r="I159" s="428">
        <f t="shared" ca="1" si="16"/>
        <v>2.1539794380758207E-2</v>
      </c>
      <c r="J159" s="429">
        <f ca="1">IFERROR(__xludf.DUMMYFUNCTION("GOOGLEFINANCE(B159)"),64.45)</f>
        <v>64.45</v>
      </c>
      <c r="K159" s="430">
        <f>(47.39*5000+46.6*8000+40.5*3000+40.73*5000)/21000</f>
        <v>44.519047619047619</v>
      </c>
      <c r="L159" s="431">
        <v>50</v>
      </c>
      <c r="M159" s="432">
        <f t="shared" si="28"/>
        <v>2225.9523809523807</v>
      </c>
      <c r="N159" s="433">
        <f t="shared" ca="1" si="31"/>
        <v>3222.5</v>
      </c>
      <c r="O159" s="434">
        <f t="shared" ca="1" si="18"/>
        <v>996.54761904761926</v>
      </c>
      <c r="P159" s="435">
        <f t="shared" ca="1" si="19"/>
        <v>0.44769494063536208</v>
      </c>
      <c r="Q159" s="282">
        <f t="shared" si="20"/>
        <v>34</v>
      </c>
      <c r="R159" s="24" t="s">
        <v>266</v>
      </c>
      <c r="S159" s="25"/>
      <c r="T159" s="25"/>
      <c r="U159" s="25"/>
      <c r="V159" s="25"/>
      <c r="W159" s="25"/>
      <c r="X159" s="25"/>
      <c r="Y159" s="14"/>
      <c r="Z159" s="14"/>
      <c r="AA159" s="14"/>
      <c r="AB159" s="14"/>
      <c r="AC159" s="14"/>
      <c r="AD159" s="14"/>
      <c r="AE159" s="14"/>
      <c r="AF159" s="14"/>
      <c r="AG159" s="14"/>
      <c r="AH159" s="29"/>
      <c r="AI159" s="29"/>
      <c r="AJ159" s="29"/>
      <c r="AK159" s="29"/>
      <c r="AL159" s="14"/>
      <c r="AM159" s="14"/>
      <c r="AN159" s="332"/>
      <c r="AO159" s="332"/>
      <c r="AP159" s="332"/>
      <c r="AQ159" s="332"/>
      <c r="AR159" s="332"/>
      <c r="AS159" s="332"/>
      <c r="AT159" s="332"/>
      <c r="AU159" s="28"/>
      <c r="AV159" s="332"/>
      <c r="AW159" s="28"/>
      <c r="AX159" s="332"/>
      <c r="AY159" s="359"/>
      <c r="AZ159" s="403"/>
      <c r="BA159" s="299"/>
      <c r="BB159" s="40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row>
    <row r="160" spans="1:79" ht="15.75" customHeight="1">
      <c r="A160" s="14"/>
      <c r="B160" s="22" t="s">
        <v>214</v>
      </c>
      <c r="C160" s="245" t="str">
        <f ca="1">IFERROR(__xludf.DUMMYFUNCTION("GoogleFinance(B160,""name"")"),"JPMorgan US Tech Leaders ETF")</f>
        <v>JPMorgan US Tech Leaders ETF</v>
      </c>
      <c r="D160" s="246" t="str">
        <f ca="1">IFERROR(__xludf.DUMMYFUNCTION("GoogleFinance(B160,""marketcap"")/1000000"),"#N/A")</f>
        <v>#N/A</v>
      </c>
      <c r="E160" s="23" t="s">
        <v>7</v>
      </c>
      <c r="F160" s="23" t="s">
        <v>7</v>
      </c>
      <c r="G160" s="235">
        <v>45727</v>
      </c>
      <c r="H160" s="381">
        <v>45779</v>
      </c>
      <c r="I160" s="247">
        <f t="shared" ca="1" si="16"/>
        <v>7.2324829658253292E-2</v>
      </c>
      <c r="J160" s="248">
        <v>71.38</v>
      </c>
      <c r="K160" s="237">
        <f>(18000*67.3+6000*58.5+6000*58+6000/61.3)/30000</f>
        <v>63.683262642740623</v>
      </c>
      <c r="L160" s="238">
        <f>30000/K160-300-100+8000/61.3-50</f>
        <v>151.58710142311278</v>
      </c>
      <c r="M160" s="239">
        <f t="shared" si="28"/>
        <v>9653.5611931798521</v>
      </c>
      <c r="N160" s="249">
        <f t="shared" si="31"/>
        <v>10820.287299581791</v>
      </c>
      <c r="O160" s="226">
        <f t="shared" si="18"/>
        <v>1166.7261064019385</v>
      </c>
      <c r="P160" s="2">
        <f t="shared" si="19"/>
        <v>0.12085965821879485</v>
      </c>
      <c r="Q160" s="282">
        <f t="shared" si="20"/>
        <v>52</v>
      </c>
      <c r="R160" s="24" t="s">
        <v>264</v>
      </c>
      <c r="S160" s="25"/>
      <c r="T160" s="25"/>
      <c r="U160" s="25"/>
      <c r="V160" s="25"/>
      <c r="W160" s="25"/>
      <c r="X160" s="25"/>
      <c r="Y160" s="14"/>
      <c r="Z160" s="14"/>
      <c r="AA160" s="14"/>
      <c r="AB160" s="14"/>
      <c r="AC160" s="14"/>
      <c r="AD160" s="14"/>
      <c r="AE160" s="14"/>
      <c r="AF160" s="14"/>
      <c r="AG160" s="14"/>
      <c r="AH160" s="29"/>
      <c r="AI160" s="29"/>
      <c r="AJ160" s="29"/>
      <c r="AK160" s="29"/>
      <c r="AL160" s="14"/>
      <c r="AM160" s="14"/>
      <c r="AN160" s="332"/>
      <c r="AO160" s="332"/>
      <c r="AP160" s="332"/>
      <c r="AQ160" s="332"/>
      <c r="AR160" s="332"/>
      <c r="AS160" s="332"/>
      <c r="AT160" s="332"/>
      <c r="AU160" s="28"/>
      <c r="AV160" s="332"/>
      <c r="AW160" s="28"/>
      <c r="AX160" s="332"/>
      <c r="BB160" s="40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row>
    <row r="161" spans="1:79" ht="15.75" customHeight="1">
      <c r="A161" s="14"/>
      <c r="B161" s="22" t="s">
        <v>9</v>
      </c>
      <c r="C161" s="245" t="str">
        <f ca="1">IFERROR(__xludf.DUMMYFUNCTION("GoogleFinance(B161,""name"")"),"Consumer Discretionary Select Sector SPDR Fund")</f>
        <v>Consumer Discretionary Select Sector SPDR Fund</v>
      </c>
      <c r="D161" s="246">
        <f ca="1">IFERROR(__xludf.DUMMYFUNCTION("GoogleFinance(B161,""marketcap"")/1000000"),28358.460866)</f>
        <v>28358.460866000001</v>
      </c>
      <c r="E161" s="229" t="s">
        <v>128</v>
      </c>
      <c r="F161" s="229" t="s">
        <v>128</v>
      </c>
      <c r="G161" s="235">
        <v>45748</v>
      </c>
      <c r="H161" s="381">
        <v>45779</v>
      </c>
      <c r="I161" s="247">
        <f t="shared" ca="1" si="16"/>
        <v>4.5072016693489141E-2</v>
      </c>
      <c r="J161" s="248">
        <v>201</v>
      </c>
      <c r="K161" s="237">
        <f>(199.7+174.4+178.85)/3</f>
        <v>184.31666666666669</v>
      </c>
      <c r="L161" s="238">
        <f>15+15-15+6000/178.85-15</f>
        <v>33.547665641599103</v>
      </c>
      <c r="M161" s="239">
        <f t="shared" si="28"/>
        <v>6183.3939055074088</v>
      </c>
      <c r="N161" s="249">
        <f t="shared" si="31"/>
        <v>6743.0807939614197</v>
      </c>
      <c r="O161" s="226">
        <f t="shared" si="18"/>
        <v>559.68688845401084</v>
      </c>
      <c r="P161" s="2">
        <f t="shared" si="19"/>
        <v>9.0514513066280777E-2</v>
      </c>
      <c r="Q161" s="282">
        <f t="shared" si="20"/>
        <v>31</v>
      </c>
      <c r="R161" s="24" t="s">
        <v>264</v>
      </c>
      <c r="S161" s="25"/>
      <c r="T161" s="25"/>
      <c r="U161" s="25"/>
      <c r="V161" s="25"/>
      <c r="W161" s="25"/>
      <c r="X161" s="25"/>
      <c r="Y161" s="14"/>
      <c r="Z161" s="14"/>
      <c r="AA161" s="14"/>
      <c r="AB161" s="14"/>
      <c r="AC161" s="14"/>
      <c r="AD161" s="14"/>
      <c r="AE161" s="14"/>
      <c r="AF161" s="14"/>
      <c r="AG161" s="14"/>
      <c r="AH161" s="29"/>
      <c r="AI161" s="29"/>
      <c r="AJ161" s="29"/>
      <c r="AK161" s="29"/>
      <c r="AL161" s="14"/>
      <c r="AM161" s="14"/>
      <c r="AN161" s="332"/>
      <c r="AO161" s="332"/>
      <c r="AP161" s="332"/>
      <c r="AQ161" s="332"/>
      <c r="AR161" s="332"/>
      <c r="AS161" s="332"/>
      <c r="AT161" s="332"/>
      <c r="AU161" s="28"/>
      <c r="AV161" s="332"/>
      <c r="AW161" s="28"/>
      <c r="AX161" s="332"/>
      <c r="BB161" s="40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row>
    <row r="162" spans="1:79" ht="15.75" customHeight="1">
      <c r="A162" s="14"/>
      <c r="B162" s="22" t="s">
        <v>218</v>
      </c>
      <c r="C162" s="245" t="str">
        <f ca="1">IFERROR(__xludf.DUMMYFUNCTION("GoogleFinance(B162,""name"")"),"Roundhill Magnificent Seven ETF")</f>
        <v>Roundhill Magnificent Seven ETF</v>
      </c>
      <c r="D162" s="246" t="str">
        <f ca="1">IFERROR(__xludf.DUMMYFUNCTION("GoogleFinance(B162,""marketcap"")/1000000"),"#N/A")</f>
        <v>#N/A</v>
      </c>
      <c r="E162" s="23" t="s">
        <v>7</v>
      </c>
      <c r="F162" s="219" t="s">
        <v>219</v>
      </c>
      <c r="G162" s="235">
        <v>45736</v>
      </c>
      <c r="H162" s="381">
        <v>45779</v>
      </c>
      <c r="I162" s="247">
        <f t="shared" ca="1" si="16"/>
        <v>4.9964204850453213E-2</v>
      </c>
      <c r="J162" s="248">
        <v>47.7</v>
      </c>
      <c r="K162" s="237">
        <f>(47.39*5000+46.6*8000+40.5*3000+40.73*5000)/21000</f>
        <v>44.519047619047619</v>
      </c>
      <c r="L162" s="238">
        <f>16000/K162-250-50+6000/40.73-50</f>
        <v>156.70829088043624</v>
      </c>
      <c r="M162" s="239">
        <f t="shared" si="28"/>
        <v>6976.5038640057064</v>
      </c>
      <c r="N162" s="249">
        <f t="shared" si="31"/>
        <v>7474.985474996809</v>
      </c>
      <c r="O162" s="226">
        <f t="shared" si="18"/>
        <v>498.48161099110257</v>
      </c>
      <c r="P162" s="2">
        <f t="shared" si="19"/>
        <v>7.1451492138196571E-2</v>
      </c>
      <c r="Q162" s="282">
        <f t="shared" si="20"/>
        <v>43</v>
      </c>
      <c r="R162" s="24" t="s">
        <v>264</v>
      </c>
      <c r="S162" s="25"/>
      <c r="T162" s="25"/>
      <c r="U162" s="25"/>
      <c r="V162" s="25"/>
      <c r="W162" s="25"/>
      <c r="X162" s="25"/>
      <c r="Y162" s="14"/>
      <c r="Z162" s="14"/>
      <c r="AA162" s="14"/>
      <c r="AB162" s="14"/>
      <c r="AC162" s="14"/>
      <c r="AD162" s="14"/>
      <c r="AE162" s="14"/>
      <c r="AF162" s="14"/>
      <c r="AG162" s="14"/>
      <c r="AH162" s="29"/>
      <c r="AI162" s="29"/>
      <c r="AJ162" s="29"/>
      <c r="AK162" s="29"/>
      <c r="AL162" s="14"/>
      <c r="AM162" s="14"/>
      <c r="AN162" s="332"/>
      <c r="AO162" s="332"/>
      <c r="AP162" s="332"/>
      <c r="AQ162" s="332"/>
      <c r="AR162" s="332"/>
      <c r="AS162" s="332"/>
      <c r="AT162" s="332"/>
      <c r="AU162" s="28"/>
      <c r="AV162" s="332"/>
      <c r="AW162" s="28"/>
      <c r="AX162" s="332"/>
      <c r="BB162" s="40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row>
    <row r="163" spans="1:79" ht="15.75" customHeight="1">
      <c r="A163" s="14"/>
      <c r="B163" s="270" t="s">
        <v>298</v>
      </c>
      <c r="C163" s="271" t="str">
        <f ca="1">IFERROR(__xludf.DUMMYFUNCTION("GoogleFinance(B163,""name"")"),"Strategy Inc Class A")</f>
        <v>Strategy Inc Class A</v>
      </c>
      <c r="D163" s="272">
        <f ca="1">IFERROR(__xludf.DUMMYFUNCTION("GoogleFinance(B163,""marketcap"")/1000000"),88540.806152)</f>
        <v>88540.806152000005</v>
      </c>
      <c r="E163" s="273" t="s">
        <v>7</v>
      </c>
      <c r="F163" s="273" t="s">
        <v>299</v>
      </c>
      <c r="G163" s="274">
        <v>45656</v>
      </c>
      <c r="H163" s="381">
        <v>45779</v>
      </c>
      <c r="I163" s="276">
        <f t="shared" ca="1" si="16"/>
        <v>2.1004390957981251E-2</v>
      </c>
      <c r="J163" s="277">
        <v>392.8</v>
      </c>
      <c r="K163" s="278">
        <f>(304.5+290.3)/2</f>
        <v>297.39999999999998</v>
      </c>
      <c r="L163" s="279">
        <v>8</v>
      </c>
      <c r="M163" s="280">
        <f t="shared" si="28"/>
        <v>2379.1999999999998</v>
      </c>
      <c r="N163" s="281">
        <f t="shared" si="31"/>
        <v>3142.4</v>
      </c>
      <c r="O163" s="281">
        <f t="shared" si="18"/>
        <v>763.20000000000027</v>
      </c>
      <c r="P163" s="275">
        <f t="shared" si="19"/>
        <v>0.32078009414929398</v>
      </c>
      <c r="Q163" s="282">
        <f t="shared" si="20"/>
        <v>123</v>
      </c>
      <c r="R163" s="24" t="s">
        <v>266</v>
      </c>
      <c r="S163" s="25"/>
      <c r="T163" s="25"/>
      <c r="U163" s="25"/>
      <c r="V163" s="25"/>
      <c r="W163" s="25"/>
      <c r="X163" s="25"/>
      <c r="Y163" s="14"/>
      <c r="Z163" s="14"/>
      <c r="AA163" s="14"/>
      <c r="AB163" s="14"/>
      <c r="AC163" s="14"/>
      <c r="AD163" s="14"/>
      <c r="AE163" s="14"/>
      <c r="AF163" s="14"/>
      <c r="AG163" s="14"/>
      <c r="AH163" s="29"/>
      <c r="AI163" s="29"/>
      <c r="AJ163" s="29"/>
      <c r="AK163" s="29"/>
      <c r="AL163" s="14"/>
      <c r="AM163" s="14"/>
      <c r="AN163" s="332"/>
      <c r="AO163" s="332"/>
      <c r="AP163" s="332"/>
      <c r="AQ163" s="332"/>
      <c r="AR163" s="332"/>
      <c r="AS163" s="332"/>
      <c r="AT163" s="332"/>
      <c r="AU163" s="28"/>
      <c r="AV163" s="332"/>
      <c r="AW163" s="28"/>
      <c r="AX163" s="332"/>
      <c r="BB163" s="40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row>
    <row r="164" spans="1:79" ht="15.75" customHeight="1">
      <c r="A164" s="14"/>
      <c r="B164" s="270" t="s">
        <v>43</v>
      </c>
      <c r="C164" s="271" t="str">
        <f ca="1">IFERROR(__xludf.DUMMYFUNCTION("GoogleFinance(B164,""name"")"),"iShares Bitcoin Trust ETF")</f>
        <v>iShares Bitcoin Trust ETF</v>
      </c>
      <c r="D164" s="272">
        <f ca="1">IFERROR(__xludf.DUMMYFUNCTION("GoogleFinance(B164,""marketcap"")/1000000"),179080.091223)</f>
        <v>179080.091223</v>
      </c>
      <c r="E164" s="273" t="s">
        <v>151</v>
      </c>
      <c r="F164" s="273" t="s">
        <v>44</v>
      </c>
      <c r="G164" s="274">
        <v>45509</v>
      </c>
      <c r="H164" s="381">
        <v>45779</v>
      </c>
      <c r="I164" s="276">
        <f t="shared" ca="1" si="16"/>
        <v>2.3939417711306598E-2</v>
      </c>
      <c r="J164" s="277">
        <v>55.1</v>
      </c>
      <c r="K164" s="278">
        <f>M164/L164</f>
        <v>62.615384615384613</v>
      </c>
      <c r="L164" s="279">
        <v>65</v>
      </c>
      <c r="M164" s="280">
        <f>1694+592+1784</f>
        <v>4070</v>
      </c>
      <c r="N164" s="281">
        <f t="shared" si="31"/>
        <v>3581.5</v>
      </c>
      <c r="O164" s="281">
        <f t="shared" si="18"/>
        <v>-488.5</v>
      </c>
      <c r="P164" s="275">
        <f t="shared" si="19"/>
        <v>-0.12002457002457001</v>
      </c>
      <c r="Q164" s="282">
        <f t="shared" si="20"/>
        <v>270</v>
      </c>
      <c r="R164" s="24" t="s">
        <v>266</v>
      </c>
      <c r="S164" s="25"/>
      <c r="T164" s="25"/>
      <c r="U164" s="25"/>
      <c r="V164" s="25"/>
      <c r="W164" s="25"/>
      <c r="X164" s="25"/>
      <c r="Y164" s="14"/>
      <c r="Z164" s="14"/>
      <c r="AA164" s="14"/>
      <c r="AB164" s="14"/>
      <c r="AC164" s="14"/>
      <c r="AD164" s="14"/>
      <c r="AE164" s="14"/>
      <c r="AF164" s="14"/>
      <c r="AG164" s="14"/>
      <c r="AH164" s="29"/>
      <c r="AI164" s="29"/>
      <c r="AJ164" s="29"/>
      <c r="AK164" s="29"/>
      <c r="AL164" s="14"/>
      <c r="AM164" s="14"/>
      <c r="AN164" s="332"/>
      <c r="AO164" s="332"/>
      <c r="AP164" s="332"/>
      <c r="AQ164" s="332"/>
      <c r="AR164" s="332"/>
      <c r="AS164" s="332"/>
      <c r="AT164" s="332"/>
      <c r="AU164" s="28"/>
      <c r="AV164" s="332"/>
      <c r="AW164" s="28"/>
      <c r="AX164" s="332"/>
      <c r="BB164" s="40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row>
    <row r="165" spans="1:79" ht="15.75" customHeight="1">
      <c r="A165" s="14"/>
      <c r="B165" s="7" t="s">
        <v>269</v>
      </c>
      <c r="C165" s="377" t="str">
        <f ca="1">IFERROR(__xludf.DUMMYFUNCTION("GoogleFinance(B165,""name"")"),"Alibaba Group Holding Ltd - ADR")</f>
        <v>Alibaba Group Holding Ltd - ADR</v>
      </c>
      <c r="D165" s="378">
        <f ca="1">IFERROR(__xludf.DUMMYFUNCTION("GoogleFinance(B165,""marketcap"")/1000000"),340928.957993)</f>
        <v>340928.95799299999</v>
      </c>
      <c r="E165" s="379" t="s">
        <v>128</v>
      </c>
      <c r="F165" s="379" t="s">
        <v>24</v>
      </c>
      <c r="G165" s="380">
        <v>45267</v>
      </c>
      <c r="H165" s="381">
        <v>45779</v>
      </c>
      <c r="I165" s="300">
        <f t="shared" ca="1" si="16"/>
        <v>7.5798686820108003E-3</v>
      </c>
      <c r="J165" s="382">
        <v>126</v>
      </c>
      <c r="K165" s="324">
        <v>73.5</v>
      </c>
      <c r="L165" s="383">
        <v>9</v>
      </c>
      <c r="M165" s="313">
        <f t="shared" ref="M165:M209" si="32">L165*K165</f>
        <v>661.5</v>
      </c>
      <c r="N165" s="384">
        <f t="shared" si="31"/>
        <v>1134</v>
      </c>
      <c r="O165" s="384">
        <f t="shared" si="18"/>
        <v>472.5</v>
      </c>
      <c r="P165" s="254">
        <f t="shared" si="19"/>
        <v>0.71428571428571419</v>
      </c>
      <c r="Q165" s="282">
        <f t="shared" si="20"/>
        <v>512</v>
      </c>
      <c r="R165" s="24" t="s">
        <v>264</v>
      </c>
      <c r="S165" s="25"/>
      <c r="T165" s="25"/>
      <c r="U165" s="25"/>
      <c r="V165" s="25"/>
      <c r="W165" s="25"/>
      <c r="X165" s="25"/>
      <c r="Y165" s="14"/>
      <c r="Z165" s="14"/>
      <c r="AA165" s="14"/>
      <c r="AB165" s="14"/>
      <c r="AC165" s="14"/>
      <c r="AD165" s="14"/>
      <c r="AE165" s="14"/>
      <c r="AF165" s="14"/>
      <c r="AG165" s="14"/>
      <c r="AH165" s="29"/>
      <c r="AI165" s="29"/>
      <c r="AJ165" s="29"/>
      <c r="AK165" s="29"/>
      <c r="AL165" s="14"/>
      <c r="AM165" s="14"/>
      <c r="AN165" s="332"/>
      <c r="AO165" s="332"/>
      <c r="AP165" s="332"/>
      <c r="AQ165" s="332"/>
      <c r="AR165" s="332"/>
      <c r="AS165" s="332"/>
      <c r="AT165" s="332"/>
      <c r="AU165" s="28"/>
      <c r="AV165" s="332"/>
      <c r="AW165" s="28"/>
      <c r="AX165" s="332"/>
      <c r="BB165" s="40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row>
    <row r="166" spans="1:79" ht="15.75" customHeight="1">
      <c r="A166" s="14"/>
      <c r="B166" s="7" t="s">
        <v>286</v>
      </c>
      <c r="C166" s="377" t="str">
        <f ca="1">IFERROR(__xludf.DUMMYFUNCTION("GoogleFinance(B166,""name"")"),"Baidu Inc")</f>
        <v>Baidu Inc</v>
      </c>
      <c r="D166" s="378">
        <f ca="1">IFERROR(__xludf.DUMMYFUNCTION("GoogleFinance(B166,""marketcap"")/1000000"),368997.153)</f>
        <v>368997.15299999999</v>
      </c>
      <c r="E166" s="379" t="s">
        <v>13</v>
      </c>
      <c r="F166" s="379" t="s">
        <v>24</v>
      </c>
      <c r="G166" s="380">
        <v>45383</v>
      </c>
      <c r="H166" s="381">
        <v>45779</v>
      </c>
      <c r="I166" s="300">
        <f t="shared" ca="1" si="16"/>
        <v>1.0548851108091537E-2</v>
      </c>
      <c r="J166" s="382">
        <v>90.7</v>
      </c>
      <c r="K166" s="324">
        <v>105.4</v>
      </c>
      <c r="L166" s="383">
        <f>57.4-40</f>
        <v>17.399999999999999</v>
      </c>
      <c r="M166" s="313">
        <f t="shared" si="32"/>
        <v>1833.96</v>
      </c>
      <c r="N166" s="384">
        <f t="shared" si="31"/>
        <v>1578.1799999999998</v>
      </c>
      <c r="O166" s="384">
        <f t="shared" si="18"/>
        <v>-255.7800000000002</v>
      </c>
      <c r="P166" s="254">
        <f t="shared" si="19"/>
        <v>-0.13946869070208734</v>
      </c>
      <c r="Q166" s="282">
        <f t="shared" si="20"/>
        <v>396</v>
      </c>
      <c r="R166" s="24" t="s">
        <v>264</v>
      </c>
      <c r="S166" s="25"/>
      <c r="T166" s="25"/>
      <c r="U166" s="25"/>
      <c r="V166" s="25"/>
      <c r="W166" s="25"/>
      <c r="X166" s="25"/>
      <c r="Y166" s="14"/>
      <c r="Z166" s="14"/>
      <c r="AA166" s="14"/>
      <c r="AB166" s="14"/>
      <c r="AC166" s="14"/>
      <c r="AD166" s="14"/>
      <c r="AE166" s="14"/>
      <c r="AF166" s="14"/>
      <c r="AG166" s="14"/>
      <c r="AH166" s="29"/>
      <c r="AI166" s="29"/>
      <c r="AJ166" s="29"/>
      <c r="AK166" s="29"/>
      <c r="AL166" s="14"/>
      <c r="AM166" s="14"/>
      <c r="AN166" s="332"/>
      <c r="AO166" s="332"/>
      <c r="AP166" s="332"/>
      <c r="AQ166" s="332"/>
      <c r="AR166" s="332"/>
      <c r="AS166" s="332"/>
      <c r="AT166" s="332"/>
      <c r="AU166" s="28"/>
      <c r="AV166" s="332"/>
      <c r="AW166" s="28"/>
      <c r="AX166" s="332"/>
      <c r="BB166" s="40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row>
    <row r="167" spans="1:79" ht="15.75" customHeight="1">
      <c r="A167" s="14"/>
      <c r="B167" s="7" t="s">
        <v>298</v>
      </c>
      <c r="C167" s="377" t="str">
        <f ca="1">IFERROR(__xludf.DUMMYFUNCTION("GoogleFinance(B167,""name"")"),"Strategy Inc Class A")</f>
        <v>Strategy Inc Class A</v>
      </c>
      <c r="D167" s="378">
        <f ca="1">IFERROR(__xludf.DUMMYFUNCTION("GoogleFinance(B167,""marketcap"")/1000000"),88540.806152)</f>
        <v>88540.806152000005</v>
      </c>
      <c r="E167" s="379" t="s">
        <v>7</v>
      </c>
      <c r="F167" s="379" t="s">
        <v>299</v>
      </c>
      <c r="G167" s="380">
        <v>45656</v>
      </c>
      <c r="H167" s="381">
        <v>45786</v>
      </c>
      <c r="I167" s="300">
        <f t="shared" ca="1" si="16"/>
        <v>1.556574759195766E-2</v>
      </c>
      <c r="J167" s="382">
        <v>427.3</v>
      </c>
      <c r="K167" s="324">
        <f>(304.5+290.3)/2</f>
        <v>297.39999999999998</v>
      </c>
      <c r="L167" s="383">
        <f>4000/K167-8</f>
        <v>5.4498991257565574</v>
      </c>
      <c r="M167" s="313">
        <f t="shared" si="32"/>
        <v>1620.8</v>
      </c>
      <c r="N167" s="384">
        <f t="shared" si="31"/>
        <v>2328.7418964357771</v>
      </c>
      <c r="O167" s="384">
        <f t="shared" si="18"/>
        <v>707.94189643577715</v>
      </c>
      <c r="P167" s="254">
        <f t="shared" si="19"/>
        <v>0.4367854741089443</v>
      </c>
      <c r="Q167" s="282">
        <f t="shared" si="20"/>
        <v>130</v>
      </c>
      <c r="R167" s="24" t="s">
        <v>264</v>
      </c>
      <c r="S167" s="25"/>
      <c r="T167" s="25"/>
      <c r="U167" s="25"/>
      <c r="V167" s="25"/>
      <c r="W167" s="25"/>
      <c r="X167" s="25"/>
      <c r="Y167" s="14"/>
      <c r="Z167" s="14"/>
      <c r="AA167" s="14"/>
      <c r="AB167" s="14"/>
      <c r="AC167" s="14"/>
      <c r="AD167" s="14"/>
      <c r="AE167" s="14"/>
      <c r="AF167" s="14"/>
      <c r="AG167" s="14"/>
      <c r="AH167" s="29"/>
      <c r="AI167" s="29"/>
      <c r="AJ167" s="29"/>
      <c r="AK167" s="29"/>
      <c r="AL167" s="14"/>
      <c r="AM167" s="14"/>
      <c r="AN167" s="332"/>
      <c r="AO167" s="332"/>
      <c r="AP167" s="332"/>
      <c r="AQ167" s="332"/>
      <c r="AR167" s="332"/>
      <c r="AS167" s="332"/>
      <c r="AT167" s="332"/>
      <c r="AU167" s="28"/>
      <c r="AV167" s="332"/>
      <c r="AW167" s="28"/>
      <c r="AX167" s="332"/>
      <c r="BB167" s="40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row>
    <row r="168" spans="1:79" ht="15.75" customHeight="1">
      <c r="A168" s="14"/>
      <c r="B168" s="7" t="s">
        <v>43</v>
      </c>
      <c r="C168" s="377" t="str">
        <f ca="1">IFERROR(__xludf.DUMMYFUNCTION("GoogleFinance(B168,""name"")"),"iShares Bitcoin Trust ETF")</f>
        <v>iShares Bitcoin Trust ETF</v>
      </c>
      <c r="D168" s="378">
        <f ca="1">IFERROR(__xludf.DUMMYFUNCTION("GoogleFinance(B168,""marketcap"")/1000000"),179080.091223)</f>
        <v>179080.091223</v>
      </c>
      <c r="E168" s="379" t="s">
        <v>151</v>
      </c>
      <c r="F168" s="379" t="s">
        <v>44</v>
      </c>
      <c r="G168" s="380">
        <v>45509</v>
      </c>
      <c r="H168" s="381">
        <v>45786</v>
      </c>
      <c r="I168" s="300">
        <f t="shared" ca="1" si="16"/>
        <v>7.8739729342228604E-3</v>
      </c>
      <c r="J168" s="382">
        <v>58.9</v>
      </c>
      <c r="K168" s="324">
        <v>38.4</v>
      </c>
      <c r="L168" s="383">
        <v>20</v>
      </c>
      <c r="M168" s="313">
        <f t="shared" si="32"/>
        <v>768</v>
      </c>
      <c r="N168" s="384">
        <f t="shared" si="31"/>
        <v>1178</v>
      </c>
      <c r="O168" s="384">
        <f t="shared" si="18"/>
        <v>410</v>
      </c>
      <c r="P168" s="254">
        <f t="shared" si="19"/>
        <v>0.53385416666666674</v>
      </c>
      <c r="Q168" s="282">
        <f t="shared" si="20"/>
        <v>277</v>
      </c>
      <c r="R168" s="24" t="s">
        <v>266</v>
      </c>
      <c r="S168" s="25"/>
      <c r="T168" s="25"/>
      <c r="U168" s="25"/>
      <c r="V168" s="25"/>
      <c r="W168" s="25"/>
      <c r="X168" s="25"/>
      <c r="Y168" s="14"/>
      <c r="Z168" s="14"/>
      <c r="AA168" s="14"/>
      <c r="AB168" s="14"/>
      <c r="AC168" s="14"/>
      <c r="AD168" s="14"/>
      <c r="AE168" s="14"/>
      <c r="AF168" s="14"/>
      <c r="AG168" s="14"/>
      <c r="AH168" s="29"/>
      <c r="AI168" s="29"/>
      <c r="AJ168" s="29"/>
      <c r="AK168" s="29"/>
      <c r="AL168" s="14"/>
      <c r="AM168" s="14"/>
      <c r="AN168" s="332"/>
      <c r="AO168" s="332"/>
      <c r="AP168" s="332"/>
      <c r="AQ168" s="332"/>
      <c r="AR168" s="332"/>
      <c r="AS168" s="332"/>
      <c r="AT168" s="332"/>
      <c r="AU168" s="28"/>
      <c r="AV168" s="332"/>
      <c r="AW168" s="28"/>
      <c r="AX168" s="332"/>
      <c r="BB168" s="40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row>
    <row r="169" spans="1:79" ht="15.75" customHeight="1">
      <c r="A169" s="14"/>
      <c r="B169" s="270" t="s">
        <v>156</v>
      </c>
      <c r="C169" s="271" t="str">
        <f ca="1">IFERROR(__xludf.DUMMYFUNCTION("GoogleFinance(B169,""name"")"),"Grayscale Ethereum Trust ETF")</f>
        <v>Grayscale Ethereum Trust ETF</v>
      </c>
      <c r="D169" s="272">
        <f ca="1">IFERROR(__xludf.DUMMYFUNCTION("GoogleFinance(B169,""marketcap"")/1000000"),4286.174091)</f>
        <v>4286.1740909999999</v>
      </c>
      <c r="E169" s="273" t="s">
        <v>151</v>
      </c>
      <c r="F169" s="273" t="s">
        <v>157</v>
      </c>
      <c r="G169" s="274">
        <v>45509</v>
      </c>
      <c r="H169" s="381">
        <v>45786</v>
      </c>
      <c r="I169" s="276">
        <f t="shared" ca="1" si="16"/>
        <v>5.940571685306084E-3</v>
      </c>
      <c r="J169" s="277">
        <v>19.75</v>
      </c>
      <c r="K169" s="278">
        <v>20.2</v>
      </c>
      <c r="L169" s="279">
        <v>45</v>
      </c>
      <c r="M169" s="280">
        <f t="shared" si="32"/>
        <v>909</v>
      </c>
      <c r="N169" s="281">
        <f t="shared" si="31"/>
        <v>888.75</v>
      </c>
      <c r="O169" s="281">
        <f t="shared" si="18"/>
        <v>-20.25</v>
      </c>
      <c r="P169" s="275">
        <f t="shared" si="19"/>
        <v>-2.2277227722772297E-2</v>
      </c>
      <c r="Q169" s="282">
        <f t="shared" si="20"/>
        <v>277</v>
      </c>
      <c r="R169" s="24" t="s">
        <v>266</v>
      </c>
      <c r="S169" s="25"/>
      <c r="T169" s="25"/>
      <c r="U169" s="25"/>
      <c r="V169" s="25"/>
      <c r="W169" s="25"/>
      <c r="X169" s="25"/>
      <c r="Y169" s="14"/>
      <c r="Z169" s="14"/>
      <c r="AA169" s="14"/>
      <c r="AB169" s="14"/>
      <c r="AC169" s="14"/>
      <c r="AD169" s="14"/>
      <c r="AE169" s="14"/>
      <c r="AF169" s="14"/>
      <c r="AG169" s="14"/>
      <c r="AH169" s="29"/>
      <c r="AI169" s="29"/>
      <c r="AJ169" s="29"/>
      <c r="AK169" s="29"/>
      <c r="AL169" s="14"/>
      <c r="AM169" s="14"/>
      <c r="AN169" s="332"/>
      <c r="AO169" s="332"/>
      <c r="AP169" s="332"/>
      <c r="AQ169" s="332"/>
      <c r="AR169" s="332"/>
      <c r="AS169" s="332"/>
      <c r="AT169" s="332"/>
      <c r="AU169" s="28"/>
      <c r="AV169" s="332"/>
      <c r="AW169" s="28"/>
      <c r="AX169" s="332"/>
      <c r="BB169" s="40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row>
    <row r="170" spans="1:79" ht="15.75" customHeight="1">
      <c r="A170" s="14"/>
      <c r="B170" s="1" t="s">
        <v>300</v>
      </c>
      <c r="C170" s="438" t="str">
        <f ca="1">IFERROR(__xludf.DUMMYFUNCTION("GoogleFinance(B170,""name"")"),"Amgen Inc")</f>
        <v>Amgen Inc</v>
      </c>
      <c r="D170" s="234">
        <f ca="1">IFERROR(__xludf.DUMMYFUNCTION("GoogleFinance(B170,""marketcap"")/1000000"),146962.037376)</f>
        <v>146962.03737599999</v>
      </c>
      <c r="E170" s="229" t="s">
        <v>17</v>
      </c>
      <c r="F170" s="229" t="s">
        <v>301</v>
      </c>
      <c r="G170" s="439">
        <v>45762</v>
      </c>
      <c r="H170" s="381">
        <v>45786</v>
      </c>
      <c r="I170" s="10">
        <f t="shared" ca="1" si="16"/>
        <v>3.1396678233673037E-2</v>
      </c>
      <c r="J170" s="236">
        <v>266</v>
      </c>
      <c r="K170" s="237">
        <f>(294+272.3)/2</f>
        <v>283.14999999999998</v>
      </c>
      <c r="L170" s="238">
        <f>(2500+2500)/K170</f>
        <v>17.658484901995411</v>
      </c>
      <c r="M170" s="239">
        <f t="shared" si="32"/>
        <v>5000</v>
      </c>
      <c r="N170" s="226">
        <f t="shared" si="31"/>
        <v>4697.1569839307795</v>
      </c>
      <c r="O170" s="440">
        <f t="shared" si="18"/>
        <v>-302.84301606922054</v>
      </c>
      <c r="P170" s="441">
        <f t="shared" si="19"/>
        <v>-6.0568603213844163E-2</v>
      </c>
      <c r="Q170" s="282">
        <f t="shared" si="20"/>
        <v>24</v>
      </c>
      <c r="R170" s="24" t="s">
        <v>62</v>
      </c>
      <c r="S170" s="25"/>
      <c r="T170" s="25"/>
      <c r="U170" s="25"/>
      <c r="V170" s="25"/>
      <c r="W170" s="25"/>
      <c r="X170" s="25"/>
      <c r="Y170" s="14"/>
      <c r="Z170" s="14"/>
      <c r="AA170" s="14"/>
      <c r="AB170" s="14"/>
      <c r="AC170" s="14"/>
      <c r="AD170" s="14"/>
      <c r="AE170" s="14"/>
      <c r="AF170" s="14"/>
      <c r="AG170" s="14"/>
      <c r="AH170" s="29"/>
      <c r="AI170" s="29"/>
      <c r="AJ170" s="29"/>
      <c r="AK170" s="29"/>
      <c r="AL170" s="14"/>
      <c r="AM170" s="14"/>
      <c r="AN170" s="332"/>
      <c r="AO170" s="332"/>
      <c r="AP170" s="332"/>
      <c r="AQ170" s="332"/>
      <c r="AR170" s="332"/>
      <c r="AS170" s="332"/>
      <c r="AT170" s="332"/>
      <c r="AU170" s="28"/>
      <c r="AV170" s="332"/>
      <c r="AW170" s="28"/>
      <c r="AX170" s="332"/>
      <c r="BB170" s="40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row>
    <row r="171" spans="1:79" ht="15.75" customHeight="1">
      <c r="A171" s="14"/>
      <c r="B171" s="270" t="s">
        <v>127</v>
      </c>
      <c r="C171" s="271" t="str">
        <f ca="1">IFERROR(__xludf.DUMMYFUNCTION("GoogleFinance(B171,""name"")"),"Tesla Inc")</f>
        <v>Tesla Inc</v>
      </c>
      <c r="D171" s="272">
        <f ca="1">IFERROR(__xludf.DUMMYFUNCTION("GoogleFinance(B171,""marketcap"")/1000000"),1379980.168874)</f>
        <v>1379980.168874</v>
      </c>
      <c r="E171" s="273" t="s">
        <v>128</v>
      </c>
      <c r="F171" s="273" t="s">
        <v>129</v>
      </c>
      <c r="G171" s="274">
        <v>45699</v>
      </c>
      <c r="H171" s="381">
        <v>45789</v>
      </c>
      <c r="I171" s="276">
        <f t="shared" ca="1" si="16"/>
        <v>1.7004573127897247E-2</v>
      </c>
      <c r="J171" s="277">
        <v>318</v>
      </c>
      <c r="K171" s="278">
        <v>307.41000000000003</v>
      </c>
      <c r="L171" s="279">
        <v>8</v>
      </c>
      <c r="M171" s="281">
        <f t="shared" si="32"/>
        <v>2459.2800000000002</v>
      </c>
      <c r="N171" s="281">
        <f t="shared" si="31"/>
        <v>2544</v>
      </c>
      <c r="O171" s="281">
        <f t="shared" si="18"/>
        <v>84.7199999999998</v>
      </c>
      <c r="P171" s="275">
        <f t="shared" si="19"/>
        <v>3.4449107055723571E-2</v>
      </c>
      <c r="Q171" s="282">
        <f t="shared" si="20"/>
        <v>90</v>
      </c>
      <c r="R171" s="24" t="s">
        <v>266</v>
      </c>
      <c r="S171" s="25"/>
      <c r="T171" s="25"/>
      <c r="U171" s="25"/>
      <c r="V171" s="25"/>
      <c r="W171" s="25"/>
      <c r="X171" s="25"/>
      <c r="Y171" s="14"/>
      <c r="Z171" s="14"/>
      <c r="AA171" s="14"/>
      <c r="AB171" s="14"/>
      <c r="AC171" s="14"/>
      <c r="AD171" s="14"/>
      <c r="AE171" s="14"/>
      <c r="AF171" s="14"/>
      <c r="AG171" s="14"/>
      <c r="AH171" s="29"/>
      <c r="AI171" s="29"/>
      <c r="AJ171" s="29"/>
      <c r="AK171" s="29"/>
      <c r="AL171" s="14"/>
      <c r="AM171" s="14"/>
      <c r="AN171" s="332"/>
      <c r="AO171" s="332"/>
      <c r="AP171" s="332"/>
      <c r="AQ171" s="332"/>
      <c r="AR171" s="332"/>
      <c r="AS171" s="332"/>
      <c r="AT171" s="332"/>
      <c r="AU171" s="28"/>
      <c r="AV171" s="332"/>
      <c r="AW171" s="28"/>
      <c r="AX171" s="332"/>
      <c r="BB171" s="40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row>
    <row r="172" spans="1:79" ht="15.75" customHeight="1">
      <c r="A172" s="14"/>
      <c r="B172" s="270" t="s">
        <v>112</v>
      </c>
      <c r="C172" s="405" t="str">
        <f ca="1">IFERROR(__xludf.DUMMYFUNCTION("GoogleFinance(B172,""name"")"),"JPMorgan Chase &amp; Co")</f>
        <v>JPMorgan Chase &amp; Co</v>
      </c>
      <c r="D172" s="272">
        <f ca="1">IFERROR(__xludf.DUMMYFUNCTION("GoogleFinance(B172,""marketcap"")/1000000"),869087.242526)</f>
        <v>869087.24252600002</v>
      </c>
      <c r="E172" s="273" t="s">
        <v>14</v>
      </c>
      <c r="F172" s="273" t="s">
        <v>21</v>
      </c>
      <c r="G172" s="442">
        <v>45730</v>
      </c>
      <c r="H172" s="381">
        <v>45789</v>
      </c>
      <c r="I172" s="276">
        <f t="shared" ca="1" si="16"/>
        <v>1.7479150443966706E-2</v>
      </c>
      <c r="J172" s="277">
        <v>261.5</v>
      </c>
      <c r="K172" s="278">
        <v>228.6</v>
      </c>
      <c r="L172" s="279">
        <v>10</v>
      </c>
      <c r="M172" s="280">
        <f t="shared" si="32"/>
        <v>2286</v>
      </c>
      <c r="N172" s="281">
        <f t="shared" si="31"/>
        <v>2615</v>
      </c>
      <c r="O172" s="281">
        <f t="shared" si="18"/>
        <v>329</v>
      </c>
      <c r="P172" s="275">
        <f t="shared" si="19"/>
        <v>0.14391951006124248</v>
      </c>
      <c r="Q172" s="282">
        <f t="shared" si="20"/>
        <v>59</v>
      </c>
      <c r="R172" s="24" t="s">
        <v>266</v>
      </c>
      <c r="S172" s="25"/>
      <c r="T172" s="25"/>
      <c r="U172" s="25"/>
      <c r="V172" s="25"/>
      <c r="W172" s="25"/>
      <c r="X172" s="25"/>
      <c r="Y172" s="14"/>
      <c r="Z172" s="14"/>
      <c r="AA172" s="14"/>
      <c r="AB172" s="14"/>
      <c r="AC172" s="14"/>
      <c r="AD172" s="14"/>
      <c r="AE172" s="14"/>
      <c r="AF172" s="14"/>
      <c r="AG172" s="14"/>
      <c r="AH172" s="29"/>
      <c r="AI172" s="29"/>
      <c r="AJ172" s="29"/>
      <c r="AK172" s="29"/>
      <c r="AL172" s="14"/>
      <c r="AM172" s="14"/>
      <c r="AN172" s="332"/>
      <c r="AO172" s="332"/>
      <c r="AP172" s="332"/>
      <c r="AQ172" s="332"/>
      <c r="AR172" s="332"/>
      <c r="AS172" s="332"/>
      <c r="AT172" s="332"/>
      <c r="AU172" s="28"/>
      <c r="AV172" s="332"/>
      <c r="AW172" s="28"/>
      <c r="AX172" s="332"/>
      <c r="BB172" s="40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row>
    <row r="173" spans="1:79" ht="15.75" customHeight="1">
      <c r="A173" s="14"/>
      <c r="B173" s="270" t="s">
        <v>92</v>
      </c>
      <c r="C173" s="405" t="str">
        <f ca="1">IFERROR(__xludf.DUMMYFUNCTION("GoogleFinance(B173,""name"")"),"Meta Platforms Inc")</f>
        <v>Meta Platforms Inc</v>
      </c>
      <c r="D173" s="272">
        <f ca="1">IFERROR(__xludf.DUMMYFUNCTION("GoogleFinance(B173,""marketcap"")/1000000"),1868404.86875)</f>
        <v>1868404.8687499999</v>
      </c>
      <c r="E173" s="273" t="s">
        <v>13</v>
      </c>
      <c r="F173" s="273" t="s">
        <v>24</v>
      </c>
      <c r="G173" s="442">
        <v>45730</v>
      </c>
      <c r="H173" s="381">
        <v>45790</v>
      </c>
      <c r="I173" s="276">
        <f t="shared" ca="1" si="16"/>
        <v>8.7348962906981607E-3</v>
      </c>
      <c r="J173" s="277">
        <v>653.4</v>
      </c>
      <c r="K173" s="278">
        <v>602.70000000000005</v>
      </c>
      <c r="L173" s="279">
        <v>2</v>
      </c>
      <c r="M173" s="280">
        <f t="shared" si="32"/>
        <v>1205.4000000000001</v>
      </c>
      <c r="N173" s="281">
        <f t="shared" si="31"/>
        <v>1306.8</v>
      </c>
      <c r="O173" s="281">
        <f t="shared" si="18"/>
        <v>101.39999999999986</v>
      </c>
      <c r="P173" s="275">
        <f t="shared" si="19"/>
        <v>8.4121453459432338E-2</v>
      </c>
      <c r="Q173" s="282">
        <f t="shared" si="20"/>
        <v>60</v>
      </c>
      <c r="R173" s="24" t="s">
        <v>266</v>
      </c>
      <c r="S173" s="25"/>
      <c r="T173" s="25"/>
      <c r="U173" s="25"/>
      <c r="V173" s="25"/>
      <c r="W173" s="25"/>
      <c r="X173" s="25"/>
      <c r="Y173" s="14"/>
      <c r="Z173" s="14"/>
      <c r="AA173" s="14"/>
      <c r="AB173" s="14"/>
      <c r="AC173" s="14"/>
      <c r="AD173" s="14"/>
      <c r="AE173" s="14"/>
      <c r="AF173" s="14"/>
      <c r="AG173" s="14"/>
      <c r="AH173" s="29"/>
      <c r="AI173" s="29"/>
      <c r="AJ173" s="29"/>
      <c r="AK173" s="29"/>
      <c r="AL173" s="14"/>
      <c r="AM173" s="14"/>
      <c r="AN173" s="332"/>
      <c r="AO173" s="332"/>
      <c r="AP173" s="332"/>
      <c r="AQ173" s="332"/>
      <c r="AR173" s="332"/>
      <c r="AS173" s="332"/>
      <c r="AT173" s="332"/>
      <c r="AU173" s="28"/>
      <c r="AV173" s="332"/>
      <c r="AW173" s="28"/>
      <c r="AX173" s="332"/>
      <c r="BB173" s="40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row>
    <row r="174" spans="1:79" ht="15.75" customHeight="1">
      <c r="A174" s="14"/>
      <c r="B174" s="443" t="s">
        <v>199</v>
      </c>
      <c r="C174" s="444" t="str">
        <f ca="1">IFERROR(__xludf.DUMMYFUNCTION("GoogleFinance(B174,""name"")"),"Arm Holdings PLC - ADR")</f>
        <v>Arm Holdings PLC - ADR</v>
      </c>
      <c r="D174" s="445">
        <f ca="1">IFERROR(__xludf.DUMMYFUNCTION("GoogleFinance(B174,""marketcap"")/1000000"),147894.434507)</f>
        <v>147894.434507</v>
      </c>
      <c r="E174" s="446" t="s">
        <v>7</v>
      </c>
      <c r="F174" s="273" t="s">
        <v>200</v>
      </c>
      <c r="G174" s="274">
        <v>45761</v>
      </c>
      <c r="H174" s="381">
        <v>45791</v>
      </c>
      <c r="I174" s="447">
        <f t="shared" ca="1" si="16"/>
        <v>2.2224923604661297E-2</v>
      </c>
      <c r="J174" s="448">
        <v>133</v>
      </c>
      <c r="K174" s="278">
        <f>(105.28+100.78+96.63)/3</f>
        <v>100.89666666666666</v>
      </c>
      <c r="L174" s="279">
        <v>25</v>
      </c>
      <c r="M174" s="280">
        <f t="shared" si="32"/>
        <v>2522.4166666666665</v>
      </c>
      <c r="N174" s="449">
        <f t="shared" si="31"/>
        <v>3325</v>
      </c>
      <c r="O174" s="281">
        <f t="shared" si="18"/>
        <v>802.58333333333348</v>
      </c>
      <c r="P174" s="275">
        <f t="shared" si="19"/>
        <v>0.31818031649542444</v>
      </c>
      <c r="Q174" s="282">
        <f t="shared" si="20"/>
        <v>30</v>
      </c>
      <c r="R174" s="24" t="s">
        <v>266</v>
      </c>
      <c r="S174" s="25"/>
      <c r="T174" s="25"/>
      <c r="U174" s="25"/>
      <c r="V174" s="25"/>
      <c r="W174" s="25"/>
      <c r="X174" s="25"/>
      <c r="Y174" s="14"/>
      <c r="Z174" s="14"/>
      <c r="AA174" s="14"/>
      <c r="AB174" s="14"/>
      <c r="AC174" s="14"/>
      <c r="AD174" s="14"/>
      <c r="AE174" s="14"/>
      <c r="AF174" s="14"/>
      <c r="AG174" s="14"/>
      <c r="AH174" s="29"/>
      <c r="AI174" s="29"/>
      <c r="AJ174" s="29"/>
      <c r="AK174" s="29"/>
      <c r="AL174" s="14"/>
      <c r="AM174" s="14"/>
      <c r="AN174" s="332"/>
      <c r="AO174" s="332"/>
      <c r="AP174" s="332"/>
      <c r="AQ174" s="332"/>
      <c r="AR174" s="332"/>
      <c r="AS174" s="332"/>
      <c r="AT174" s="332"/>
      <c r="AU174" s="28"/>
      <c r="AV174" s="332"/>
      <c r="AW174" s="28"/>
      <c r="AX174" s="332"/>
      <c r="BB174" s="40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row>
    <row r="175" spans="1:79" ht="15.75" customHeight="1">
      <c r="A175" s="14"/>
      <c r="B175" s="443" t="s">
        <v>189</v>
      </c>
      <c r="C175" s="444" t="str">
        <f ca="1">IFERROR(__xludf.DUMMYFUNCTION("GoogleFinance(B175,""name"")"),"iShares MSCI Europe Financials ETF")</f>
        <v>iShares MSCI Europe Financials ETF</v>
      </c>
      <c r="D175" s="445" t="str">
        <f ca="1">IFERROR(__xludf.DUMMYFUNCTION("GoogleFinance(B175,""marketcap"")/1000000"),"#N/A")</f>
        <v>#N/A</v>
      </c>
      <c r="E175" s="446" t="s">
        <v>33</v>
      </c>
      <c r="F175" s="273" t="s">
        <v>21</v>
      </c>
      <c r="G175" s="274">
        <v>45730</v>
      </c>
      <c r="H175" s="381">
        <v>45792</v>
      </c>
      <c r="I175" s="447">
        <f t="shared" ca="1" si="16"/>
        <v>1.8775214409964849E-2</v>
      </c>
      <c r="J175" s="448">
        <v>31.21</v>
      </c>
      <c r="K175" s="278">
        <v>28.6</v>
      </c>
      <c r="L175" s="279">
        <v>90</v>
      </c>
      <c r="M175" s="280">
        <f t="shared" si="32"/>
        <v>2574</v>
      </c>
      <c r="N175" s="449">
        <f t="shared" si="31"/>
        <v>2808.9</v>
      </c>
      <c r="O175" s="281">
        <f t="shared" si="18"/>
        <v>234.90000000000009</v>
      </c>
      <c r="P175" s="275">
        <f t="shared" si="19"/>
        <v>9.1258741258741338E-2</v>
      </c>
      <c r="Q175" s="282">
        <f t="shared" si="20"/>
        <v>62</v>
      </c>
      <c r="R175" s="24" t="s">
        <v>266</v>
      </c>
      <c r="S175" s="25"/>
      <c r="T175" s="25"/>
      <c r="U175" s="25"/>
      <c r="V175" s="25"/>
      <c r="W175" s="25"/>
      <c r="X175" s="25"/>
      <c r="Y175" s="14"/>
      <c r="Z175" s="14"/>
      <c r="AA175" s="14"/>
      <c r="AB175" s="14"/>
      <c r="AC175" s="14"/>
      <c r="AD175" s="14"/>
      <c r="AE175" s="14"/>
      <c r="AF175" s="14"/>
      <c r="AG175" s="14"/>
      <c r="AH175" s="29"/>
      <c r="AI175" s="29"/>
      <c r="AJ175" s="29"/>
      <c r="AK175" s="29"/>
      <c r="AL175" s="14"/>
      <c r="AM175" s="14"/>
      <c r="AN175" s="332"/>
      <c r="AO175" s="332"/>
      <c r="AP175" s="332"/>
      <c r="AQ175" s="332"/>
      <c r="AR175" s="332"/>
      <c r="AS175" s="332"/>
      <c r="AT175" s="332"/>
      <c r="AU175" s="28"/>
      <c r="AV175" s="332"/>
      <c r="AW175" s="28"/>
      <c r="AX175" s="332"/>
      <c r="BB175" s="40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row>
    <row r="176" spans="1:79" ht="15.75" customHeight="1">
      <c r="A176" s="14"/>
      <c r="B176" s="270" t="s">
        <v>115</v>
      </c>
      <c r="C176" s="405" t="str">
        <f ca="1">IFERROR(__xludf.DUMMYFUNCTION("GoogleFinance(B176,""name"")"),"Blackstone Inc")</f>
        <v>Blackstone Inc</v>
      </c>
      <c r="D176" s="272">
        <f ca="1">IFERROR(__xludf.DUMMYFUNCTION("GoogleFinance(B176,""marketcap"")/1000000"),207695.651796)</f>
        <v>207695.65179599999</v>
      </c>
      <c r="E176" s="273" t="s">
        <v>14</v>
      </c>
      <c r="F176" s="273" t="s">
        <v>116</v>
      </c>
      <c r="G176" s="442">
        <v>45730</v>
      </c>
      <c r="H176" s="381">
        <v>45792</v>
      </c>
      <c r="I176" s="276">
        <f t="shared" ca="1" si="16"/>
        <v>1.1766843763502481E-2</v>
      </c>
      <c r="J176" s="277">
        <v>146.69999999999999</v>
      </c>
      <c r="K176" s="278">
        <v>141.1</v>
      </c>
      <c r="L176" s="279">
        <v>12</v>
      </c>
      <c r="M176" s="280">
        <f t="shared" si="32"/>
        <v>1693.1999999999998</v>
      </c>
      <c r="N176" s="281">
        <f t="shared" si="31"/>
        <v>1760.3999999999999</v>
      </c>
      <c r="O176" s="281">
        <f t="shared" si="18"/>
        <v>67.200000000000045</v>
      </c>
      <c r="P176" s="275">
        <f t="shared" si="19"/>
        <v>3.9688164422395422E-2</v>
      </c>
      <c r="Q176" s="282">
        <f t="shared" si="20"/>
        <v>62</v>
      </c>
      <c r="R176" s="24" t="s">
        <v>266</v>
      </c>
      <c r="S176" s="25"/>
      <c r="T176" s="25"/>
      <c r="U176" s="25"/>
      <c r="V176" s="25"/>
      <c r="W176" s="25"/>
      <c r="X176" s="25"/>
      <c r="Y176" s="14"/>
      <c r="Z176" s="14"/>
      <c r="AA176" s="14"/>
      <c r="AB176" s="14"/>
      <c r="AC176" s="14"/>
      <c r="AD176" s="14"/>
      <c r="AE176" s="14"/>
      <c r="AF176" s="14"/>
      <c r="AG176" s="14"/>
      <c r="AH176" s="29"/>
      <c r="AI176" s="29"/>
      <c r="AJ176" s="29"/>
      <c r="AK176" s="29"/>
      <c r="AL176" s="14"/>
      <c r="AM176" s="14"/>
      <c r="AN176" s="332"/>
      <c r="AO176" s="332"/>
      <c r="AP176" s="332"/>
      <c r="AQ176" s="332"/>
      <c r="AR176" s="332"/>
      <c r="AS176" s="332"/>
      <c r="AT176" s="332"/>
      <c r="AU176" s="28"/>
      <c r="AV176" s="332"/>
      <c r="AW176" s="28"/>
      <c r="AX176" s="332"/>
      <c r="BB176" s="40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row>
    <row r="177" spans="1:79" ht="15.75" customHeight="1">
      <c r="A177" s="14"/>
      <c r="B177" s="270" t="s">
        <v>92</v>
      </c>
      <c r="C177" s="405" t="str">
        <f ca="1">IFERROR(__xludf.DUMMYFUNCTION("GoogleFinance(B177,""name"")"),"Meta Platforms Inc")</f>
        <v>Meta Platforms Inc</v>
      </c>
      <c r="D177" s="272">
        <f ca="1">IFERROR(__xludf.DUMMYFUNCTION("GoogleFinance(B177,""marketcap"")/1000000"),1868404.86875)</f>
        <v>1868404.8687499999</v>
      </c>
      <c r="E177" s="273" t="s">
        <v>13</v>
      </c>
      <c r="F177" s="273" t="s">
        <v>24</v>
      </c>
      <c r="G177" s="442">
        <v>45730</v>
      </c>
      <c r="H177" s="381">
        <v>45792</v>
      </c>
      <c r="I177" s="276">
        <f t="shared" ca="1" si="16"/>
        <v>1.3153277945180331E-2</v>
      </c>
      <c r="J177" s="277">
        <v>655.94</v>
      </c>
      <c r="K177" s="278">
        <v>602.70000000000005</v>
      </c>
      <c r="L177" s="279">
        <v>3</v>
      </c>
      <c r="M177" s="280">
        <f t="shared" si="32"/>
        <v>1808.1000000000001</v>
      </c>
      <c r="N177" s="281">
        <f t="shared" si="31"/>
        <v>1967.8200000000002</v>
      </c>
      <c r="O177" s="281">
        <f t="shared" si="18"/>
        <v>159.72000000000003</v>
      </c>
      <c r="P177" s="275">
        <f t="shared" si="19"/>
        <v>8.833582213373159E-2</v>
      </c>
      <c r="Q177" s="282">
        <f t="shared" si="20"/>
        <v>62</v>
      </c>
      <c r="R177" s="24" t="s">
        <v>266</v>
      </c>
      <c r="S177" s="25"/>
      <c r="T177" s="25"/>
      <c r="U177" s="25"/>
      <c r="V177" s="25"/>
      <c r="W177" s="25"/>
      <c r="X177" s="25"/>
      <c r="Y177" s="14"/>
      <c r="Z177" s="14"/>
      <c r="AA177" s="14"/>
      <c r="AB177" s="14"/>
      <c r="AC177" s="14"/>
      <c r="AD177" s="14"/>
      <c r="AE177" s="14"/>
      <c r="AF177" s="14"/>
      <c r="AG177" s="14"/>
      <c r="AH177" s="29"/>
      <c r="AI177" s="29"/>
      <c r="AJ177" s="29"/>
      <c r="AK177" s="29"/>
      <c r="AL177" s="14"/>
      <c r="AM177" s="14"/>
      <c r="AN177" s="332"/>
      <c r="AO177" s="332"/>
      <c r="AP177" s="332"/>
      <c r="AQ177" s="332"/>
      <c r="AR177" s="332"/>
      <c r="AS177" s="332"/>
      <c r="AT177" s="332"/>
      <c r="AU177" s="28"/>
      <c r="AV177" s="332"/>
      <c r="AW177" s="28"/>
      <c r="AX177" s="332"/>
      <c r="BB177" s="40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row>
    <row r="178" spans="1:79" ht="15.75" customHeight="1">
      <c r="A178" s="14"/>
      <c r="B178" s="270" t="s">
        <v>127</v>
      </c>
      <c r="C178" s="271" t="str">
        <f ca="1">IFERROR(__xludf.DUMMYFUNCTION("GoogleFinance(B178,""name"")"),"Tesla Inc")</f>
        <v>Tesla Inc</v>
      </c>
      <c r="D178" s="272">
        <f ca="1">IFERROR(__xludf.DUMMYFUNCTION("GoogleFinance(B178,""marketcap"")/1000000"),1379980.168874)</f>
        <v>1379980.168874</v>
      </c>
      <c r="E178" s="273" t="s">
        <v>128</v>
      </c>
      <c r="F178" s="273" t="s">
        <v>129</v>
      </c>
      <c r="G178" s="274">
        <v>45699</v>
      </c>
      <c r="H178" s="381">
        <v>45793</v>
      </c>
      <c r="I178" s="276">
        <f t="shared" ca="1" si="16"/>
        <v>1.8576694039721706E-2</v>
      </c>
      <c r="J178" s="277">
        <v>347.4</v>
      </c>
      <c r="K178" s="278">
        <v>307.41000000000003</v>
      </c>
      <c r="L178" s="279">
        <v>8</v>
      </c>
      <c r="M178" s="281">
        <f t="shared" si="32"/>
        <v>2459.2800000000002</v>
      </c>
      <c r="N178" s="281">
        <f t="shared" si="31"/>
        <v>2779.2</v>
      </c>
      <c r="O178" s="281">
        <f t="shared" si="18"/>
        <v>319.91999999999962</v>
      </c>
      <c r="P178" s="275">
        <f t="shared" si="19"/>
        <v>0.13008685468917713</v>
      </c>
      <c r="Q178" s="282">
        <f t="shared" si="20"/>
        <v>94</v>
      </c>
      <c r="R178" s="24" t="s">
        <v>266</v>
      </c>
      <c r="S178" s="25"/>
      <c r="T178" s="25"/>
      <c r="U178" s="25"/>
      <c r="V178" s="25"/>
      <c r="W178" s="25"/>
      <c r="X178" s="25"/>
      <c r="Y178" s="14"/>
      <c r="Z178" s="14"/>
      <c r="AA178" s="14"/>
      <c r="AB178" s="14"/>
      <c r="AC178" s="14"/>
      <c r="AD178" s="14"/>
      <c r="AE178" s="14"/>
      <c r="AF178" s="14"/>
      <c r="AG178" s="14"/>
      <c r="AH178" s="29"/>
      <c r="AI178" s="29"/>
      <c r="AJ178" s="29"/>
      <c r="AK178" s="29"/>
      <c r="AL178" s="14"/>
      <c r="AM178" s="14"/>
      <c r="AN178" s="332"/>
      <c r="AO178" s="332"/>
      <c r="AP178" s="332"/>
      <c r="AQ178" s="332"/>
      <c r="AR178" s="332"/>
      <c r="AS178" s="332"/>
      <c r="AT178" s="332"/>
      <c r="AU178" s="28"/>
      <c r="AV178" s="332"/>
      <c r="AW178" s="28"/>
      <c r="AX178" s="332"/>
      <c r="BB178" s="40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row>
    <row r="179" spans="1:79" ht="15.75" customHeight="1">
      <c r="A179" s="14"/>
      <c r="B179" s="270" t="s">
        <v>119</v>
      </c>
      <c r="C179" s="271" t="str">
        <f ca="1">IFERROR(__xludf.DUMMYFUNCTION("GoogleFinance(B179,""name"")"),"Walt Disney Co")</f>
        <v>Walt Disney Co</v>
      </c>
      <c r="D179" s="272">
        <f ca="1">IFERROR(__xludf.DUMMYFUNCTION("GoogleFinance(B179,""marketcap"")/1000000"),204011.459704)</f>
        <v>204011.45970400001</v>
      </c>
      <c r="E179" s="273" t="s">
        <v>13</v>
      </c>
      <c r="F179" s="273" t="s">
        <v>120</v>
      </c>
      <c r="G179" s="274">
        <v>45204</v>
      </c>
      <c r="H179" s="381">
        <v>45797</v>
      </c>
      <c r="I179" s="276">
        <f t="shared" ca="1" si="16"/>
        <v>1.7967096135136713E-2</v>
      </c>
      <c r="J179" s="277">
        <v>112</v>
      </c>
      <c r="K179" s="278">
        <f>(13*86.66+35*83.4)/48</f>
        <v>84.282916666666665</v>
      </c>
      <c r="L179" s="279">
        <v>24</v>
      </c>
      <c r="M179" s="280">
        <f t="shared" si="32"/>
        <v>2022.79</v>
      </c>
      <c r="N179" s="281">
        <f t="shared" si="31"/>
        <v>2688</v>
      </c>
      <c r="O179" s="281">
        <f t="shared" si="18"/>
        <v>665.21</v>
      </c>
      <c r="P179" s="275">
        <f t="shared" si="19"/>
        <v>0.32885766688583584</v>
      </c>
      <c r="Q179" s="282">
        <f t="shared" si="20"/>
        <v>593</v>
      </c>
      <c r="R179" s="24" t="s">
        <v>266</v>
      </c>
      <c r="S179" s="25"/>
      <c r="T179" s="25"/>
      <c r="U179" s="25"/>
      <c r="V179" s="25"/>
      <c r="W179" s="25"/>
      <c r="X179" s="25"/>
      <c r="Y179" s="14"/>
      <c r="Z179" s="14"/>
      <c r="AA179" s="14"/>
      <c r="AB179" s="14"/>
      <c r="AC179" s="14"/>
      <c r="AD179" s="14"/>
      <c r="AE179" s="14"/>
      <c r="AF179" s="14"/>
      <c r="AG179" s="14"/>
      <c r="AH179" s="29"/>
      <c r="AI179" s="29"/>
      <c r="AJ179" s="29"/>
      <c r="AK179" s="29"/>
      <c r="AL179" s="14"/>
      <c r="AM179" s="14"/>
      <c r="AN179" s="332"/>
      <c r="AO179" s="332"/>
      <c r="AP179" s="332"/>
      <c r="AQ179" s="332"/>
      <c r="AR179" s="332"/>
      <c r="AS179" s="332"/>
      <c r="AT179" s="332"/>
      <c r="AU179" s="28"/>
      <c r="AV179" s="332"/>
      <c r="AW179" s="28"/>
      <c r="AX179" s="332"/>
      <c r="BB179" s="40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row>
    <row r="180" spans="1:79" ht="15.75" customHeight="1">
      <c r="A180" s="14"/>
      <c r="B180" s="390" t="s">
        <v>196</v>
      </c>
      <c r="C180" s="391" t="str">
        <f ca="1">IFERROR(__xludf.DUMMYFUNCTION("GoogleFinance(B180,""name"")"),"abrdn Physical Platinum Shares ETF")</f>
        <v>abrdn Physical Platinum Shares ETF</v>
      </c>
      <c r="D180" s="392" t="str">
        <f ca="1">IFERROR(__xludf.DUMMYFUNCTION("GoogleFinance(B180,""marketcap"")/1000000"),"#N/A")</f>
        <v>#N/A</v>
      </c>
      <c r="E180" s="393" t="s">
        <v>38</v>
      </c>
      <c r="F180" s="379" t="s">
        <v>197</v>
      </c>
      <c r="G180" s="380">
        <v>45783</v>
      </c>
      <c r="H180" s="381">
        <v>45819</v>
      </c>
      <c r="I180" s="394">
        <f t="shared" ca="1" si="16"/>
        <v>1.5640998867641333E-2</v>
      </c>
      <c r="J180" s="256">
        <v>117</v>
      </c>
      <c r="K180" s="324">
        <v>89.9</v>
      </c>
      <c r="L180" s="383">
        <v>20</v>
      </c>
      <c r="M180" s="313">
        <f t="shared" si="32"/>
        <v>1798</v>
      </c>
      <c r="N180" s="395">
        <f t="shared" si="31"/>
        <v>2340</v>
      </c>
      <c r="O180" s="384">
        <f t="shared" si="18"/>
        <v>542</v>
      </c>
      <c r="P180" s="254">
        <f t="shared" si="19"/>
        <v>0.30144605116796441</v>
      </c>
      <c r="Q180" s="282">
        <f t="shared" si="20"/>
        <v>36</v>
      </c>
      <c r="R180" s="24" t="s">
        <v>266</v>
      </c>
      <c r="S180" s="25"/>
      <c r="T180" s="25"/>
      <c r="U180" s="25"/>
      <c r="V180" s="25"/>
      <c r="W180" s="25"/>
      <c r="X180" s="25"/>
      <c r="Y180" s="14"/>
      <c r="Z180" s="14"/>
      <c r="AA180" s="14"/>
      <c r="AB180" s="14"/>
      <c r="AC180" s="14"/>
      <c r="AD180" s="14"/>
      <c r="AE180" s="14"/>
      <c r="AF180" s="14"/>
      <c r="AG180" s="14"/>
      <c r="AH180" s="29"/>
      <c r="AI180" s="29"/>
      <c r="AJ180" s="29"/>
      <c r="AK180" s="29"/>
      <c r="AL180" s="14"/>
      <c r="AM180" s="14"/>
      <c r="AN180" s="332"/>
      <c r="AO180" s="332"/>
      <c r="AP180" s="332"/>
      <c r="AQ180" s="332"/>
      <c r="AR180" s="332"/>
      <c r="AS180" s="332"/>
      <c r="AT180" s="332"/>
      <c r="AU180" s="28"/>
      <c r="AV180" s="332"/>
      <c r="AW180" s="28"/>
      <c r="AX180" s="332"/>
      <c r="BB180" s="40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row>
    <row r="181" spans="1:79" ht="15.75" customHeight="1">
      <c r="A181" s="14"/>
      <c r="B181" s="443" t="s">
        <v>199</v>
      </c>
      <c r="C181" s="444" t="str">
        <f ca="1">IFERROR(__xludf.DUMMYFUNCTION("GoogleFinance(B181,""name"")"),"Arm Holdings PLC - ADR")</f>
        <v>Arm Holdings PLC - ADR</v>
      </c>
      <c r="D181" s="445">
        <f ca="1">IFERROR(__xludf.DUMMYFUNCTION("GoogleFinance(B181,""marketcap"")/1000000"),147894.434507)</f>
        <v>147894.434507</v>
      </c>
      <c r="E181" s="446" t="s">
        <v>7</v>
      </c>
      <c r="F181" s="273" t="s">
        <v>200</v>
      </c>
      <c r="G181" s="274">
        <v>45761</v>
      </c>
      <c r="H181" s="381">
        <v>45833</v>
      </c>
      <c r="I181" s="447">
        <f t="shared" ca="1" si="16"/>
        <v>1.06479107675866E-2</v>
      </c>
      <c r="J181" s="448">
        <v>159.30000000000001</v>
      </c>
      <c r="K181" s="278">
        <v>125.57</v>
      </c>
      <c r="L181" s="279">
        <v>10</v>
      </c>
      <c r="M181" s="280">
        <f t="shared" si="32"/>
        <v>1255.6999999999998</v>
      </c>
      <c r="N181" s="449">
        <f t="shared" si="31"/>
        <v>1593</v>
      </c>
      <c r="O181" s="281">
        <f t="shared" si="18"/>
        <v>337.30000000000018</v>
      </c>
      <c r="P181" s="275">
        <f t="shared" si="19"/>
        <v>0.26861511507525693</v>
      </c>
      <c r="Q181" s="282">
        <f t="shared" si="20"/>
        <v>72</v>
      </c>
      <c r="R181" s="24" t="s">
        <v>266</v>
      </c>
      <c r="S181" s="25"/>
      <c r="T181" s="25"/>
      <c r="U181" s="25"/>
      <c r="V181" s="25"/>
      <c r="W181" s="25"/>
      <c r="X181" s="25"/>
      <c r="Y181" s="14"/>
      <c r="Z181" s="14"/>
      <c r="AA181" s="14"/>
      <c r="AB181" s="14"/>
      <c r="AC181" s="14"/>
      <c r="AD181" s="14"/>
      <c r="AE181" s="14"/>
      <c r="AF181" s="14"/>
      <c r="AG181" s="14"/>
      <c r="AH181" s="29"/>
      <c r="AI181" s="29"/>
      <c r="AJ181" s="29"/>
      <c r="AK181" s="29"/>
      <c r="AL181" s="14"/>
      <c r="AM181" s="14"/>
      <c r="AN181" s="332"/>
      <c r="AO181" s="332"/>
      <c r="AP181" s="332"/>
      <c r="AQ181" s="332"/>
      <c r="AR181" s="332"/>
      <c r="AS181" s="332"/>
      <c r="AT181" s="332"/>
      <c r="AU181" s="28"/>
      <c r="AV181" s="332"/>
      <c r="AW181" s="28"/>
      <c r="AX181" s="332"/>
      <c r="BB181" s="40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row>
    <row r="182" spans="1:79" ht="15.75" customHeight="1">
      <c r="A182" s="332"/>
      <c r="B182" s="450" t="s">
        <v>82</v>
      </c>
      <c r="C182" s="451" t="str">
        <f ca="1">IFERROR(__xludf.DUMMYFUNCTION("GoogleFinance(B182,""name"")"),"Verizon Communications Inc")</f>
        <v>Verizon Communications Inc</v>
      </c>
      <c r="D182" s="452">
        <f ca="1">IFERROR(__xludf.DUMMYFUNCTION("GoogleFinance(B182,""marketcap"")/1000000"),183873.935823)</f>
        <v>183873.93582300001</v>
      </c>
      <c r="E182" s="436" t="s">
        <v>13</v>
      </c>
      <c r="F182" s="436" t="s">
        <v>83</v>
      </c>
      <c r="G182" s="453">
        <v>45489</v>
      </c>
      <c r="H182" s="381">
        <v>45833</v>
      </c>
      <c r="I182" s="454">
        <f t="shared" ca="1" si="16"/>
        <v>1.6896289289582807E-2</v>
      </c>
      <c r="J182" s="455">
        <v>42.13</v>
      </c>
      <c r="K182" s="430">
        <f>(41.9+40.9)/2</f>
        <v>41.4</v>
      </c>
      <c r="L182" s="431">
        <v>60</v>
      </c>
      <c r="M182" s="432">
        <f t="shared" si="32"/>
        <v>2484</v>
      </c>
      <c r="N182" s="434">
        <f t="shared" si="31"/>
        <v>2527.8000000000002</v>
      </c>
      <c r="O182" s="434">
        <f t="shared" si="18"/>
        <v>43.800000000000182</v>
      </c>
      <c r="P182" s="435">
        <f t="shared" si="19"/>
        <v>1.7632850241545928E-2</v>
      </c>
      <c r="Q182" s="282">
        <f t="shared" si="20"/>
        <v>344</v>
      </c>
      <c r="R182" s="409" t="s">
        <v>266</v>
      </c>
      <c r="S182" s="456"/>
      <c r="T182" s="456"/>
      <c r="U182" s="456"/>
      <c r="V182" s="456"/>
      <c r="W182" s="456"/>
      <c r="X182" s="456"/>
      <c r="Y182" s="332"/>
      <c r="Z182" s="332"/>
      <c r="AA182" s="332"/>
      <c r="AB182" s="332"/>
      <c r="AC182" s="332"/>
      <c r="AD182" s="332"/>
      <c r="AE182" s="332"/>
      <c r="AF182" s="332"/>
      <c r="AG182" s="332"/>
      <c r="AH182" s="457"/>
      <c r="AI182" s="457"/>
      <c r="AJ182" s="457"/>
      <c r="AK182" s="457"/>
      <c r="AL182" s="332"/>
      <c r="AM182" s="332"/>
      <c r="AN182" s="332"/>
      <c r="AO182" s="332"/>
      <c r="AP182" s="332"/>
      <c r="AQ182" s="332"/>
      <c r="AR182" s="332"/>
      <c r="AS182" s="332"/>
      <c r="AT182" s="332"/>
      <c r="AU182" s="28"/>
      <c r="AV182" s="332"/>
      <c r="AW182" s="28"/>
      <c r="AX182" s="332"/>
      <c r="AY182" s="352"/>
      <c r="AZ182" s="352"/>
      <c r="BA182" s="352"/>
      <c r="BB182" s="409"/>
      <c r="BC182" s="457"/>
      <c r="BD182" s="457"/>
      <c r="BE182" s="457"/>
      <c r="BF182" s="457"/>
      <c r="BG182" s="457"/>
      <c r="BH182" s="457"/>
      <c r="BI182" s="457"/>
      <c r="BJ182" s="457"/>
      <c r="BK182" s="457"/>
      <c r="BL182" s="457"/>
      <c r="BM182" s="457"/>
      <c r="BN182" s="457"/>
      <c r="BO182" s="457"/>
      <c r="BP182" s="457"/>
      <c r="BQ182" s="457"/>
      <c r="BR182" s="457"/>
      <c r="BS182" s="457"/>
      <c r="BT182" s="457"/>
      <c r="BU182" s="457"/>
      <c r="BV182" s="457"/>
      <c r="BW182" s="457"/>
      <c r="BX182" s="457"/>
      <c r="BY182" s="457"/>
      <c r="BZ182" s="457"/>
      <c r="CA182" s="457"/>
    </row>
    <row r="183" spans="1:79" ht="15.75" customHeight="1">
      <c r="A183" s="332"/>
      <c r="B183" s="450" t="s">
        <v>145</v>
      </c>
      <c r="C183" s="458" t="str">
        <f ca="1">IFERROR(__xludf.DUMMYFUNCTION("GoogleFinance(B183,""name"")"),"Vista Energy SAB de CV - ADR")</f>
        <v>Vista Energy SAB de CV - ADR</v>
      </c>
      <c r="D183" s="452">
        <f ca="1">IFERROR(__xludf.DUMMYFUNCTION("GoogleFinance(B183,""marketcap"")/1000000"),3769.846995)</f>
        <v>3769.8469949999999</v>
      </c>
      <c r="E183" s="436" t="s">
        <v>15</v>
      </c>
      <c r="F183" s="436" t="s">
        <v>141</v>
      </c>
      <c r="G183" s="427">
        <v>45506</v>
      </c>
      <c r="H183" s="381">
        <v>45833</v>
      </c>
      <c r="I183" s="454">
        <f t="shared" ca="1" si="16"/>
        <v>1.6209154809414632E-2</v>
      </c>
      <c r="J183" s="455">
        <v>48.5</v>
      </c>
      <c r="K183" s="430">
        <v>40.450000000000003</v>
      </c>
      <c r="L183" s="431">
        <v>50</v>
      </c>
      <c r="M183" s="432">
        <f t="shared" si="32"/>
        <v>2022.5000000000002</v>
      </c>
      <c r="N183" s="434">
        <f t="shared" si="31"/>
        <v>2425</v>
      </c>
      <c r="O183" s="434">
        <f t="shared" si="18"/>
        <v>402.49999999999977</v>
      </c>
      <c r="P183" s="435">
        <f t="shared" si="19"/>
        <v>0.19901112484548822</v>
      </c>
      <c r="Q183" s="282">
        <f t="shared" si="20"/>
        <v>327</v>
      </c>
      <c r="R183" s="409" t="s">
        <v>266</v>
      </c>
      <c r="S183" s="456"/>
      <c r="T183" s="456"/>
      <c r="U183" s="456"/>
      <c r="V183" s="456"/>
      <c r="W183" s="456"/>
      <c r="X183" s="456"/>
      <c r="Y183" s="332"/>
      <c r="Z183" s="332"/>
      <c r="AA183" s="332"/>
      <c r="AB183" s="332"/>
      <c r="AC183" s="332"/>
      <c r="AD183" s="332"/>
      <c r="AE183" s="332"/>
      <c r="AF183" s="332"/>
      <c r="AG183" s="332"/>
      <c r="AH183" s="457"/>
      <c r="AI183" s="457"/>
      <c r="AJ183" s="457"/>
      <c r="AK183" s="457"/>
      <c r="AL183" s="332"/>
      <c r="AM183" s="332"/>
      <c r="AN183" s="332"/>
      <c r="AO183" s="332"/>
      <c r="AP183" s="332"/>
      <c r="AQ183" s="332"/>
      <c r="AR183" s="332"/>
      <c r="AS183" s="332"/>
      <c r="AT183" s="332"/>
      <c r="AU183" s="28"/>
      <c r="AV183" s="332"/>
      <c r="AW183" s="28"/>
      <c r="AX183" s="332"/>
      <c r="AY183" s="352"/>
      <c r="AZ183" s="352"/>
      <c r="BA183" s="352"/>
      <c r="BB183" s="409"/>
      <c r="BC183" s="457"/>
      <c r="BD183" s="457"/>
      <c r="BE183" s="457"/>
      <c r="BF183" s="457"/>
      <c r="BG183" s="457"/>
      <c r="BH183" s="457"/>
      <c r="BI183" s="457"/>
      <c r="BJ183" s="457"/>
      <c r="BK183" s="457"/>
      <c r="BL183" s="457"/>
      <c r="BM183" s="457"/>
      <c r="BN183" s="457"/>
      <c r="BO183" s="457"/>
      <c r="BP183" s="457"/>
      <c r="BQ183" s="457"/>
      <c r="BR183" s="457"/>
      <c r="BS183" s="457"/>
      <c r="BT183" s="457"/>
      <c r="BU183" s="457"/>
      <c r="BV183" s="457"/>
      <c r="BW183" s="457"/>
      <c r="BX183" s="457"/>
      <c r="BY183" s="457"/>
      <c r="BZ183" s="457"/>
      <c r="CA183" s="457"/>
    </row>
    <row r="184" spans="1:79" ht="15.75" customHeight="1">
      <c r="A184" s="332"/>
      <c r="B184" s="450" t="s">
        <v>302</v>
      </c>
      <c r="C184" s="451" t="str">
        <f ca="1">IFERROR(__xludf.DUMMYFUNCTION("GoogleFinance(B184,""name"")"),"YPF SA")</f>
        <v>YPF SA</v>
      </c>
      <c r="D184" s="452">
        <f ca="1">IFERROR(__xludf.DUMMYFUNCTION("GoogleFinance(B184,""marketcap"")/1000000"),10762.093494)</f>
        <v>10762.093494000001</v>
      </c>
      <c r="E184" s="436" t="s">
        <v>15</v>
      </c>
      <c r="F184" s="436" t="s">
        <v>141</v>
      </c>
      <c r="G184" s="427">
        <v>45777</v>
      </c>
      <c r="H184" s="381">
        <v>45833</v>
      </c>
      <c r="I184" s="454">
        <f t="shared" ca="1" si="16"/>
        <v>6.6775033627238002E-3</v>
      </c>
      <c r="J184" s="455">
        <v>33.299999999999997</v>
      </c>
      <c r="K184" s="430">
        <v>30.7</v>
      </c>
      <c r="L184" s="431">
        <v>30</v>
      </c>
      <c r="M184" s="432">
        <f t="shared" si="32"/>
        <v>921</v>
      </c>
      <c r="N184" s="434">
        <f t="shared" si="31"/>
        <v>998.99999999999989</v>
      </c>
      <c r="O184" s="459">
        <f t="shared" si="18"/>
        <v>77.999999999999886</v>
      </c>
      <c r="P184" s="460">
        <f t="shared" si="19"/>
        <v>8.4690553745928376E-2</v>
      </c>
      <c r="Q184" s="282">
        <f t="shared" si="20"/>
        <v>56</v>
      </c>
      <c r="R184" s="409" t="s">
        <v>266</v>
      </c>
      <c r="S184" s="456"/>
      <c r="T184" s="456"/>
      <c r="U184" s="456"/>
      <c r="V184" s="456"/>
      <c r="W184" s="456"/>
      <c r="X184" s="456"/>
      <c r="Y184" s="332"/>
      <c r="Z184" s="332"/>
      <c r="AA184" s="332"/>
      <c r="AB184" s="332"/>
      <c r="AC184" s="332"/>
      <c r="AD184" s="332"/>
      <c r="AE184" s="332"/>
      <c r="AF184" s="332"/>
      <c r="AG184" s="332"/>
      <c r="AH184" s="457"/>
      <c r="AI184" s="457"/>
      <c r="AJ184" s="457"/>
      <c r="AK184" s="457"/>
      <c r="AL184" s="332"/>
      <c r="AM184" s="332"/>
      <c r="AN184" s="332"/>
      <c r="AO184" s="332"/>
      <c r="AP184" s="332"/>
      <c r="AQ184" s="332"/>
      <c r="AR184" s="332"/>
      <c r="AS184" s="332"/>
      <c r="AT184" s="332"/>
      <c r="AU184" s="28"/>
      <c r="AV184" s="332"/>
      <c r="AW184" s="28"/>
      <c r="AX184" s="332"/>
      <c r="AY184" s="352"/>
      <c r="AZ184" s="352"/>
      <c r="BA184" s="352"/>
      <c r="BB184" s="409"/>
      <c r="BC184" s="457"/>
      <c r="BD184" s="457"/>
      <c r="BE184" s="457"/>
      <c r="BF184" s="457"/>
      <c r="BG184" s="457"/>
      <c r="BH184" s="457"/>
      <c r="BI184" s="457"/>
      <c r="BJ184" s="457"/>
      <c r="BK184" s="457"/>
      <c r="BL184" s="457"/>
      <c r="BM184" s="457"/>
      <c r="BN184" s="457"/>
      <c r="BO184" s="457"/>
      <c r="BP184" s="457"/>
      <c r="BQ184" s="457"/>
      <c r="BR184" s="457"/>
      <c r="BS184" s="457"/>
      <c r="BT184" s="457"/>
      <c r="BU184" s="457"/>
      <c r="BV184" s="457"/>
      <c r="BW184" s="457"/>
      <c r="BX184" s="457"/>
      <c r="BY184" s="457"/>
      <c r="BZ184" s="457"/>
      <c r="CA184" s="457"/>
    </row>
    <row r="185" spans="1:79" ht="15.75" customHeight="1">
      <c r="A185" s="332"/>
      <c r="B185" s="450" t="s">
        <v>140</v>
      </c>
      <c r="C185" s="458" t="str">
        <f ca="1">IFERROR(__xludf.DUMMYFUNCTION("GoogleFinance(B185,""name"")"),"Petroleo Brasileiro ADR Reptg 2 Ord Shs")</f>
        <v>Petroleo Brasileiro ADR Reptg 2 Ord Shs</v>
      </c>
      <c r="D185" s="452">
        <f ca="1">IFERROR(__xludf.DUMMYFUNCTION("GoogleFinance(B185,""marketcap"")/1000000"),436725.63)</f>
        <v>436725.63</v>
      </c>
      <c r="E185" s="436" t="s">
        <v>15</v>
      </c>
      <c r="F185" s="436" t="s">
        <v>141</v>
      </c>
      <c r="G185" s="427">
        <v>45785</v>
      </c>
      <c r="H185" s="381">
        <v>45833</v>
      </c>
      <c r="I185" s="454">
        <f t="shared" ca="1" si="16"/>
        <v>4.1174595309688301E-3</v>
      </c>
      <c r="J185" s="455">
        <v>12.32</v>
      </c>
      <c r="K185" s="430">
        <v>11.69</v>
      </c>
      <c r="L185" s="431">
        <v>50</v>
      </c>
      <c r="M185" s="432">
        <f t="shared" si="32"/>
        <v>584.5</v>
      </c>
      <c r="N185" s="434">
        <f t="shared" si="31"/>
        <v>616</v>
      </c>
      <c r="O185" s="434">
        <f t="shared" si="18"/>
        <v>31.5</v>
      </c>
      <c r="P185" s="435">
        <f t="shared" si="19"/>
        <v>5.3892215568862367E-2</v>
      </c>
      <c r="Q185" s="282">
        <f t="shared" si="20"/>
        <v>48</v>
      </c>
      <c r="R185" s="409" t="s">
        <v>266</v>
      </c>
      <c r="S185" s="456"/>
      <c r="T185" s="456"/>
      <c r="U185" s="456"/>
      <c r="V185" s="456"/>
      <c r="W185" s="456"/>
      <c r="X185" s="456"/>
      <c r="Y185" s="332"/>
      <c r="Z185" s="332"/>
      <c r="AA185" s="332"/>
      <c r="AB185" s="332"/>
      <c r="AC185" s="332"/>
      <c r="AD185" s="332"/>
      <c r="AE185" s="332"/>
      <c r="AF185" s="332"/>
      <c r="AG185" s="332"/>
      <c r="AH185" s="457"/>
      <c r="AI185" s="457"/>
      <c r="AJ185" s="457"/>
      <c r="AK185" s="457"/>
      <c r="AL185" s="332"/>
      <c r="AM185" s="332"/>
      <c r="AN185" s="332"/>
      <c r="AO185" s="332"/>
      <c r="AP185" s="332"/>
      <c r="AQ185" s="332"/>
      <c r="AR185" s="332"/>
      <c r="AS185" s="332"/>
      <c r="AT185" s="332"/>
      <c r="AU185" s="28"/>
      <c r="AV185" s="332"/>
      <c r="AW185" s="28"/>
      <c r="AX185" s="332"/>
      <c r="AY185" s="352"/>
      <c r="AZ185" s="352"/>
      <c r="BA185" s="352"/>
      <c r="BB185" s="409"/>
      <c r="BC185" s="457"/>
      <c r="BD185" s="457"/>
      <c r="BE185" s="457"/>
      <c r="BF185" s="457"/>
      <c r="BG185" s="457"/>
      <c r="BH185" s="457"/>
      <c r="BI185" s="457"/>
      <c r="BJ185" s="457"/>
      <c r="BK185" s="457"/>
      <c r="BL185" s="457"/>
      <c r="BM185" s="457"/>
      <c r="BN185" s="457"/>
      <c r="BO185" s="457"/>
      <c r="BP185" s="457"/>
      <c r="BQ185" s="457"/>
      <c r="BR185" s="457"/>
      <c r="BS185" s="457"/>
      <c r="BT185" s="457"/>
      <c r="BU185" s="457"/>
      <c r="BV185" s="457"/>
      <c r="BW185" s="457"/>
      <c r="BX185" s="457"/>
      <c r="BY185" s="457"/>
      <c r="BZ185" s="457"/>
      <c r="CA185" s="457"/>
    </row>
    <row r="186" spans="1:79" ht="15.75" customHeight="1">
      <c r="A186" s="332"/>
      <c r="B186" s="450" t="s">
        <v>148</v>
      </c>
      <c r="C186" s="458" t="str">
        <f ca="1">IFERROR(__xludf.DUMMYFUNCTION("GoogleFinance(B186,""name"")"),"Itau Unibanco Holding SA ADR")</f>
        <v>Itau Unibanco Holding SA ADR</v>
      </c>
      <c r="D186" s="452">
        <f ca="1">IFERROR(__xludf.DUMMYFUNCTION("GoogleFinance(B186,""marketcap"")/1000000"),393250.679379)</f>
        <v>393250.67937899998</v>
      </c>
      <c r="E186" s="436" t="s">
        <v>14</v>
      </c>
      <c r="F186" s="436" t="s">
        <v>21</v>
      </c>
      <c r="G186" s="427">
        <v>45427</v>
      </c>
      <c r="H186" s="381">
        <v>45833</v>
      </c>
      <c r="I186" s="454">
        <f t="shared" ca="1" si="16"/>
        <v>1.7646255132723557E-2</v>
      </c>
      <c r="J186" s="455">
        <v>6.6</v>
      </c>
      <c r="K186" s="430">
        <v>5.94</v>
      </c>
      <c r="L186" s="431">
        <v>400</v>
      </c>
      <c r="M186" s="432">
        <f t="shared" si="32"/>
        <v>2376</v>
      </c>
      <c r="N186" s="434">
        <f t="shared" si="31"/>
        <v>2640</v>
      </c>
      <c r="O186" s="434">
        <f t="shared" si="18"/>
        <v>264</v>
      </c>
      <c r="P186" s="435">
        <f t="shared" si="19"/>
        <v>0.11111111111111094</v>
      </c>
      <c r="Q186" s="282">
        <f t="shared" si="20"/>
        <v>406</v>
      </c>
      <c r="R186" s="409" t="s">
        <v>266</v>
      </c>
      <c r="S186" s="456"/>
      <c r="T186" s="456"/>
      <c r="U186" s="456"/>
      <c r="V186" s="456"/>
      <c r="W186" s="456"/>
      <c r="X186" s="456"/>
      <c r="Y186" s="332"/>
      <c r="Z186" s="332"/>
      <c r="AA186" s="332"/>
      <c r="AB186" s="332"/>
      <c r="AC186" s="332"/>
      <c r="AD186" s="332"/>
      <c r="AE186" s="332"/>
      <c r="AF186" s="332"/>
      <c r="AG186" s="332"/>
      <c r="AH186" s="457"/>
      <c r="AI186" s="457"/>
      <c r="AJ186" s="457"/>
      <c r="AK186" s="457"/>
      <c r="AL186" s="332"/>
      <c r="AM186" s="332"/>
      <c r="AN186" s="332"/>
      <c r="AO186" s="332"/>
      <c r="AP186" s="332"/>
      <c r="AQ186" s="332"/>
      <c r="AR186" s="332"/>
      <c r="AS186" s="332"/>
      <c r="AT186" s="332"/>
      <c r="AU186" s="28"/>
      <c r="AV186" s="332"/>
      <c r="AW186" s="28"/>
      <c r="AX186" s="332"/>
      <c r="AY186" s="352"/>
      <c r="AZ186" s="352"/>
      <c r="BA186" s="352"/>
      <c r="BB186" s="409"/>
      <c r="BC186" s="457"/>
      <c r="BD186" s="457"/>
      <c r="BE186" s="457"/>
      <c r="BF186" s="457"/>
      <c r="BG186" s="457"/>
      <c r="BH186" s="457"/>
      <c r="BI186" s="457"/>
      <c r="BJ186" s="457"/>
      <c r="BK186" s="457"/>
      <c r="BL186" s="457"/>
      <c r="BM186" s="457"/>
      <c r="BN186" s="457"/>
      <c r="BO186" s="457"/>
      <c r="BP186" s="457"/>
      <c r="BQ186" s="457"/>
      <c r="BR186" s="457"/>
      <c r="BS186" s="457"/>
      <c r="BT186" s="457"/>
      <c r="BU186" s="457"/>
      <c r="BV186" s="457"/>
      <c r="BW186" s="457"/>
      <c r="BX186" s="457"/>
      <c r="BY186" s="457"/>
      <c r="BZ186" s="457"/>
      <c r="CA186" s="457"/>
    </row>
    <row r="187" spans="1:79" ht="15.75" customHeight="1">
      <c r="A187" s="332"/>
      <c r="B187" s="450" t="s">
        <v>159</v>
      </c>
      <c r="C187" s="458" t="str">
        <f ca="1">IFERROR(__xludf.DUMMYFUNCTION("GoogleFinance(B187,""name"")"),"Albemarle Corp")</f>
        <v>Albemarle Corp</v>
      </c>
      <c r="D187" s="452">
        <f ca="1">IFERROR(__xludf.DUMMYFUNCTION("GoogleFinance(B187,""marketcap"")/1000000"),10367.86331)</f>
        <v>10367.863310000001</v>
      </c>
      <c r="E187" s="436" t="s">
        <v>12</v>
      </c>
      <c r="F187" s="436" t="s">
        <v>30</v>
      </c>
      <c r="G187" s="427">
        <v>45776</v>
      </c>
      <c r="H187" s="381">
        <v>45833</v>
      </c>
      <c r="I187" s="454">
        <f t="shared" ca="1" si="16"/>
        <v>6.0759264831991341E-3</v>
      </c>
      <c r="J187" s="455">
        <v>60.6</v>
      </c>
      <c r="K187" s="430">
        <v>60.43</v>
      </c>
      <c r="L187" s="431">
        <v>15</v>
      </c>
      <c r="M187" s="432">
        <f t="shared" si="32"/>
        <v>906.45</v>
      </c>
      <c r="N187" s="434">
        <f t="shared" si="31"/>
        <v>909</v>
      </c>
      <c r="O187" s="434">
        <f t="shared" si="18"/>
        <v>2.5499999999999545</v>
      </c>
      <c r="P187" s="435">
        <f t="shared" si="19"/>
        <v>2.8131722654312075E-3</v>
      </c>
      <c r="Q187" s="282">
        <f t="shared" si="20"/>
        <v>57</v>
      </c>
      <c r="R187" s="409" t="s">
        <v>266</v>
      </c>
      <c r="S187" s="456"/>
      <c r="T187" s="456"/>
      <c r="U187" s="456"/>
      <c r="V187" s="456"/>
      <c r="W187" s="456"/>
      <c r="X187" s="456"/>
      <c r="Y187" s="332"/>
      <c r="Z187" s="332"/>
      <c r="AA187" s="332"/>
      <c r="AB187" s="332"/>
      <c r="AC187" s="332"/>
      <c r="AD187" s="332"/>
      <c r="AE187" s="332"/>
      <c r="AF187" s="332"/>
      <c r="AG187" s="332"/>
      <c r="AH187" s="457"/>
      <c r="AI187" s="457"/>
      <c r="AJ187" s="457"/>
      <c r="AK187" s="457"/>
      <c r="AL187" s="332"/>
      <c r="AM187" s="332"/>
      <c r="AN187" s="332"/>
      <c r="AO187" s="332"/>
      <c r="AP187" s="332"/>
      <c r="AQ187" s="332"/>
      <c r="AR187" s="332"/>
      <c r="AS187" s="332"/>
      <c r="AT187" s="332"/>
      <c r="AU187" s="28"/>
      <c r="AV187" s="332"/>
      <c r="AW187" s="28"/>
      <c r="AX187" s="332"/>
      <c r="AY187" s="352"/>
      <c r="AZ187" s="352"/>
      <c r="BA187" s="352"/>
      <c r="BB187" s="409"/>
      <c r="BC187" s="457"/>
      <c r="BD187" s="457"/>
      <c r="BE187" s="457"/>
      <c r="BF187" s="457"/>
      <c r="BG187" s="457"/>
      <c r="BH187" s="457"/>
      <c r="BI187" s="457"/>
      <c r="BJ187" s="457"/>
      <c r="BK187" s="457"/>
      <c r="BL187" s="457"/>
      <c r="BM187" s="457"/>
      <c r="BN187" s="457"/>
      <c r="BO187" s="457"/>
      <c r="BP187" s="457"/>
      <c r="BQ187" s="457"/>
      <c r="BR187" s="457"/>
      <c r="BS187" s="457"/>
      <c r="BT187" s="457"/>
      <c r="BU187" s="457"/>
      <c r="BV187" s="457"/>
      <c r="BW187" s="457"/>
      <c r="BX187" s="457"/>
      <c r="BY187" s="457"/>
      <c r="BZ187" s="457"/>
      <c r="CA187" s="457"/>
    </row>
    <row r="188" spans="1:79" ht="15.75" customHeight="1">
      <c r="A188" s="332"/>
      <c r="B188" s="450" t="s">
        <v>172</v>
      </c>
      <c r="C188" s="458" t="str">
        <f ca="1">IFERROR(__xludf.DUMMYFUNCTION("GoogleFinance(B188,""name"")"),"Exxon Mobil Corp")</f>
        <v>Exxon Mobil Corp</v>
      </c>
      <c r="D188" s="452">
        <f ca="1">IFERROR(__xludf.DUMMYFUNCTION("GoogleFinance(B188,""marketcap"")/1000000"),499737.701324)</f>
        <v>499737.70132400002</v>
      </c>
      <c r="E188" s="436" t="s">
        <v>15</v>
      </c>
      <c r="F188" s="436" t="s">
        <v>141</v>
      </c>
      <c r="G188" s="427">
        <v>45817</v>
      </c>
      <c r="H188" s="381">
        <v>45833</v>
      </c>
      <c r="I188" s="454">
        <f t="shared" ca="1" si="16"/>
        <v>1.4571528859597482E-2</v>
      </c>
      <c r="J188" s="455">
        <v>109</v>
      </c>
      <c r="K188" s="430">
        <v>104.9</v>
      </c>
      <c r="L188" s="431">
        <v>20</v>
      </c>
      <c r="M188" s="432">
        <f t="shared" si="32"/>
        <v>2098</v>
      </c>
      <c r="N188" s="434">
        <f t="shared" si="31"/>
        <v>2180</v>
      </c>
      <c r="O188" s="434">
        <f t="shared" si="18"/>
        <v>82</v>
      </c>
      <c r="P188" s="435">
        <f t="shared" si="19"/>
        <v>3.908484270734025E-2</v>
      </c>
      <c r="Q188" s="282">
        <f t="shared" si="20"/>
        <v>16</v>
      </c>
      <c r="R188" s="409" t="s">
        <v>266</v>
      </c>
      <c r="S188" s="456"/>
      <c r="T188" s="456"/>
      <c r="U188" s="456"/>
      <c r="V188" s="456"/>
      <c r="W188" s="456"/>
      <c r="X188" s="456"/>
      <c r="Y188" s="332"/>
      <c r="Z188" s="332"/>
      <c r="AA188" s="332"/>
      <c r="AB188" s="332"/>
      <c r="AC188" s="332"/>
      <c r="AD188" s="332"/>
      <c r="AE188" s="332"/>
      <c r="AF188" s="332"/>
      <c r="AG188" s="332"/>
      <c r="AH188" s="457"/>
      <c r="AI188" s="457"/>
      <c r="AJ188" s="457"/>
      <c r="AK188" s="457"/>
      <c r="AL188" s="332"/>
      <c r="AM188" s="332"/>
      <c r="AN188" s="332"/>
      <c r="AO188" s="332"/>
      <c r="AP188" s="332"/>
      <c r="AQ188" s="332"/>
      <c r="AR188" s="332"/>
      <c r="AS188" s="332"/>
      <c r="AT188" s="332"/>
      <c r="AU188" s="28"/>
      <c r="AV188" s="332"/>
      <c r="AW188" s="28"/>
      <c r="AX188" s="332"/>
      <c r="AY188" s="352"/>
      <c r="AZ188" s="352"/>
      <c r="BA188" s="352"/>
      <c r="BB188" s="409"/>
      <c r="BC188" s="457"/>
      <c r="BD188" s="457"/>
      <c r="BE188" s="457"/>
      <c r="BF188" s="457"/>
      <c r="BG188" s="457"/>
      <c r="BH188" s="457"/>
      <c r="BI188" s="457"/>
      <c r="BJ188" s="457"/>
      <c r="BK188" s="457"/>
      <c r="BL188" s="457"/>
      <c r="BM188" s="457"/>
      <c r="BN188" s="457"/>
      <c r="BO188" s="457"/>
      <c r="BP188" s="457"/>
      <c r="BQ188" s="457"/>
      <c r="BR188" s="457"/>
      <c r="BS188" s="457"/>
      <c r="BT188" s="457"/>
      <c r="BU188" s="457"/>
      <c r="BV188" s="457"/>
      <c r="BW188" s="457"/>
      <c r="BX188" s="457"/>
      <c r="BY188" s="457"/>
      <c r="BZ188" s="457"/>
      <c r="CA188" s="457"/>
    </row>
    <row r="189" spans="1:79" ht="15.75" customHeight="1">
      <c r="A189" s="332"/>
      <c r="B189" s="423" t="s">
        <v>185</v>
      </c>
      <c r="C189" s="424" t="str">
        <f ca="1">IFERROR(__xludf.DUMMYFUNCTION("GoogleFinance(B189,""name"")"),"iShares MSCI India ETF")</f>
        <v>iShares MSCI India ETF</v>
      </c>
      <c r="D189" s="425" t="str">
        <f ca="1">IFERROR(__xludf.DUMMYFUNCTION("GoogleFinance(B189,""marketcap"")/1000000"),"#N/A")</f>
        <v>#N/A</v>
      </c>
      <c r="E189" s="426" t="s">
        <v>32</v>
      </c>
      <c r="F189" s="437" t="s">
        <v>186</v>
      </c>
      <c r="G189" s="427">
        <v>45735</v>
      </c>
      <c r="H189" s="381">
        <v>45833</v>
      </c>
      <c r="I189" s="428">
        <f t="shared" ca="1" si="16"/>
        <v>7.3526063053014823E-3</v>
      </c>
      <c r="J189" s="429">
        <v>55</v>
      </c>
      <c r="K189" s="430">
        <v>50.4</v>
      </c>
      <c r="L189" s="431">
        <v>20</v>
      </c>
      <c r="M189" s="432">
        <f t="shared" si="32"/>
        <v>1008</v>
      </c>
      <c r="N189" s="433">
        <f t="shared" si="31"/>
        <v>1100</v>
      </c>
      <c r="O189" s="434">
        <f t="shared" si="18"/>
        <v>92</v>
      </c>
      <c r="P189" s="435">
        <f t="shared" si="19"/>
        <v>9.126984126984139E-2</v>
      </c>
      <c r="Q189" s="282">
        <f t="shared" si="20"/>
        <v>98</v>
      </c>
      <c r="R189" s="409" t="s">
        <v>266</v>
      </c>
      <c r="S189" s="456"/>
      <c r="T189" s="456"/>
      <c r="U189" s="456"/>
      <c r="V189" s="456"/>
      <c r="W189" s="456"/>
      <c r="X189" s="456"/>
      <c r="Y189" s="332"/>
      <c r="Z189" s="332"/>
      <c r="AA189" s="332"/>
      <c r="AB189" s="332"/>
      <c r="AC189" s="332"/>
      <c r="AD189" s="332"/>
      <c r="AE189" s="332"/>
      <c r="AF189" s="332"/>
      <c r="AG189" s="332"/>
      <c r="AH189" s="457"/>
      <c r="AI189" s="457"/>
      <c r="AJ189" s="457"/>
      <c r="AK189" s="457"/>
      <c r="AL189" s="332"/>
      <c r="AM189" s="332"/>
      <c r="AN189" s="332"/>
      <c r="AO189" s="332"/>
      <c r="AP189" s="332"/>
      <c r="AQ189" s="332"/>
      <c r="AR189" s="332"/>
      <c r="AS189" s="332"/>
      <c r="AT189" s="332"/>
      <c r="AU189" s="28"/>
      <c r="AV189" s="332"/>
      <c r="AW189" s="28"/>
      <c r="AX189" s="332"/>
      <c r="AY189" s="352"/>
      <c r="AZ189" s="352"/>
      <c r="BA189" s="352"/>
      <c r="BB189" s="409"/>
      <c r="BC189" s="457"/>
      <c r="BD189" s="457"/>
      <c r="BE189" s="457"/>
      <c r="BF189" s="457"/>
      <c r="BG189" s="457"/>
      <c r="BH189" s="457"/>
      <c r="BI189" s="457"/>
      <c r="BJ189" s="457"/>
      <c r="BK189" s="457"/>
      <c r="BL189" s="457"/>
      <c r="BM189" s="457"/>
      <c r="BN189" s="457"/>
      <c r="BO189" s="457"/>
      <c r="BP189" s="457"/>
      <c r="BQ189" s="457"/>
      <c r="BR189" s="457"/>
      <c r="BS189" s="457"/>
      <c r="BT189" s="457"/>
      <c r="BU189" s="457"/>
      <c r="BV189" s="457"/>
      <c r="BW189" s="457"/>
      <c r="BX189" s="457"/>
      <c r="BY189" s="457"/>
      <c r="BZ189" s="457"/>
      <c r="CA189" s="457"/>
    </row>
    <row r="190" spans="1:79" ht="15.75" customHeight="1">
      <c r="A190" s="14"/>
      <c r="B190" s="7" t="s">
        <v>302</v>
      </c>
      <c r="C190" s="377" t="str">
        <f ca="1">IFERROR(__xludf.DUMMYFUNCTION("GoogleFinance(B190,""name"")"),"YPF SA")</f>
        <v>YPF SA</v>
      </c>
      <c r="D190" s="378">
        <f ca="1">IFERROR(__xludf.DUMMYFUNCTION("GoogleFinance(B190,""marketcap"")/1000000"),10762.093494)</f>
        <v>10762.093494000001</v>
      </c>
      <c r="E190" s="379" t="s">
        <v>15</v>
      </c>
      <c r="F190" s="379" t="s">
        <v>141</v>
      </c>
      <c r="G190" s="380">
        <v>45777</v>
      </c>
      <c r="H190" s="381">
        <v>45839</v>
      </c>
      <c r="I190" s="300">
        <f t="shared" ca="1" si="16"/>
        <v>1.0554332141882762E-2</v>
      </c>
      <c r="J190" s="382">
        <v>30.7</v>
      </c>
      <c r="K190" s="324">
        <v>30.7</v>
      </c>
      <c r="L190" s="383">
        <f>2500/K190-30</f>
        <v>51.433224755700323</v>
      </c>
      <c r="M190" s="313">
        <f t="shared" si="32"/>
        <v>1578.9999999999998</v>
      </c>
      <c r="N190" s="384">
        <f t="shared" si="31"/>
        <v>1578.9999999999998</v>
      </c>
      <c r="O190" s="384">
        <f t="shared" si="18"/>
        <v>0</v>
      </c>
      <c r="P190" s="254">
        <f t="shared" si="19"/>
        <v>0</v>
      </c>
      <c r="Q190" s="282">
        <f t="shared" si="20"/>
        <v>62</v>
      </c>
      <c r="R190" s="24" t="s">
        <v>264</v>
      </c>
      <c r="S190" s="25"/>
      <c r="T190" s="25"/>
      <c r="U190" s="25"/>
      <c r="V190" s="25"/>
      <c r="W190" s="25"/>
      <c r="X190" s="25"/>
      <c r="Y190" s="14"/>
      <c r="Z190" s="14"/>
      <c r="AA190" s="14"/>
      <c r="AB190" s="14"/>
      <c r="AC190" s="14"/>
      <c r="AD190" s="14"/>
      <c r="AE190" s="14"/>
      <c r="AF190" s="14"/>
      <c r="AG190" s="14"/>
      <c r="AH190" s="29"/>
      <c r="AI190" s="29"/>
      <c r="AJ190" s="29"/>
      <c r="AK190" s="29"/>
      <c r="AL190" s="14"/>
      <c r="AM190" s="14"/>
      <c r="AN190" s="332"/>
      <c r="AO190" s="332"/>
      <c r="AP190" s="332"/>
      <c r="AQ190" s="332"/>
      <c r="AR190" s="332"/>
      <c r="AS190" s="332"/>
      <c r="AT190" s="332"/>
      <c r="AU190" s="28"/>
      <c r="AV190" s="332"/>
      <c r="AW190" s="28"/>
      <c r="AX190" s="332"/>
      <c r="BB190" s="40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row>
    <row r="191" spans="1:79" ht="15.75" customHeight="1">
      <c r="A191" s="14"/>
      <c r="B191" s="270" t="s">
        <v>145</v>
      </c>
      <c r="C191" s="271" t="str">
        <f ca="1">IFERROR(__xludf.DUMMYFUNCTION("GoogleFinance(B191,""name"")"),"Vista Energy SAB de CV - ADR")</f>
        <v>Vista Energy SAB de CV - ADR</v>
      </c>
      <c r="D191" s="272">
        <f ca="1">IFERROR(__xludf.DUMMYFUNCTION("GoogleFinance(B191,""marketcap"")/1000000"),3769.846995)</f>
        <v>3769.8469949999999</v>
      </c>
      <c r="E191" s="273" t="s">
        <v>15</v>
      </c>
      <c r="F191" s="273" t="s">
        <v>141</v>
      </c>
      <c r="G191" s="274">
        <v>45506</v>
      </c>
      <c r="H191" s="381">
        <v>45839</v>
      </c>
      <c r="I191" s="276">
        <f t="shared" ca="1" si="16"/>
        <v>1.5774682618646816E-2</v>
      </c>
      <c r="J191" s="277">
        <v>47.2</v>
      </c>
      <c r="K191" s="278">
        <v>40.450000000000003</v>
      </c>
      <c r="L191" s="279">
        <v>50</v>
      </c>
      <c r="M191" s="280">
        <f t="shared" si="32"/>
        <v>2022.5000000000002</v>
      </c>
      <c r="N191" s="281">
        <f t="shared" si="31"/>
        <v>2360</v>
      </c>
      <c r="O191" s="281">
        <f t="shared" si="18"/>
        <v>337.49999999999977</v>
      </c>
      <c r="P191" s="275">
        <f t="shared" si="19"/>
        <v>0.16687268232385666</v>
      </c>
      <c r="Q191" s="282">
        <f t="shared" si="20"/>
        <v>333</v>
      </c>
      <c r="R191" s="409" t="s">
        <v>266</v>
      </c>
      <c r="S191" s="25"/>
      <c r="T191" s="25"/>
      <c r="U191" s="25"/>
      <c r="V191" s="25"/>
      <c r="W191" s="25"/>
      <c r="X191" s="25"/>
      <c r="Y191" s="14"/>
      <c r="Z191" s="14"/>
      <c r="AA191" s="14"/>
      <c r="AB191" s="14"/>
      <c r="AC191" s="14"/>
      <c r="AD191" s="14"/>
      <c r="AE191" s="14"/>
      <c r="AF191" s="14"/>
      <c r="AG191" s="14"/>
      <c r="AH191" s="29"/>
      <c r="AI191" s="29"/>
      <c r="AJ191" s="29"/>
      <c r="AK191" s="29"/>
      <c r="AL191" s="14"/>
      <c r="AM191" s="14"/>
      <c r="AN191" s="332"/>
      <c r="AO191" s="332"/>
      <c r="AP191" s="332"/>
      <c r="AQ191" s="332"/>
      <c r="AR191" s="332"/>
      <c r="AS191" s="332"/>
      <c r="AT191" s="332"/>
      <c r="AU191" s="28"/>
      <c r="AV191" s="332"/>
      <c r="AW191" s="28"/>
      <c r="AX191" s="332"/>
      <c r="BB191" s="40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row>
    <row r="192" spans="1:79" ht="15.75" customHeight="1">
      <c r="A192" s="269"/>
      <c r="B192" s="443" t="s">
        <v>199</v>
      </c>
      <c r="C192" s="444" t="str">
        <f ca="1">IFERROR(__xludf.DUMMYFUNCTION("GoogleFinance(B192,""name"")"),"Arm Holdings PLC - ADR")</f>
        <v>Arm Holdings PLC - ADR</v>
      </c>
      <c r="D192" s="445">
        <f ca="1">IFERROR(__xludf.DUMMYFUNCTION("GoogleFinance(B192,""marketcap"")/1000000"),147894.434507)</f>
        <v>147894.434507</v>
      </c>
      <c r="E192" s="446" t="s">
        <v>7</v>
      </c>
      <c r="F192" s="273" t="s">
        <v>200</v>
      </c>
      <c r="G192" s="274">
        <v>45761</v>
      </c>
      <c r="H192" s="427">
        <v>45839</v>
      </c>
      <c r="I192" s="447">
        <f t="shared" ca="1" si="16"/>
        <v>2.1055190783363334E-2</v>
      </c>
      <c r="J192" s="448">
        <v>157.5</v>
      </c>
      <c r="K192" s="278">
        <f>(7500-2522)/39.6</f>
        <v>125.7070707070707</v>
      </c>
      <c r="L192" s="279">
        <v>20</v>
      </c>
      <c r="M192" s="280">
        <f t="shared" si="32"/>
        <v>2514.1414141414139</v>
      </c>
      <c r="N192" s="449">
        <f t="shared" si="31"/>
        <v>3150</v>
      </c>
      <c r="O192" s="281">
        <f t="shared" si="18"/>
        <v>635.85858585858614</v>
      </c>
      <c r="P192" s="275">
        <f t="shared" si="19"/>
        <v>0.25291281639212548</v>
      </c>
      <c r="Q192" s="282">
        <f t="shared" si="20"/>
        <v>78</v>
      </c>
      <c r="R192" s="461" t="s">
        <v>266</v>
      </c>
      <c r="S192" s="462"/>
      <c r="T192" s="462"/>
      <c r="U192" s="462"/>
      <c r="V192" s="462"/>
      <c r="W192" s="462"/>
      <c r="X192" s="462"/>
      <c r="Y192" s="463"/>
      <c r="Z192" s="463"/>
      <c r="AA192" s="463"/>
      <c r="AB192" s="463"/>
      <c r="AC192" s="463"/>
      <c r="AD192" s="463"/>
      <c r="AE192" s="463"/>
      <c r="AF192" s="463"/>
      <c r="AG192" s="463"/>
      <c r="AH192" s="290"/>
      <c r="AI192" s="290"/>
      <c r="AJ192" s="290"/>
      <c r="AK192" s="290"/>
      <c r="AL192" s="463"/>
      <c r="AM192" s="463"/>
      <c r="AN192" s="464"/>
      <c r="AO192" s="464"/>
      <c r="AP192" s="464"/>
      <c r="AQ192" s="464"/>
      <c r="AR192" s="464"/>
      <c r="AS192" s="464"/>
      <c r="AT192" s="464"/>
      <c r="AU192" s="450"/>
      <c r="AV192" s="464"/>
      <c r="AW192" s="450"/>
      <c r="AX192" s="464"/>
      <c r="AY192" s="293"/>
      <c r="AZ192" s="293"/>
      <c r="BA192" s="293"/>
      <c r="BB192" s="461"/>
      <c r="BC192" s="290"/>
      <c r="BD192" s="290"/>
      <c r="BE192" s="290"/>
      <c r="BF192" s="290"/>
      <c r="BG192" s="290"/>
      <c r="BH192" s="290"/>
      <c r="BI192" s="290"/>
      <c r="BJ192" s="290"/>
      <c r="BK192" s="290"/>
      <c r="BL192" s="290"/>
      <c r="BM192" s="290"/>
      <c r="BN192" s="290"/>
      <c r="BO192" s="290"/>
      <c r="BP192" s="290"/>
      <c r="BQ192" s="290"/>
      <c r="BR192" s="290"/>
      <c r="BS192" s="290"/>
      <c r="BT192" s="290"/>
      <c r="BU192" s="290"/>
      <c r="BV192" s="290"/>
      <c r="BW192" s="290"/>
      <c r="BX192" s="290"/>
      <c r="BY192" s="290"/>
      <c r="BZ192" s="290"/>
      <c r="CA192" s="290"/>
    </row>
    <row r="193" spans="1:79" ht="15.75" customHeight="1">
      <c r="A193" s="14"/>
      <c r="B193" s="270" t="s">
        <v>159</v>
      </c>
      <c r="C193" s="271" t="str">
        <f ca="1">IFERROR(__xludf.DUMMYFUNCTION("GoogleFinance(B193,""name"")"),"Albemarle Corp")</f>
        <v>Albemarle Corp</v>
      </c>
      <c r="D193" s="272">
        <f ca="1">IFERROR(__xludf.DUMMYFUNCTION("GoogleFinance(B193,""marketcap"")/1000000"),10367.86331)</f>
        <v>10367.863310000001</v>
      </c>
      <c r="E193" s="273" t="s">
        <v>12</v>
      </c>
      <c r="F193" s="273" t="s">
        <v>30</v>
      </c>
      <c r="G193" s="274">
        <v>45776</v>
      </c>
      <c r="H193" s="381">
        <v>45839</v>
      </c>
      <c r="I193" s="276">
        <f t="shared" ca="1" si="16"/>
        <v>8.1680771864349189E-3</v>
      </c>
      <c r="J193" s="277">
        <v>61.1</v>
      </c>
      <c r="K193" s="278">
        <v>60.43</v>
      </c>
      <c r="L193" s="279">
        <v>20</v>
      </c>
      <c r="M193" s="280">
        <f t="shared" si="32"/>
        <v>1208.5999999999999</v>
      </c>
      <c r="N193" s="281">
        <f t="shared" si="31"/>
        <v>1222</v>
      </c>
      <c r="O193" s="281">
        <f t="shared" si="18"/>
        <v>13.400000000000091</v>
      </c>
      <c r="P193" s="275">
        <f t="shared" si="19"/>
        <v>1.1087208340228472E-2</v>
      </c>
      <c r="Q193" s="282">
        <f t="shared" si="20"/>
        <v>63</v>
      </c>
      <c r="R193" s="409" t="s">
        <v>266</v>
      </c>
      <c r="S193" s="25"/>
      <c r="T193" s="25"/>
      <c r="U193" s="25"/>
      <c r="V193" s="25"/>
      <c r="W193" s="25"/>
      <c r="X193" s="25"/>
      <c r="Y193" s="14"/>
      <c r="Z193" s="14"/>
      <c r="AA193" s="14"/>
      <c r="AB193" s="14"/>
      <c r="AC193" s="14"/>
      <c r="AD193" s="14"/>
      <c r="AE193" s="14"/>
      <c r="AF193" s="14"/>
      <c r="AG193" s="14"/>
      <c r="AH193" s="29"/>
      <c r="AI193" s="29"/>
      <c r="AJ193" s="29"/>
      <c r="AK193" s="29"/>
      <c r="AL193" s="14"/>
      <c r="AM193" s="14"/>
      <c r="AN193" s="332"/>
      <c r="AO193" s="332"/>
      <c r="AP193" s="332"/>
      <c r="AQ193" s="332"/>
      <c r="AR193" s="332"/>
      <c r="AS193" s="332"/>
      <c r="AT193" s="332"/>
      <c r="AU193" s="28"/>
      <c r="AV193" s="332"/>
      <c r="AW193" s="28"/>
      <c r="AX193" s="332"/>
      <c r="BB193" s="40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row>
    <row r="194" spans="1:79" ht="15.75" customHeight="1">
      <c r="A194" s="269"/>
      <c r="B194" s="270" t="s">
        <v>172</v>
      </c>
      <c r="C194" s="271" t="str">
        <f ca="1">IFERROR(__xludf.DUMMYFUNCTION("GoogleFinance(B194,""name"")"),"Exxon Mobil Corp")</f>
        <v>Exxon Mobil Corp</v>
      </c>
      <c r="D194" s="272">
        <f ca="1">IFERROR(__xludf.DUMMYFUNCTION("GoogleFinance(B194,""marketcap"")/1000000"),499737.701324)</f>
        <v>499737.70132400002</v>
      </c>
      <c r="E194" s="273" t="s">
        <v>15</v>
      </c>
      <c r="F194" s="273" t="s">
        <v>141</v>
      </c>
      <c r="G194" s="274">
        <v>45817</v>
      </c>
      <c r="H194" s="381">
        <v>45839</v>
      </c>
      <c r="I194" s="276">
        <f t="shared" ca="1" si="16"/>
        <v>1.4384371608189809E-2</v>
      </c>
      <c r="J194" s="277">
        <v>107.6</v>
      </c>
      <c r="K194" s="278">
        <v>104.9</v>
      </c>
      <c r="L194" s="279">
        <v>20</v>
      </c>
      <c r="M194" s="280">
        <f t="shared" si="32"/>
        <v>2098</v>
      </c>
      <c r="N194" s="281">
        <f t="shared" si="31"/>
        <v>2152</v>
      </c>
      <c r="O194" s="281">
        <f t="shared" si="18"/>
        <v>54</v>
      </c>
      <c r="P194" s="275">
        <f t="shared" si="19"/>
        <v>2.5738798856053346E-2</v>
      </c>
      <c r="Q194" s="282">
        <f t="shared" si="20"/>
        <v>22</v>
      </c>
      <c r="R194" s="409" t="s">
        <v>266</v>
      </c>
      <c r="S194" s="25"/>
      <c r="T194" s="25"/>
      <c r="U194" s="25"/>
      <c r="V194" s="25"/>
      <c r="W194" s="25"/>
      <c r="X194" s="25"/>
      <c r="Y194" s="14"/>
      <c r="Z194" s="14"/>
      <c r="AA194" s="14"/>
      <c r="AB194" s="14"/>
      <c r="AC194" s="14"/>
      <c r="AD194" s="14"/>
      <c r="AE194" s="14"/>
      <c r="AF194" s="14"/>
      <c r="AG194" s="14"/>
      <c r="AH194" s="29"/>
      <c r="AI194" s="29"/>
      <c r="AJ194" s="29"/>
      <c r="AK194" s="29"/>
      <c r="AL194" s="14"/>
      <c r="AM194" s="14"/>
      <c r="AN194" s="332"/>
      <c r="AO194" s="332"/>
      <c r="AP194" s="332"/>
      <c r="AQ194" s="332"/>
      <c r="AR194" s="332"/>
      <c r="AS194" s="332"/>
      <c r="AT194" s="332"/>
      <c r="AU194" s="28"/>
      <c r="AV194" s="332"/>
      <c r="AW194" s="28"/>
      <c r="AX194" s="332"/>
      <c r="BB194" s="40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row>
    <row r="195" spans="1:79" ht="15.75" customHeight="1">
      <c r="A195" s="14"/>
      <c r="B195" s="443" t="s">
        <v>185</v>
      </c>
      <c r="C195" s="444" t="str">
        <f ca="1">IFERROR(__xludf.DUMMYFUNCTION("GoogleFinance(B195,""name"")"),"iShares MSCI India ETF")</f>
        <v>iShares MSCI India ETF</v>
      </c>
      <c r="D195" s="445" t="str">
        <f ca="1">IFERROR(__xludf.DUMMYFUNCTION("GoogleFinance(B195,""marketcap"")/1000000"),"#N/A")</f>
        <v>#N/A</v>
      </c>
      <c r="E195" s="446" t="s">
        <v>32</v>
      </c>
      <c r="F195" s="465" t="s">
        <v>186</v>
      </c>
      <c r="G195" s="274">
        <v>45735</v>
      </c>
      <c r="H195" s="381">
        <v>45839</v>
      </c>
      <c r="I195" s="447">
        <f t="shared" ca="1" si="16"/>
        <v>1.4919106612211734E-2</v>
      </c>
      <c r="J195" s="448">
        <v>55.8</v>
      </c>
      <c r="K195" s="278">
        <v>50.4</v>
      </c>
      <c r="L195" s="279">
        <v>40</v>
      </c>
      <c r="M195" s="280">
        <f t="shared" si="32"/>
        <v>2016</v>
      </c>
      <c r="N195" s="449">
        <f t="shared" si="31"/>
        <v>2232</v>
      </c>
      <c r="O195" s="281">
        <f t="shared" si="18"/>
        <v>216</v>
      </c>
      <c r="P195" s="275">
        <f t="shared" si="19"/>
        <v>0.10714285714285721</v>
      </c>
      <c r="Q195" s="282">
        <f t="shared" si="20"/>
        <v>104</v>
      </c>
      <c r="R195" s="409" t="s">
        <v>266</v>
      </c>
      <c r="S195" s="25"/>
      <c r="T195" s="25"/>
      <c r="U195" s="25"/>
      <c r="V195" s="25"/>
      <c r="W195" s="25"/>
      <c r="X195" s="25"/>
      <c r="Y195" s="14"/>
      <c r="Z195" s="14"/>
      <c r="AA195" s="14"/>
      <c r="AB195" s="14"/>
      <c r="AC195" s="14"/>
      <c r="AD195" s="14"/>
      <c r="AE195" s="14"/>
      <c r="AF195" s="14"/>
      <c r="AG195" s="14"/>
      <c r="AH195" s="29"/>
      <c r="AI195" s="29"/>
      <c r="AJ195" s="29"/>
      <c r="AK195" s="29"/>
      <c r="AL195" s="14"/>
      <c r="AM195" s="14"/>
      <c r="AN195" s="332"/>
      <c r="AO195" s="332"/>
      <c r="AP195" s="332"/>
      <c r="AQ195" s="332"/>
      <c r="AR195" s="332"/>
      <c r="AS195" s="332"/>
      <c r="AT195" s="332"/>
      <c r="AU195" s="28"/>
      <c r="AV195" s="332"/>
      <c r="AW195" s="28"/>
      <c r="AX195" s="332"/>
      <c r="BB195" s="40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row>
    <row r="196" spans="1:79" ht="15.75" customHeight="1">
      <c r="A196" s="14"/>
      <c r="B196" s="443" t="s">
        <v>192</v>
      </c>
      <c r="C196" s="444" t="str">
        <f ca="1">IFERROR(__xludf.DUMMYFUNCTION("GoogleFinance(B196,""name"")"),"abrdn Physical Palladium Shares ETF")</f>
        <v>abrdn Physical Palladium Shares ETF</v>
      </c>
      <c r="D196" s="445" t="str">
        <f ca="1">IFERROR(__xludf.DUMMYFUNCTION("GoogleFinance(B196,""marketcap"")/1000000"),"#N/A")</f>
        <v>#N/A</v>
      </c>
      <c r="E196" s="446" t="s">
        <v>38</v>
      </c>
      <c r="F196" s="273" t="s">
        <v>193</v>
      </c>
      <c r="G196" s="274">
        <v>45783</v>
      </c>
      <c r="H196" s="381">
        <v>45839</v>
      </c>
      <c r="I196" s="447">
        <f t="shared" ca="1" si="16"/>
        <v>6.7510294257768153E-3</v>
      </c>
      <c r="J196" s="448">
        <v>101</v>
      </c>
      <c r="K196" s="278">
        <v>88</v>
      </c>
      <c r="L196" s="279">
        <v>10</v>
      </c>
      <c r="M196" s="280">
        <f t="shared" si="32"/>
        <v>880</v>
      </c>
      <c r="N196" s="449">
        <f t="shared" si="31"/>
        <v>1010</v>
      </c>
      <c r="O196" s="281">
        <f t="shared" si="18"/>
        <v>130</v>
      </c>
      <c r="P196" s="275">
        <f t="shared" si="19"/>
        <v>0.14772727272727271</v>
      </c>
      <c r="Q196" s="282">
        <f t="shared" si="20"/>
        <v>56</v>
      </c>
      <c r="R196" s="409" t="s">
        <v>266</v>
      </c>
      <c r="S196" s="25"/>
      <c r="T196" s="25"/>
      <c r="U196" s="25"/>
      <c r="V196" s="25"/>
      <c r="W196" s="25"/>
      <c r="X196" s="25"/>
      <c r="Y196" s="14"/>
      <c r="Z196" s="14"/>
      <c r="AA196" s="14"/>
      <c r="AB196" s="14"/>
      <c r="AC196" s="14"/>
      <c r="AD196" s="14"/>
      <c r="AE196" s="14"/>
      <c r="AF196" s="14"/>
      <c r="AG196" s="14"/>
      <c r="AH196" s="29"/>
      <c r="AI196" s="29"/>
      <c r="AJ196" s="29"/>
      <c r="AK196" s="29"/>
      <c r="AL196" s="14"/>
      <c r="AM196" s="14"/>
      <c r="AN196" s="332"/>
      <c r="AO196" s="332"/>
      <c r="AP196" s="332"/>
      <c r="AQ196" s="332"/>
      <c r="AR196" s="332"/>
      <c r="AS196" s="332"/>
      <c r="AT196" s="332"/>
      <c r="AU196" s="28"/>
      <c r="AV196" s="332"/>
      <c r="AW196" s="28"/>
      <c r="AX196" s="332"/>
      <c r="BB196" s="40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row>
    <row r="197" spans="1:79" ht="15.75" customHeight="1">
      <c r="A197" s="14"/>
      <c r="B197" s="270" t="s">
        <v>140</v>
      </c>
      <c r="C197" s="271" t="str">
        <f ca="1">IFERROR(__xludf.DUMMYFUNCTION("GoogleFinance(B197,""name"")"),"Petroleo Brasileiro ADR Reptg 2 Ord Shs")</f>
        <v>Petroleo Brasileiro ADR Reptg 2 Ord Shs</v>
      </c>
      <c r="D197" s="272">
        <f ca="1">IFERROR(__xludf.DUMMYFUNCTION("GoogleFinance(B197,""marketcap"")/1000000"),436725.63)</f>
        <v>436725.63</v>
      </c>
      <c r="E197" s="273" t="s">
        <v>15</v>
      </c>
      <c r="F197" s="273" t="s">
        <v>141</v>
      </c>
      <c r="G197" s="274">
        <v>45785</v>
      </c>
      <c r="H197" s="381">
        <v>45852</v>
      </c>
      <c r="I197" s="276">
        <f t="shared" ca="1" si="16"/>
        <v>1.2733377283272113E-2</v>
      </c>
      <c r="J197" s="277">
        <v>12.7</v>
      </c>
      <c r="K197" s="278">
        <v>11.69</v>
      </c>
      <c r="L197" s="279">
        <v>150</v>
      </c>
      <c r="M197" s="280">
        <f t="shared" si="32"/>
        <v>1753.5</v>
      </c>
      <c r="N197" s="281">
        <f t="shared" si="31"/>
        <v>1905</v>
      </c>
      <c r="O197" s="281">
        <f t="shared" si="18"/>
        <v>151.5</v>
      </c>
      <c r="P197" s="275">
        <f t="shared" si="19"/>
        <v>8.639863130881098E-2</v>
      </c>
      <c r="Q197" s="282">
        <f t="shared" si="20"/>
        <v>67</v>
      </c>
      <c r="R197" s="409" t="s">
        <v>266</v>
      </c>
      <c r="S197" s="25"/>
      <c r="T197" s="25"/>
      <c r="U197" s="25"/>
      <c r="V197" s="25"/>
      <c r="W197" s="25"/>
      <c r="X197" s="25"/>
      <c r="Y197" s="14"/>
      <c r="Z197" s="14"/>
      <c r="AA197" s="14"/>
      <c r="AB197" s="14"/>
      <c r="AC197" s="14"/>
      <c r="AD197" s="14"/>
      <c r="AE197" s="14"/>
      <c r="AF197" s="14"/>
      <c r="AG197" s="14"/>
      <c r="AH197" s="29"/>
      <c r="AI197" s="29"/>
      <c r="AJ197" s="29"/>
      <c r="AK197" s="29"/>
      <c r="AL197" s="14"/>
      <c r="AM197" s="14"/>
      <c r="AN197" s="332"/>
      <c r="AO197" s="332"/>
      <c r="AP197" s="332"/>
      <c r="AQ197" s="332"/>
      <c r="AR197" s="332"/>
      <c r="AS197" s="332"/>
      <c r="AT197" s="332"/>
      <c r="AU197" s="28"/>
      <c r="AV197" s="332"/>
      <c r="AW197" s="28"/>
      <c r="AX197" s="332"/>
      <c r="BB197" s="40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row>
    <row r="198" spans="1:79" ht="15.75" customHeight="1">
      <c r="A198" s="14"/>
      <c r="B198" s="7" t="s">
        <v>169</v>
      </c>
      <c r="C198" s="377" t="str">
        <f ca="1">IFERROR(__xludf.DUMMYFUNCTION("GoogleFinance(B198,""name"")"),"Chevron Corp")</f>
        <v>Chevron Corp</v>
      </c>
      <c r="D198" s="378">
        <f ca="1">IFERROR(__xludf.DUMMYFUNCTION("GoogleFinance(B198,""marketcap"")/1000000"),327910.630537)</f>
        <v>327910.63053700002</v>
      </c>
      <c r="E198" s="379" t="s">
        <v>15</v>
      </c>
      <c r="F198" s="379" t="s">
        <v>141</v>
      </c>
      <c r="G198" s="380">
        <v>45776</v>
      </c>
      <c r="H198" s="381">
        <v>45852</v>
      </c>
      <c r="I198" s="300">
        <f t="shared" ca="1" si="16"/>
        <v>1.0260227889670705E-2</v>
      </c>
      <c r="J198" s="382">
        <v>153.5</v>
      </c>
      <c r="K198" s="324">
        <v>139.24</v>
      </c>
      <c r="L198" s="383">
        <v>10</v>
      </c>
      <c r="M198" s="313">
        <f t="shared" si="32"/>
        <v>1392.4</v>
      </c>
      <c r="N198" s="384">
        <f t="shared" si="31"/>
        <v>1535</v>
      </c>
      <c r="O198" s="384">
        <f t="shared" si="18"/>
        <v>142.59999999999991</v>
      </c>
      <c r="P198" s="254">
        <f t="shared" si="19"/>
        <v>0.1024130996839987</v>
      </c>
      <c r="Q198" s="282">
        <f t="shared" si="20"/>
        <v>76</v>
      </c>
      <c r="R198" s="409" t="s">
        <v>266</v>
      </c>
      <c r="S198" s="25"/>
      <c r="T198" s="25"/>
      <c r="U198" s="25"/>
      <c r="V198" s="25"/>
      <c r="W198" s="25"/>
      <c r="X198" s="25"/>
      <c r="Y198" s="14"/>
      <c r="Z198" s="14"/>
      <c r="AA198" s="14"/>
      <c r="AB198" s="14"/>
      <c r="AC198" s="14"/>
      <c r="AD198" s="14"/>
      <c r="AE198" s="14"/>
      <c r="AF198" s="14"/>
      <c r="AG198" s="14"/>
      <c r="AH198" s="29"/>
      <c r="AI198" s="29"/>
      <c r="AJ198" s="29"/>
      <c r="AK198" s="29"/>
      <c r="AL198" s="14"/>
      <c r="AM198" s="14"/>
      <c r="AN198" s="332"/>
      <c r="AO198" s="332"/>
      <c r="AP198" s="332"/>
      <c r="AQ198" s="332"/>
      <c r="AR198" s="332"/>
      <c r="AS198" s="332"/>
      <c r="AT198" s="332"/>
      <c r="AU198" s="28"/>
      <c r="AV198" s="332"/>
      <c r="AW198" s="28"/>
      <c r="AX198" s="332"/>
      <c r="BB198" s="40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row>
    <row r="199" spans="1:79" ht="15.75" customHeight="1">
      <c r="A199" s="14"/>
      <c r="B199" s="270" t="s">
        <v>115</v>
      </c>
      <c r="C199" s="405" t="str">
        <f ca="1">IFERROR(__xludf.DUMMYFUNCTION("GoogleFinance(B199,""name"")"),"Blackstone Inc")</f>
        <v>Blackstone Inc</v>
      </c>
      <c r="D199" s="272">
        <f ca="1">IFERROR(__xludf.DUMMYFUNCTION("GoogleFinance(B199,""marketcap"")/1000000"),207695.651796)</f>
        <v>207695.65179599999</v>
      </c>
      <c r="E199" s="273" t="s">
        <v>14</v>
      </c>
      <c r="F199" s="273" t="s">
        <v>116</v>
      </c>
      <c r="G199" s="442">
        <v>45730</v>
      </c>
      <c r="H199" s="381">
        <v>45856</v>
      </c>
      <c r="I199" s="276">
        <f t="shared" ca="1" si="16"/>
        <v>6.9462077022448172E-3</v>
      </c>
      <c r="J199" s="277">
        <v>173.2</v>
      </c>
      <c r="K199" s="278">
        <v>141.1</v>
      </c>
      <c r="L199" s="279">
        <v>6</v>
      </c>
      <c r="M199" s="280">
        <f t="shared" si="32"/>
        <v>846.59999999999991</v>
      </c>
      <c r="N199" s="281">
        <f t="shared" si="31"/>
        <v>1039.1999999999998</v>
      </c>
      <c r="O199" s="281">
        <f t="shared" si="18"/>
        <v>192.59999999999991</v>
      </c>
      <c r="P199" s="275">
        <f t="shared" si="19"/>
        <v>0.22749822820694532</v>
      </c>
      <c r="Q199" s="282">
        <f t="shared" si="20"/>
        <v>126</v>
      </c>
      <c r="R199" s="409" t="s">
        <v>266</v>
      </c>
      <c r="S199" s="25"/>
      <c r="T199" s="25"/>
      <c r="U199" s="25"/>
      <c r="V199" s="25"/>
      <c r="W199" s="25"/>
      <c r="X199" s="25"/>
      <c r="Y199" s="14"/>
      <c r="Z199" s="14"/>
      <c r="AA199" s="14"/>
      <c r="AB199" s="14"/>
      <c r="AC199" s="14"/>
      <c r="AD199" s="14"/>
      <c r="AE199" s="14"/>
      <c r="AF199" s="14"/>
      <c r="AG199" s="14"/>
      <c r="AH199" s="29"/>
      <c r="AI199" s="29"/>
      <c r="AJ199" s="29"/>
      <c r="AK199" s="29"/>
      <c r="AL199" s="14"/>
      <c r="AM199" s="14"/>
      <c r="AN199" s="332"/>
      <c r="AO199" s="332"/>
      <c r="AP199" s="332"/>
      <c r="AQ199" s="332"/>
      <c r="AR199" s="332"/>
      <c r="AS199" s="332"/>
      <c r="AT199" s="332"/>
      <c r="AU199" s="28"/>
      <c r="AV199" s="332"/>
      <c r="AW199" s="28"/>
      <c r="AX199" s="332"/>
      <c r="BB199" s="40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row>
    <row r="200" spans="1:79" ht="15.75" customHeight="1">
      <c r="A200" s="14"/>
      <c r="B200" s="270" t="s">
        <v>159</v>
      </c>
      <c r="C200" s="271" t="str">
        <f ca="1">IFERROR(__xludf.DUMMYFUNCTION("GoogleFinance(B200,""name"")"),"Albemarle Corp")</f>
        <v>Albemarle Corp</v>
      </c>
      <c r="D200" s="272">
        <f ca="1">IFERROR(__xludf.DUMMYFUNCTION("GoogleFinance(B200,""marketcap"")/1000000"),10367.86331)</f>
        <v>10367.863310000001</v>
      </c>
      <c r="E200" s="273" t="s">
        <v>12</v>
      </c>
      <c r="F200" s="273" t="s">
        <v>30</v>
      </c>
      <c r="G200" s="274">
        <v>45776</v>
      </c>
      <c r="H200" s="381">
        <v>45856</v>
      </c>
      <c r="I200" s="276">
        <f t="shared" ca="1" si="16"/>
        <v>2.1202242909469364E-2</v>
      </c>
      <c r="J200" s="277">
        <v>79.3</v>
      </c>
      <c r="K200" s="278">
        <v>60.43</v>
      </c>
      <c r="L200" s="279">
        <v>40</v>
      </c>
      <c r="M200" s="280">
        <f t="shared" si="32"/>
        <v>2417.1999999999998</v>
      </c>
      <c r="N200" s="281">
        <f t="shared" si="31"/>
        <v>3172</v>
      </c>
      <c r="O200" s="281">
        <f t="shared" si="18"/>
        <v>754.80000000000018</v>
      </c>
      <c r="P200" s="275">
        <f t="shared" si="19"/>
        <v>0.3122621214628496</v>
      </c>
      <c r="Q200" s="282">
        <f t="shared" si="20"/>
        <v>80</v>
      </c>
      <c r="R200" s="409" t="s">
        <v>266</v>
      </c>
      <c r="S200" s="25"/>
      <c r="T200" s="25"/>
      <c r="U200" s="25"/>
      <c r="V200" s="25"/>
      <c r="W200" s="25"/>
      <c r="X200" s="25"/>
      <c r="Y200" s="14"/>
      <c r="Z200" s="14"/>
      <c r="AA200" s="14"/>
      <c r="AB200" s="14"/>
      <c r="AC200" s="14"/>
      <c r="AD200" s="14"/>
      <c r="AE200" s="14"/>
      <c r="AF200" s="14"/>
      <c r="AG200" s="14"/>
      <c r="AH200" s="29"/>
      <c r="AI200" s="29"/>
      <c r="AJ200" s="29"/>
      <c r="AK200" s="29"/>
      <c r="AL200" s="14"/>
      <c r="AM200" s="14"/>
      <c r="AN200" s="332"/>
      <c r="AO200" s="332"/>
      <c r="AP200" s="332"/>
      <c r="AQ200" s="332"/>
      <c r="AR200" s="332"/>
      <c r="AS200" s="332"/>
      <c r="AT200" s="332"/>
      <c r="AU200" s="28"/>
      <c r="AV200" s="332"/>
      <c r="AW200" s="28"/>
      <c r="AX200" s="332"/>
      <c r="BB200" s="40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row>
    <row r="201" spans="1:79" ht="15.75" customHeight="1">
      <c r="A201" s="14"/>
      <c r="B201" s="270" t="s">
        <v>156</v>
      </c>
      <c r="C201" s="271" t="str">
        <f ca="1">IFERROR(__xludf.DUMMYFUNCTION("GoogleFinance(B201,""name"")"),"Grayscale Ethereum Trust ETF")</f>
        <v>Grayscale Ethereum Trust ETF</v>
      </c>
      <c r="D201" s="272">
        <f ca="1">IFERROR(__xludf.DUMMYFUNCTION("GoogleFinance(B201,""marketcap"")/1000000"),4286.174091)</f>
        <v>4286.1740909999999</v>
      </c>
      <c r="E201" s="273" t="s">
        <v>151</v>
      </c>
      <c r="F201" s="273" t="s">
        <v>157</v>
      </c>
      <c r="G201" s="274">
        <v>45509</v>
      </c>
      <c r="H201" s="381">
        <v>45856</v>
      </c>
      <c r="I201" s="276">
        <f t="shared" ca="1" si="16"/>
        <v>3.9971441550638968E-3</v>
      </c>
      <c r="J201" s="277">
        <v>29.9</v>
      </c>
      <c r="K201" s="278">
        <v>20.2</v>
      </c>
      <c r="L201" s="279">
        <v>20</v>
      </c>
      <c r="M201" s="280">
        <f t="shared" si="32"/>
        <v>404</v>
      </c>
      <c r="N201" s="281">
        <f t="shared" si="31"/>
        <v>598</v>
      </c>
      <c r="O201" s="281">
        <f t="shared" si="18"/>
        <v>194</v>
      </c>
      <c r="P201" s="275">
        <f t="shared" si="19"/>
        <v>0.48019801980198018</v>
      </c>
      <c r="Q201" s="282">
        <f t="shared" si="20"/>
        <v>347</v>
      </c>
      <c r="R201" s="409" t="s">
        <v>266</v>
      </c>
      <c r="S201" s="25"/>
      <c r="T201" s="25"/>
      <c r="U201" s="25"/>
      <c r="V201" s="25"/>
      <c r="W201" s="25"/>
      <c r="X201" s="25"/>
      <c r="Y201" s="14"/>
      <c r="Z201" s="14"/>
      <c r="AA201" s="14"/>
      <c r="AB201" s="14"/>
      <c r="AC201" s="14"/>
      <c r="AD201" s="14"/>
      <c r="AE201" s="14"/>
      <c r="AF201" s="14"/>
      <c r="AG201" s="14"/>
      <c r="AH201" s="29"/>
      <c r="AI201" s="29"/>
      <c r="AJ201" s="29"/>
      <c r="AK201" s="29"/>
      <c r="AL201" s="14"/>
      <c r="AM201" s="14"/>
      <c r="AN201" s="332"/>
      <c r="AO201" s="332"/>
      <c r="AP201" s="332"/>
      <c r="AQ201" s="332"/>
      <c r="AR201" s="332"/>
      <c r="AS201" s="332"/>
      <c r="AT201" s="332"/>
      <c r="AU201" s="28"/>
      <c r="AV201" s="332"/>
      <c r="AW201" s="28"/>
      <c r="AX201" s="332"/>
      <c r="BB201" s="40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row>
    <row r="202" spans="1:79" ht="15.75" customHeight="1">
      <c r="A202" s="14"/>
      <c r="B202" s="270" t="s">
        <v>43</v>
      </c>
      <c r="C202" s="271" t="str">
        <f ca="1">IFERROR(__xludf.DUMMYFUNCTION("GoogleFinance(B202,""name"")"),"iShares Bitcoin Trust ETF")</f>
        <v>iShares Bitcoin Trust ETF</v>
      </c>
      <c r="D202" s="272">
        <f ca="1">IFERROR(__xludf.DUMMYFUNCTION("GoogleFinance(B202,""marketcap"")/1000000"),179080.091223)</f>
        <v>179080.091223</v>
      </c>
      <c r="E202" s="273" t="s">
        <v>151</v>
      </c>
      <c r="F202" s="273" t="s">
        <v>44</v>
      </c>
      <c r="G202" s="274">
        <v>45509</v>
      </c>
      <c r="H202" s="381">
        <v>45856</v>
      </c>
      <c r="I202" s="276">
        <f t="shared" ca="1" si="16"/>
        <v>4.4784056586836297E-3</v>
      </c>
      <c r="J202" s="277">
        <v>67</v>
      </c>
      <c r="K202" s="278">
        <v>38.4</v>
      </c>
      <c r="L202" s="279">
        <v>10</v>
      </c>
      <c r="M202" s="280">
        <f t="shared" si="32"/>
        <v>384</v>
      </c>
      <c r="N202" s="281">
        <f t="shared" si="31"/>
        <v>670</v>
      </c>
      <c r="O202" s="281">
        <f t="shared" si="18"/>
        <v>286</v>
      </c>
      <c r="P202" s="275">
        <f t="shared" si="19"/>
        <v>0.74479166666666674</v>
      </c>
      <c r="Q202" s="282">
        <f t="shared" si="20"/>
        <v>347</v>
      </c>
      <c r="R202" s="409" t="s">
        <v>266</v>
      </c>
      <c r="S202" s="25"/>
      <c r="T202" s="25"/>
      <c r="U202" s="25"/>
      <c r="V202" s="25"/>
      <c r="W202" s="25"/>
      <c r="X202" s="25"/>
      <c r="Y202" s="14"/>
      <c r="Z202" s="14"/>
      <c r="AA202" s="14"/>
      <c r="AB202" s="14"/>
      <c r="AC202" s="14"/>
      <c r="AD202" s="14"/>
      <c r="AE202" s="14"/>
      <c r="AF202" s="14"/>
      <c r="AG202" s="14"/>
      <c r="AH202" s="29"/>
      <c r="AI202" s="29"/>
      <c r="AJ202" s="29"/>
      <c r="AK202" s="29"/>
      <c r="AL202" s="14"/>
      <c r="AM202" s="14"/>
      <c r="AN202" s="332"/>
      <c r="AO202" s="332"/>
      <c r="AP202" s="332"/>
      <c r="AQ202" s="332"/>
      <c r="AR202" s="332"/>
      <c r="AS202" s="332"/>
      <c r="AT202" s="332"/>
      <c r="AU202" s="28"/>
      <c r="AV202" s="332"/>
      <c r="AW202" s="28"/>
      <c r="AX202" s="332"/>
      <c r="BB202" s="40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row>
    <row r="203" spans="1:79" ht="15.75" customHeight="1">
      <c r="A203" s="14"/>
      <c r="B203" s="270" t="s">
        <v>92</v>
      </c>
      <c r="C203" s="405" t="str">
        <f ca="1">IFERROR(__xludf.DUMMYFUNCTION("GoogleFinance(B203,""name"")"),"Meta Platforms Inc")</f>
        <v>Meta Platforms Inc</v>
      </c>
      <c r="D203" s="272">
        <f ca="1">IFERROR(__xludf.DUMMYFUNCTION("GoogleFinance(B203,""marketcap"")/1000000"),1868404.86875)</f>
        <v>1868404.8687499999</v>
      </c>
      <c r="E203" s="273" t="s">
        <v>13</v>
      </c>
      <c r="F203" s="273" t="s">
        <v>24</v>
      </c>
      <c r="G203" s="442">
        <v>45730</v>
      </c>
      <c r="H203" s="381">
        <v>45869</v>
      </c>
      <c r="I203" s="276">
        <f t="shared" ca="1" si="16"/>
        <v>7.7844048210491869E-3</v>
      </c>
      <c r="J203" s="277">
        <v>776.4</v>
      </c>
      <c r="K203" s="278">
        <v>602.70000000000005</v>
      </c>
      <c r="L203" s="279">
        <v>1.5</v>
      </c>
      <c r="M203" s="280">
        <f t="shared" si="32"/>
        <v>904.05000000000007</v>
      </c>
      <c r="N203" s="281">
        <f t="shared" si="31"/>
        <v>1164.5999999999999</v>
      </c>
      <c r="O203" s="281">
        <f t="shared" si="18"/>
        <v>260.54999999999984</v>
      </c>
      <c r="P203" s="275">
        <f t="shared" si="19"/>
        <v>0.28820308611249357</v>
      </c>
      <c r="Q203" s="282">
        <f t="shared" si="20"/>
        <v>139</v>
      </c>
      <c r="R203" s="409" t="s">
        <v>266</v>
      </c>
      <c r="S203" s="25"/>
      <c r="T203" s="25"/>
      <c r="U203" s="25"/>
      <c r="V203" s="25"/>
      <c r="W203" s="25"/>
      <c r="X203" s="25"/>
      <c r="Y203" s="14"/>
      <c r="Z203" s="14"/>
      <c r="AA203" s="14"/>
      <c r="AB203" s="14"/>
      <c r="AC203" s="14"/>
      <c r="AD203" s="14"/>
      <c r="AE203" s="14"/>
      <c r="AF203" s="14"/>
      <c r="AG203" s="14"/>
      <c r="AH203" s="29"/>
      <c r="AI203" s="29"/>
      <c r="AJ203" s="29"/>
      <c r="AK203" s="29"/>
      <c r="AL203" s="14"/>
      <c r="AM203" s="14"/>
      <c r="AN203" s="332"/>
      <c r="AO203" s="332"/>
      <c r="AP203" s="332"/>
      <c r="AQ203" s="332"/>
      <c r="AR203" s="332"/>
      <c r="AS203" s="332"/>
      <c r="AT203" s="332"/>
      <c r="AU203" s="28"/>
      <c r="AV203" s="332"/>
      <c r="AW203" s="28"/>
      <c r="AX203" s="332"/>
      <c r="BB203" s="40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row>
    <row r="204" spans="1:79" ht="15.75" customHeight="1">
      <c r="A204" s="14"/>
      <c r="B204" s="7" t="s">
        <v>283</v>
      </c>
      <c r="C204" s="466" t="str">
        <f ca="1">IFERROR(__xludf.DUMMYFUNCTION("GoogleFinance(B204,""name"")"),"Apple Inc")</f>
        <v>Apple Inc</v>
      </c>
      <c r="D204" s="378">
        <f ca="1">IFERROR(__xludf.DUMMYFUNCTION("GoogleFinance(B204,""marketcap"")/1000000"),3791126)</f>
        <v>3791126</v>
      </c>
      <c r="E204" s="379" t="s">
        <v>7</v>
      </c>
      <c r="F204" s="379" t="s">
        <v>303</v>
      </c>
      <c r="G204" s="397">
        <v>45825</v>
      </c>
      <c r="H204" s="381">
        <v>45870</v>
      </c>
      <c r="I204" s="300">
        <f t="shared" ca="1" si="16"/>
        <v>3.5162139869929381E-2</v>
      </c>
      <c r="J204" s="382">
        <v>208</v>
      </c>
      <c r="K204" s="324">
        <v>197.7</v>
      </c>
      <c r="L204" s="383">
        <f>5000/K204</f>
        <v>25.290844714213456</v>
      </c>
      <c r="M204" s="313">
        <f t="shared" si="32"/>
        <v>5000</v>
      </c>
      <c r="N204" s="384">
        <f t="shared" si="31"/>
        <v>5260.4957005563992</v>
      </c>
      <c r="O204" s="384">
        <f t="shared" si="18"/>
        <v>260.49570055639924</v>
      </c>
      <c r="P204" s="254">
        <f t="shared" si="19"/>
        <v>5.2099140111279807E-2</v>
      </c>
      <c r="Q204" s="282">
        <f t="shared" si="20"/>
        <v>45</v>
      </c>
      <c r="R204" s="409" t="s">
        <v>264</v>
      </c>
      <c r="S204" s="25"/>
      <c r="T204" s="25"/>
      <c r="U204" s="25"/>
      <c r="V204" s="25"/>
      <c r="W204" s="25"/>
      <c r="X204" s="25"/>
      <c r="Y204" s="14"/>
      <c r="Z204" s="14"/>
      <c r="AA204" s="14"/>
      <c r="AB204" s="14"/>
      <c r="AC204" s="14"/>
      <c r="AD204" s="14"/>
      <c r="AE204" s="14"/>
      <c r="AF204" s="14"/>
      <c r="AG204" s="14"/>
      <c r="AH204" s="29"/>
      <c r="AI204" s="29"/>
      <c r="AJ204" s="29"/>
      <c r="AK204" s="29"/>
      <c r="AL204" s="14"/>
      <c r="AM204" s="14"/>
      <c r="AN204" s="332"/>
      <c r="AO204" s="332"/>
      <c r="AP204" s="332"/>
      <c r="AQ204" s="332"/>
      <c r="AR204" s="332"/>
      <c r="AS204" s="332"/>
      <c r="AT204" s="332"/>
      <c r="AU204" s="28"/>
      <c r="AV204" s="332"/>
      <c r="AW204" s="28"/>
      <c r="AX204" s="332"/>
      <c r="BB204" s="40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row>
    <row r="205" spans="1:79" ht="15.75" customHeight="1">
      <c r="A205" s="14"/>
      <c r="B205" s="270" t="s">
        <v>127</v>
      </c>
      <c r="C205" s="271" t="str">
        <f ca="1">IFERROR(__xludf.DUMMYFUNCTION("GoogleFinance(B205,""name"")"),"Tesla Inc")</f>
        <v>Tesla Inc</v>
      </c>
      <c r="D205" s="272">
        <f ca="1">IFERROR(__xludf.DUMMYFUNCTION("GoogleFinance(B205,""marketcap"")/1000000"),1379980.168874)</f>
        <v>1379980.168874</v>
      </c>
      <c r="E205" s="273" t="s">
        <v>128</v>
      </c>
      <c r="F205" s="273" t="s">
        <v>129</v>
      </c>
      <c r="G205" s="274">
        <v>45699</v>
      </c>
      <c r="H205" s="381">
        <v>45870</v>
      </c>
      <c r="I205" s="276">
        <f t="shared" ca="1" si="16"/>
        <v>2.0186246401827704E-2</v>
      </c>
      <c r="J205" s="277">
        <v>302</v>
      </c>
      <c r="K205" s="278">
        <v>299</v>
      </c>
      <c r="L205" s="279">
        <v>10</v>
      </c>
      <c r="M205" s="313">
        <f t="shared" si="32"/>
        <v>2990</v>
      </c>
      <c r="N205" s="281">
        <f t="shared" si="31"/>
        <v>3020</v>
      </c>
      <c r="O205" s="281">
        <f t="shared" si="18"/>
        <v>30</v>
      </c>
      <c r="P205" s="275">
        <f t="shared" si="19"/>
        <v>1.0033444816053505E-2</v>
      </c>
      <c r="Q205" s="282">
        <f t="shared" si="20"/>
        <v>171</v>
      </c>
      <c r="R205" s="409" t="s">
        <v>266</v>
      </c>
      <c r="S205" s="25"/>
      <c r="T205" s="25"/>
      <c r="U205" s="25"/>
      <c r="V205" s="25"/>
      <c r="W205" s="25"/>
      <c r="X205" s="25"/>
      <c r="Y205" s="14"/>
      <c r="Z205" s="14"/>
      <c r="AA205" s="14"/>
      <c r="AB205" s="14"/>
      <c r="AC205" s="14"/>
      <c r="AD205" s="14"/>
      <c r="AE205" s="14"/>
      <c r="AF205" s="14"/>
      <c r="AG205" s="14"/>
      <c r="AH205" s="29"/>
      <c r="AI205" s="29"/>
      <c r="AJ205" s="29"/>
      <c r="AK205" s="29"/>
      <c r="AL205" s="14"/>
      <c r="AM205" s="14"/>
      <c r="AN205" s="332"/>
      <c r="AO205" s="332"/>
      <c r="AP205" s="332"/>
      <c r="AQ205" s="332"/>
      <c r="AR205" s="332"/>
      <c r="AS205" s="332"/>
      <c r="AT205" s="332"/>
      <c r="AU205" s="28"/>
      <c r="AV205" s="332"/>
      <c r="AW205" s="28"/>
      <c r="AX205" s="332"/>
      <c r="BB205" s="40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row>
    <row r="206" spans="1:79" ht="15.75" customHeight="1">
      <c r="A206" s="14"/>
      <c r="B206" s="46" t="s">
        <v>145</v>
      </c>
      <c r="C206" s="152" t="str">
        <f ca="1">IFERROR(__xludf.DUMMYFUNCTION("GoogleFinance(B206,""name"")"),"Vista Energy SAB de CV - ADR")</f>
        <v>Vista Energy SAB de CV - ADR</v>
      </c>
      <c r="D206" s="48">
        <f ca="1">IFERROR(__xludf.DUMMYFUNCTION("GoogleFinance(B206,""marketcap"")/1000000"),3769.846995)</f>
        <v>3769.8469949999999</v>
      </c>
      <c r="E206" s="49" t="s">
        <v>15</v>
      </c>
      <c r="F206" s="49" t="s">
        <v>141</v>
      </c>
      <c r="G206" s="82">
        <v>45506</v>
      </c>
      <c r="H206" s="381">
        <v>45889</v>
      </c>
      <c r="I206" s="52">
        <f t="shared" ca="1" si="16"/>
        <v>7.3078247273997707E-3</v>
      </c>
      <c r="J206" s="53">
        <v>40</v>
      </c>
      <c r="K206" s="54">
        <v>40.450000000000003</v>
      </c>
      <c r="L206" s="55">
        <f>2400/K206-15-22+55+50-50-50</f>
        <v>27.332509270704577</v>
      </c>
      <c r="M206" s="56">
        <f t="shared" si="32"/>
        <v>1105.6000000000001</v>
      </c>
      <c r="N206" s="57">
        <f t="shared" si="31"/>
        <v>1093.3003708281831</v>
      </c>
      <c r="O206" s="57">
        <f t="shared" si="18"/>
        <v>-12.29962917181706</v>
      </c>
      <c r="P206" s="51">
        <f t="shared" si="19"/>
        <v>-1.1124845488257207E-2</v>
      </c>
      <c r="Q206" s="282">
        <f t="shared" si="20"/>
        <v>383</v>
      </c>
      <c r="R206" s="24" t="s">
        <v>62</v>
      </c>
      <c r="S206" s="25"/>
      <c r="T206" s="25"/>
      <c r="U206" s="25"/>
      <c r="V206" s="25"/>
      <c r="W206" s="25"/>
      <c r="X206" s="25"/>
      <c r="Y206" s="14"/>
      <c r="Z206" s="14"/>
      <c r="AA206" s="14"/>
      <c r="AB206" s="14"/>
      <c r="AC206" s="14"/>
      <c r="AD206" s="14"/>
      <c r="AE206" s="14"/>
      <c r="AF206" s="14"/>
      <c r="AG206" s="14"/>
      <c r="AH206" s="29"/>
      <c r="AI206" s="29"/>
      <c r="AJ206" s="29"/>
      <c r="AK206" s="29"/>
      <c r="AL206" s="14"/>
      <c r="AM206" s="14"/>
      <c r="AN206" s="332"/>
      <c r="AO206" s="332"/>
      <c r="AP206" s="332"/>
      <c r="AQ206" s="332"/>
      <c r="AR206" s="332"/>
      <c r="AS206" s="332"/>
      <c r="AT206" s="332"/>
      <c r="AU206" s="28"/>
      <c r="AV206" s="332"/>
      <c r="AW206" s="28"/>
      <c r="AX206" s="332"/>
      <c r="BB206" s="40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row>
    <row r="207" spans="1:79" ht="15.75" customHeight="1">
      <c r="A207" s="14"/>
      <c r="B207" s="46" t="s">
        <v>304</v>
      </c>
      <c r="C207" s="47" t="str">
        <f ca="1">IFERROR(__xludf.DUMMYFUNCTION("GoogleFinance(B207,""name"")"),"Berkshire Hathaway Inc Class B")</f>
        <v>Berkshire Hathaway Inc Class B</v>
      </c>
      <c r="D207" s="48">
        <f ca="1">IFERROR(__xludf.DUMMYFUNCTION("GoogleFinance(B207,""marketcap"")/1000000"),1075567.6008)</f>
        <v>1075567.6007999999</v>
      </c>
      <c r="E207" s="49" t="s">
        <v>14</v>
      </c>
      <c r="F207" s="49" t="s">
        <v>21</v>
      </c>
      <c r="G207" s="50">
        <v>45782</v>
      </c>
      <c r="H207" s="381">
        <v>45909</v>
      </c>
      <c r="I207" s="52">
        <f t="shared" ca="1" si="16"/>
        <v>3.2038626062388297E-2</v>
      </c>
      <c r="J207" s="53">
        <v>496</v>
      </c>
      <c r="K207" s="54">
        <v>517.4</v>
      </c>
      <c r="L207" s="55">
        <f>5000/K207</f>
        <v>9.6637031310398154</v>
      </c>
      <c r="M207" s="56">
        <f t="shared" si="32"/>
        <v>5000</v>
      </c>
      <c r="N207" s="57">
        <f t="shared" si="31"/>
        <v>4793.1967529957483</v>
      </c>
      <c r="O207" s="57">
        <f t="shared" si="18"/>
        <v>-206.80324700425172</v>
      </c>
      <c r="P207" s="51">
        <f t="shared" si="19"/>
        <v>-4.136064940085038E-2</v>
      </c>
      <c r="Q207" s="282">
        <f t="shared" si="20"/>
        <v>127</v>
      </c>
      <c r="R207" s="409" t="s">
        <v>264</v>
      </c>
      <c r="S207" s="25"/>
      <c r="T207" s="25"/>
      <c r="U207" s="25"/>
      <c r="V207" s="25"/>
      <c r="W207" s="25"/>
      <c r="X207" s="25"/>
      <c r="Y207" s="14"/>
      <c r="Z207" s="14"/>
      <c r="AA207" s="14"/>
      <c r="AB207" s="14"/>
      <c r="AC207" s="14"/>
      <c r="AD207" s="14"/>
      <c r="AE207" s="14"/>
      <c r="AF207" s="14"/>
      <c r="AG207" s="14"/>
      <c r="AH207" s="29"/>
      <c r="AI207" s="29"/>
      <c r="AJ207" s="29"/>
      <c r="AK207" s="29"/>
      <c r="AL207" s="14"/>
      <c r="AM207" s="14"/>
      <c r="AN207" s="332"/>
      <c r="AO207" s="332"/>
      <c r="AP207" s="332"/>
      <c r="AQ207" s="332"/>
      <c r="AR207" s="332"/>
      <c r="AS207" s="332"/>
      <c r="AT207" s="332"/>
      <c r="AU207" s="28"/>
      <c r="AV207" s="332"/>
      <c r="AW207" s="28"/>
      <c r="AX207" s="332"/>
      <c r="BB207" s="40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row>
    <row r="208" spans="1:79" ht="15.75" customHeight="1">
      <c r="A208" s="14"/>
      <c r="B208" s="467" t="s">
        <v>196</v>
      </c>
      <c r="C208" s="468" t="str">
        <f ca="1">IFERROR(__xludf.DUMMYFUNCTION("GoogleFinance(B208,""name"")"),"abrdn Physical Platinum Shares ETF")</f>
        <v>abrdn Physical Platinum Shares ETF</v>
      </c>
      <c r="D208" s="469" t="str">
        <f ca="1">IFERROR(__xludf.DUMMYFUNCTION("GoogleFinance(B208,""marketcap"")/1000000"),"#N/A")</f>
        <v>#N/A</v>
      </c>
      <c r="E208" s="470" t="s">
        <v>38</v>
      </c>
      <c r="F208" s="287" t="s">
        <v>197</v>
      </c>
      <c r="G208" s="471">
        <v>45783</v>
      </c>
      <c r="H208" s="381">
        <v>45909</v>
      </c>
      <c r="I208" s="472">
        <f t="shared" ca="1" si="16"/>
        <v>1.6643627000182445E-2</v>
      </c>
      <c r="J208" s="473">
        <v>124.5</v>
      </c>
      <c r="K208" s="474">
        <f>(89.9*7.8+121.8*20)/27.8</f>
        <v>112.84964028776979</v>
      </c>
      <c r="L208" s="475">
        <v>20</v>
      </c>
      <c r="M208" s="476">
        <f t="shared" si="32"/>
        <v>2256.9928057553957</v>
      </c>
      <c r="N208" s="477">
        <f t="shared" si="31"/>
        <v>2490</v>
      </c>
      <c r="O208" s="478">
        <f t="shared" si="18"/>
        <v>233.00719424460431</v>
      </c>
      <c r="P208" s="479">
        <f t="shared" si="19"/>
        <v>0.10323789852162113</v>
      </c>
      <c r="Q208" s="282">
        <f t="shared" si="20"/>
        <v>126</v>
      </c>
      <c r="R208" s="409" t="s">
        <v>266</v>
      </c>
      <c r="S208" s="25"/>
      <c r="T208" s="25"/>
      <c r="U208" s="25"/>
      <c r="V208" s="25"/>
      <c r="W208" s="25"/>
      <c r="X208" s="25"/>
      <c r="Y208" s="14"/>
      <c r="Z208" s="14"/>
      <c r="AA208" s="14"/>
      <c r="AB208" s="14"/>
      <c r="AC208" s="14"/>
      <c r="AD208" s="14"/>
      <c r="AE208" s="14"/>
      <c r="AF208" s="14"/>
      <c r="AG208" s="14"/>
      <c r="AH208" s="29"/>
      <c r="AI208" s="29"/>
      <c r="AJ208" s="29"/>
      <c r="AK208" s="29"/>
      <c r="AL208" s="14"/>
      <c r="AM208" s="14"/>
      <c r="AN208" s="332"/>
      <c r="AO208" s="332"/>
      <c r="AP208" s="332"/>
      <c r="AQ208" s="332"/>
      <c r="AR208" s="332"/>
      <c r="AS208" s="332"/>
      <c r="AT208" s="332"/>
      <c r="AU208" s="28"/>
      <c r="AV208" s="332"/>
      <c r="AW208" s="28"/>
      <c r="AX208" s="332"/>
      <c r="BB208" s="40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row>
    <row r="209" spans="1:79" ht="15.75" customHeight="1">
      <c r="A209" s="14"/>
      <c r="B209" s="480" t="s">
        <v>16</v>
      </c>
      <c r="C209" s="481" t="str">
        <f ca="1">IFERROR(__xludf.DUMMYFUNCTION("GoogleFinance(B209,""name"")"),"Health Care Select Sector SPDR Fund")</f>
        <v>Health Care Select Sector SPDR Fund</v>
      </c>
      <c r="D209" s="482" t="str">
        <f ca="1">IFERROR(__xludf.DUMMYFUNCTION("GoogleFinance(B209,""marketcap"")/1000000"),"#N/A")</f>
        <v>#N/A</v>
      </c>
      <c r="E209" s="287" t="s">
        <v>17</v>
      </c>
      <c r="F209" s="287" t="s">
        <v>17</v>
      </c>
      <c r="G209" s="471">
        <v>45818</v>
      </c>
      <c r="H209" s="381">
        <v>45915</v>
      </c>
      <c r="I209" s="483">
        <f t="shared" ca="1" si="16"/>
        <v>6.4148147919980289E-2</v>
      </c>
      <c r="J209" s="484">
        <v>137.1</v>
      </c>
      <c r="K209" s="474">
        <v>135.69</v>
      </c>
      <c r="L209" s="475">
        <v>70</v>
      </c>
      <c r="M209" s="476">
        <f t="shared" si="32"/>
        <v>9498.2999999999993</v>
      </c>
      <c r="N209" s="478">
        <f t="shared" si="31"/>
        <v>9597</v>
      </c>
      <c r="O209" s="478">
        <f t="shared" si="18"/>
        <v>98.700000000000728</v>
      </c>
      <c r="P209" s="479">
        <f t="shared" si="19"/>
        <v>1.0391333185938434E-2</v>
      </c>
      <c r="Q209" s="282">
        <f t="shared" si="20"/>
        <v>97</v>
      </c>
      <c r="R209" s="409" t="s">
        <v>266</v>
      </c>
      <c r="S209" s="25"/>
      <c r="T209" s="25"/>
      <c r="U209" s="25"/>
      <c r="V209" s="25"/>
      <c r="W209" s="25"/>
      <c r="X209" s="25"/>
      <c r="Y209" s="14"/>
      <c r="Z209" s="14"/>
      <c r="AA209" s="14"/>
      <c r="AB209" s="14"/>
      <c r="AC209" s="14"/>
      <c r="AD209" s="14"/>
      <c r="AE209" s="14"/>
      <c r="AF209" s="14"/>
      <c r="AG209" s="14"/>
      <c r="AH209" s="29"/>
      <c r="AI209" s="29"/>
      <c r="AJ209" s="29"/>
      <c r="AK209" s="29"/>
      <c r="AL209" s="14"/>
      <c r="AM209" s="14"/>
      <c r="AN209" s="332"/>
      <c r="AO209" s="332"/>
      <c r="AP209" s="332"/>
      <c r="AQ209" s="332"/>
      <c r="AR209" s="332"/>
      <c r="AS209" s="332"/>
      <c r="AT209" s="332"/>
      <c r="AU209" s="28"/>
      <c r="AV209" s="332"/>
      <c r="AW209" s="28"/>
      <c r="AX209" s="332"/>
      <c r="BB209" s="40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row>
    <row r="210" spans="1:79" ht="15.75" customHeight="1">
      <c r="A210" s="14"/>
      <c r="B210" s="46" t="s">
        <v>305</v>
      </c>
      <c r="C210" s="152" t="str">
        <f ca="1">IFERROR(__xludf.DUMMYFUNCTION("GoogleFinance(B210,""name"")"),"Cosan SA - ADR")</f>
        <v>Cosan SA - ADR</v>
      </c>
      <c r="D210" s="48">
        <f ca="1">IFERROR(__xludf.DUMMYFUNCTION("GoogleFinance(B210,""marketcap"")/1000000"),11572.739843)</f>
        <v>11572.739842999999</v>
      </c>
      <c r="E210" s="49" t="s">
        <v>12</v>
      </c>
      <c r="F210" s="49" t="s">
        <v>166</v>
      </c>
      <c r="G210" s="82">
        <v>45911</v>
      </c>
      <c r="H210" s="381">
        <v>45922</v>
      </c>
      <c r="I210" s="52">
        <f t="shared" ca="1" si="16"/>
        <v>1.8715725140767411E-2</v>
      </c>
      <c r="J210" s="53">
        <v>4.4000000000000004</v>
      </c>
      <c r="K210" s="54">
        <v>5.5</v>
      </c>
      <c r="L210" s="55">
        <f>3500/K210</f>
        <v>636.36363636363637</v>
      </c>
      <c r="M210" s="56">
        <v>3500</v>
      </c>
      <c r="N210" s="57">
        <f t="shared" si="31"/>
        <v>2800.0000000000005</v>
      </c>
      <c r="O210" s="57">
        <f t="shared" si="18"/>
        <v>-699.99999999999955</v>
      </c>
      <c r="P210" s="51">
        <f t="shared" si="19"/>
        <v>-0.19999999999999996</v>
      </c>
      <c r="Q210" s="282">
        <f t="shared" si="20"/>
        <v>11</v>
      </c>
      <c r="R210" s="24" t="s">
        <v>62</v>
      </c>
      <c r="S210" s="25"/>
      <c r="T210" s="25"/>
      <c r="U210" s="25"/>
      <c r="V210" s="25"/>
      <c r="W210" s="25"/>
      <c r="X210" s="25"/>
      <c r="Y210" s="14"/>
      <c r="Z210" s="14"/>
      <c r="AA210" s="14"/>
      <c r="AB210" s="14"/>
      <c r="AC210" s="14"/>
      <c r="AD210" s="14"/>
      <c r="AE210" s="14"/>
      <c r="AF210" s="14"/>
      <c r="AG210" s="14"/>
      <c r="AH210" s="29"/>
      <c r="AI210" s="29"/>
      <c r="AJ210" s="29"/>
      <c r="AK210" s="29"/>
      <c r="AL210" s="14"/>
      <c r="AM210" s="14"/>
      <c r="AN210" s="332"/>
      <c r="AO210" s="332"/>
      <c r="AP210" s="332"/>
      <c r="AQ210" s="332"/>
      <c r="AR210" s="332"/>
      <c r="AS210" s="332"/>
      <c r="AT210" s="332"/>
      <c r="AU210" s="28"/>
      <c r="AV210" s="332"/>
      <c r="AW210" s="28"/>
      <c r="AX210" s="332"/>
      <c r="BB210" s="40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row>
    <row r="211" spans="1:79" ht="15.75" customHeight="1">
      <c r="A211" s="14"/>
      <c r="B211" s="366"/>
      <c r="C211" s="367"/>
      <c r="D211" s="367"/>
      <c r="E211" s="367"/>
      <c r="F211" s="367"/>
      <c r="G211" s="367"/>
      <c r="H211" s="367"/>
      <c r="I211" s="485"/>
      <c r="J211" s="486"/>
      <c r="K211" s="369"/>
      <c r="L211" s="339"/>
      <c r="M211" s="339"/>
      <c r="N211" s="487"/>
      <c r="O211" s="487"/>
      <c r="P211" s="339"/>
      <c r="Q211" s="488"/>
      <c r="R211" s="25"/>
      <c r="S211" s="25"/>
      <c r="T211" s="25"/>
      <c r="U211" s="25"/>
      <c r="V211" s="25"/>
      <c r="W211" s="25"/>
      <c r="X211" s="25"/>
      <c r="Y211" s="14"/>
      <c r="Z211" s="14"/>
      <c r="AA211" s="14"/>
      <c r="AB211" s="14"/>
      <c r="AC211" s="14"/>
      <c r="AD211" s="14"/>
      <c r="AE211" s="14"/>
      <c r="AF211" s="14"/>
      <c r="AG211" s="14"/>
      <c r="AH211" s="29"/>
      <c r="AI211" s="29"/>
      <c r="AJ211" s="29"/>
      <c r="AK211" s="29"/>
      <c r="AL211" s="14"/>
      <c r="AM211" s="14"/>
      <c r="AN211" s="332"/>
      <c r="AO211" s="332"/>
      <c r="AP211" s="332"/>
      <c r="AQ211" s="332"/>
      <c r="AR211" s="332"/>
      <c r="AS211" s="332"/>
      <c r="AT211" s="332"/>
      <c r="AU211" s="28"/>
      <c r="AV211" s="332"/>
      <c r="AW211" s="28"/>
      <c r="AX211" s="332"/>
      <c r="BB211" s="40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row>
    <row r="212" spans="1:79" ht="15.75" customHeight="1">
      <c r="A212" s="14"/>
      <c r="B212" s="366"/>
      <c r="C212" s="367"/>
      <c r="D212" s="367"/>
      <c r="E212" s="367"/>
      <c r="F212" s="367"/>
      <c r="G212" s="367"/>
      <c r="H212" s="367"/>
      <c r="I212" s="485"/>
      <c r="J212" s="486"/>
      <c r="K212" s="369"/>
      <c r="L212" s="339"/>
      <c r="M212" s="339"/>
      <c r="N212" s="487"/>
      <c r="O212" s="487"/>
      <c r="P212" s="339"/>
      <c r="Q212" s="488"/>
      <c r="R212" s="25"/>
      <c r="S212" s="25"/>
      <c r="T212" s="25"/>
      <c r="U212" s="25"/>
      <c r="V212" s="25"/>
      <c r="W212" s="25"/>
      <c r="X212" s="25"/>
      <c r="Y212" s="14"/>
      <c r="Z212" s="14"/>
      <c r="AA212" s="14"/>
      <c r="AB212" s="14"/>
      <c r="AC212" s="14"/>
      <c r="AD212" s="14"/>
      <c r="AE212" s="14"/>
      <c r="AF212" s="14"/>
      <c r="AG212" s="14"/>
      <c r="AH212" s="29"/>
      <c r="AI212" s="29"/>
      <c r="AJ212" s="29"/>
      <c r="AK212" s="29"/>
      <c r="AL212" s="14"/>
      <c r="AM212" s="14"/>
      <c r="AN212" s="332"/>
      <c r="AO212" s="332"/>
      <c r="AP212" s="332"/>
      <c r="AQ212" s="332"/>
      <c r="AR212" s="332"/>
      <c r="AS212" s="332"/>
      <c r="AT212" s="332"/>
      <c r="AU212" s="28"/>
      <c r="AV212" s="332"/>
      <c r="AW212" s="28"/>
      <c r="AX212" s="332"/>
      <c r="BB212" s="40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row>
    <row r="213" spans="1:79" ht="15.75" customHeight="1">
      <c r="A213" s="14"/>
      <c r="B213" s="366"/>
      <c r="C213" s="367"/>
      <c r="D213" s="367"/>
      <c r="E213" s="367"/>
      <c r="F213" s="367"/>
      <c r="G213" s="367"/>
      <c r="H213" s="367"/>
      <c r="I213" s="485"/>
      <c r="J213" s="486"/>
      <c r="K213" s="369"/>
      <c r="L213" s="339"/>
      <c r="M213" s="339"/>
      <c r="N213" s="487"/>
      <c r="O213" s="487"/>
      <c r="P213" s="339"/>
      <c r="Q213" s="488"/>
      <c r="R213" s="25"/>
      <c r="S213" s="25"/>
      <c r="T213" s="25"/>
      <c r="U213" s="25"/>
      <c r="V213" s="25"/>
      <c r="W213" s="25"/>
      <c r="X213" s="25"/>
      <c r="Y213" s="14"/>
      <c r="Z213" s="14"/>
      <c r="AA213" s="14"/>
      <c r="AB213" s="14"/>
      <c r="AC213" s="14"/>
      <c r="AD213" s="14"/>
      <c r="AE213" s="14"/>
      <c r="AF213" s="14"/>
      <c r="AG213" s="14"/>
      <c r="AH213" s="29"/>
      <c r="AI213" s="29"/>
      <c r="AJ213" s="29"/>
      <c r="AK213" s="29"/>
      <c r="AL213" s="14"/>
      <c r="AM213" s="14"/>
      <c r="AN213" s="332"/>
      <c r="AO213" s="332"/>
      <c r="AP213" s="332"/>
      <c r="AQ213" s="332"/>
      <c r="AR213" s="332"/>
      <c r="AS213" s="332"/>
      <c r="AT213" s="332"/>
      <c r="AU213" s="28"/>
      <c r="AV213" s="332"/>
      <c r="AW213" s="28"/>
      <c r="AX213" s="332"/>
      <c r="BB213" s="40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row>
    <row r="214" spans="1:79" ht="15.75" customHeight="1">
      <c r="A214" s="14"/>
      <c r="B214" s="366"/>
      <c r="C214" s="367"/>
      <c r="D214" s="367"/>
      <c r="E214" s="367"/>
      <c r="F214" s="367"/>
      <c r="G214" s="367"/>
      <c r="H214" s="367"/>
      <c r="I214" s="485"/>
      <c r="J214" s="486"/>
      <c r="K214" s="369"/>
      <c r="L214" s="339"/>
      <c r="M214" s="339"/>
      <c r="N214" s="487"/>
      <c r="O214" s="487"/>
      <c r="P214" s="339"/>
      <c r="Q214" s="488"/>
      <c r="R214" s="25"/>
      <c r="S214" s="25"/>
      <c r="T214" s="25"/>
      <c r="U214" s="25"/>
      <c r="V214" s="25"/>
      <c r="W214" s="25"/>
      <c r="X214" s="25"/>
      <c r="Y214" s="14"/>
      <c r="Z214" s="14"/>
      <c r="AA214" s="14"/>
      <c r="AB214" s="14"/>
      <c r="AC214" s="14"/>
      <c r="AD214" s="14"/>
      <c r="AE214" s="14"/>
      <c r="AF214" s="14"/>
      <c r="AG214" s="14"/>
      <c r="AH214" s="29"/>
      <c r="AI214" s="29"/>
      <c r="AJ214" s="29"/>
      <c r="AK214" s="29"/>
      <c r="AL214" s="14"/>
      <c r="AM214" s="14"/>
      <c r="AN214" s="332"/>
      <c r="AO214" s="332"/>
      <c r="AP214" s="332"/>
      <c r="AQ214" s="332"/>
      <c r="AR214" s="332"/>
      <c r="AS214" s="332"/>
      <c r="AT214" s="332"/>
      <c r="AU214" s="28"/>
      <c r="AV214" s="332"/>
      <c r="AW214" s="28"/>
      <c r="AX214" s="332"/>
      <c r="BB214" s="40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row>
    <row r="215" spans="1:79" ht="15.75" customHeight="1">
      <c r="A215" s="14"/>
      <c r="B215" s="366"/>
      <c r="C215" s="367"/>
      <c r="D215" s="367"/>
      <c r="E215" s="367"/>
      <c r="F215" s="367"/>
      <c r="G215" s="367"/>
      <c r="H215" s="367"/>
      <c r="I215" s="485"/>
      <c r="J215" s="486"/>
      <c r="K215" s="369"/>
      <c r="L215" s="339"/>
      <c r="M215" s="339"/>
      <c r="N215" s="487"/>
      <c r="O215" s="487"/>
      <c r="P215" s="339"/>
      <c r="Q215" s="488"/>
      <c r="R215" s="25"/>
      <c r="S215" s="25"/>
      <c r="T215" s="25"/>
      <c r="U215" s="25"/>
      <c r="V215" s="25"/>
      <c r="W215" s="25"/>
      <c r="X215" s="25"/>
      <c r="Y215" s="14"/>
      <c r="Z215" s="14"/>
      <c r="AA215" s="14"/>
      <c r="AB215" s="14"/>
      <c r="AC215" s="14"/>
      <c r="AD215" s="14"/>
      <c r="AE215" s="14"/>
      <c r="AF215" s="14"/>
      <c r="AG215" s="14"/>
      <c r="AH215" s="29"/>
      <c r="AI215" s="29"/>
      <c r="AJ215" s="29"/>
      <c r="AK215" s="29"/>
      <c r="AL215" s="14"/>
      <c r="AM215" s="14"/>
      <c r="AN215" s="332"/>
      <c r="AO215" s="332"/>
      <c r="AP215" s="332"/>
      <c r="AQ215" s="332"/>
      <c r="AR215" s="332"/>
      <c r="AS215" s="332"/>
      <c r="AT215" s="332"/>
      <c r="AU215" s="28"/>
      <c r="AV215" s="332"/>
      <c r="AW215" s="28"/>
      <c r="AX215" s="332"/>
      <c r="BB215" s="40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row>
    <row r="216" spans="1:79" ht="15.75" customHeight="1">
      <c r="A216" s="14"/>
      <c r="B216" s="366" t="s">
        <v>306</v>
      </c>
      <c r="C216" s="367"/>
      <c r="D216" s="367"/>
      <c r="E216" s="367"/>
      <c r="F216" s="367"/>
      <c r="G216" s="367"/>
      <c r="H216" s="367"/>
      <c r="I216" s="368"/>
      <c r="J216" s="339"/>
      <c r="K216" s="369"/>
      <c r="L216" s="339"/>
      <c r="M216" s="339"/>
      <c r="N216" s="339"/>
      <c r="O216" s="339"/>
      <c r="P216" s="339"/>
      <c r="Q216" s="339"/>
      <c r="R216" s="339"/>
      <c r="S216" s="339"/>
      <c r="T216" s="339"/>
      <c r="U216" s="339"/>
      <c r="V216" s="339"/>
      <c r="W216" s="339"/>
      <c r="X216" s="339"/>
      <c r="Y216" s="14"/>
      <c r="Z216" s="14"/>
      <c r="AA216" s="14"/>
      <c r="AB216" s="14"/>
      <c r="AC216" s="14"/>
      <c r="AD216" s="14"/>
      <c r="AE216" s="14"/>
      <c r="AF216" s="14"/>
      <c r="AG216" s="14"/>
      <c r="AH216" s="29"/>
      <c r="AI216" s="29"/>
      <c r="AJ216" s="29"/>
      <c r="AK216" s="29"/>
      <c r="AL216" s="14"/>
      <c r="AM216" s="14"/>
      <c r="AN216" s="332"/>
      <c r="AO216" s="332"/>
      <c r="AP216" s="332"/>
      <c r="AQ216" s="332"/>
      <c r="AR216" s="332"/>
      <c r="AS216" s="332"/>
      <c r="AT216" s="332"/>
      <c r="AU216" s="28"/>
      <c r="AV216" s="332"/>
      <c r="AW216" s="28"/>
      <c r="AX216" s="332"/>
      <c r="BB216" s="323"/>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row>
    <row r="217" spans="1:79" ht="15.75" customHeight="1">
      <c r="A217" s="14"/>
      <c r="B217" s="244"/>
      <c r="C217" s="864" t="s">
        <v>45</v>
      </c>
      <c r="D217" s="862"/>
      <c r="E217" s="862"/>
      <c r="F217" s="862"/>
      <c r="G217" s="862"/>
      <c r="H217" s="862"/>
      <c r="I217" s="863"/>
      <c r="J217" s="865" t="s">
        <v>255</v>
      </c>
      <c r="K217" s="866"/>
      <c r="L217" s="866"/>
      <c r="M217" s="866"/>
      <c r="N217" s="866"/>
      <c r="O217" s="866"/>
      <c r="P217" s="866"/>
      <c r="Q217" s="866"/>
      <c r="R217" s="866"/>
      <c r="S217" s="866"/>
      <c r="T217" s="866"/>
      <c r="U217" s="866"/>
      <c r="V217" s="866"/>
      <c r="W217" s="866"/>
      <c r="X217" s="867"/>
      <c r="Y217" s="14"/>
      <c r="Z217" s="14"/>
      <c r="AA217" s="14"/>
      <c r="AB217" s="14"/>
      <c r="AC217" s="14"/>
      <c r="AD217" s="14"/>
      <c r="AE217" s="14"/>
      <c r="AF217" s="14"/>
      <c r="AG217" s="14"/>
      <c r="AH217" s="29"/>
      <c r="AI217" s="29"/>
      <c r="AJ217" s="29"/>
      <c r="AK217" s="29"/>
      <c r="AL217" s="14"/>
      <c r="AM217" s="14"/>
      <c r="AN217" s="332"/>
      <c r="AO217" s="332"/>
      <c r="AP217" s="332"/>
      <c r="AQ217" s="332"/>
      <c r="AR217" s="332"/>
      <c r="AS217" s="332"/>
      <c r="AT217" s="332"/>
      <c r="AU217" s="28"/>
      <c r="AV217" s="332"/>
      <c r="AW217" s="28"/>
      <c r="AX217" s="332"/>
      <c r="BB217" s="323"/>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row>
    <row r="218" spans="1:79" ht="15.75" customHeight="1">
      <c r="A218" s="14"/>
      <c r="B218" s="37" t="s">
        <v>0</v>
      </c>
      <c r="C218" s="38" t="s">
        <v>1</v>
      </c>
      <c r="D218" s="37" t="s">
        <v>50</v>
      </c>
      <c r="E218" s="37" t="s">
        <v>2</v>
      </c>
      <c r="F218" s="37" t="s">
        <v>51</v>
      </c>
      <c r="G218" s="37" t="s">
        <v>52</v>
      </c>
      <c r="H218" s="372" t="s">
        <v>257</v>
      </c>
      <c r="I218" s="37" t="s">
        <v>54</v>
      </c>
      <c r="J218" s="373" t="s">
        <v>258</v>
      </c>
      <c r="K218" s="39" t="s">
        <v>55</v>
      </c>
      <c r="L218" s="373" t="s">
        <v>56</v>
      </c>
      <c r="M218" s="39" t="s">
        <v>57</v>
      </c>
      <c r="N218" s="374" t="s">
        <v>259</v>
      </c>
      <c r="O218" s="39" t="s">
        <v>59</v>
      </c>
      <c r="P218" s="39" t="s">
        <v>60</v>
      </c>
      <c r="Q218" s="39" t="s">
        <v>61</v>
      </c>
      <c r="R218" s="868" t="s">
        <v>260</v>
      </c>
      <c r="S218" s="869"/>
      <c r="T218" s="869"/>
      <c r="U218" s="869"/>
      <c r="V218" s="869"/>
      <c r="W218" s="869"/>
      <c r="X218" s="870"/>
      <c r="Y218" s="14"/>
      <c r="Z218" s="14"/>
      <c r="AA218" s="14"/>
      <c r="AB218" s="14"/>
      <c r="AC218" s="14"/>
      <c r="AD218" s="14"/>
      <c r="AE218" s="14"/>
      <c r="AF218" s="14"/>
      <c r="AG218" s="14"/>
      <c r="AH218" s="14"/>
      <c r="AI218" s="14"/>
      <c r="AJ218" s="14"/>
      <c r="AK218" s="14"/>
      <c r="AL218" s="14"/>
      <c r="AM218" s="14"/>
      <c r="AN218" s="14"/>
      <c r="AO218" s="14"/>
      <c r="AP218" s="332"/>
      <c r="AQ218" s="332"/>
      <c r="AR218" s="332"/>
      <c r="AS218" s="332"/>
      <c r="AT218" s="332"/>
      <c r="AU218" s="28"/>
      <c r="AV218" s="332"/>
      <c r="AW218" s="28"/>
      <c r="AX218" s="332"/>
      <c r="BB218" s="323"/>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row>
    <row r="219" spans="1:79" ht="15.75" customHeight="1">
      <c r="A219" s="14"/>
      <c r="B219" s="270" t="s">
        <v>307</v>
      </c>
      <c r="C219" s="271" t="str">
        <f ca="1">IFERROR(__xludf.DUMMYFUNCTION("GoogleFinance(B219,""name"")"),"T-Mobile Us Inc")</f>
        <v>T-Mobile Us Inc</v>
      </c>
      <c r="D219" s="272">
        <f ca="1">IFERROR(__xludf.DUMMYFUNCTION("GoogleFinance(B219,""marketcap"")/1000000"),267253.251303)</f>
        <v>267253.25130300003</v>
      </c>
      <c r="E219" s="273" t="s">
        <v>13</v>
      </c>
      <c r="F219" s="273" t="s">
        <v>83</v>
      </c>
      <c r="G219" s="274">
        <v>45191</v>
      </c>
      <c r="H219" s="235">
        <v>45294</v>
      </c>
      <c r="I219" s="276">
        <f t="shared" ref="I219:I310" ca="1" si="33">N219/$M$84</f>
        <v>1.6473180217650457E-2</v>
      </c>
      <c r="J219" s="277">
        <v>164.3</v>
      </c>
      <c r="K219" s="278">
        <v>139.5</v>
      </c>
      <c r="L219" s="279">
        <v>15</v>
      </c>
      <c r="M219" s="280">
        <f t="shared" ref="M219:M227" si="34">L219*K219</f>
        <v>2092.5</v>
      </c>
      <c r="N219" s="281">
        <f t="shared" ref="N219:N310" si="35">J219*L219</f>
        <v>2464.5</v>
      </c>
      <c r="O219" s="281">
        <f t="shared" ref="O219:O310" si="36">N219-M219</f>
        <v>372</v>
      </c>
      <c r="P219" s="275">
        <f t="shared" ref="P219:P310" si="37">J219/K219-1</f>
        <v>0.17777777777777781</v>
      </c>
      <c r="Q219" s="282">
        <f t="shared" ref="Q219:Q233" si="38">H219-G219</f>
        <v>103</v>
      </c>
      <c r="R219" s="4" t="s">
        <v>308</v>
      </c>
      <c r="S219" s="14"/>
      <c r="T219" s="14"/>
      <c r="U219" s="14"/>
      <c r="V219" s="14"/>
      <c r="W219" s="14"/>
      <c r="X219" s="14"/>
      <c r="Y219" s="14"/>
      <c r="Z219" s="14"/>
      <c r="AA219" s="14"/>
      <c r="AB219" s="14"/>
      <c r="AC219" s="14"/>
      <c r="AD219" s="14"/>
      <c r="AE219" s="14"/>
      <c r="AF219" s="14"/>
      <c r="AG219" s="14"/>
      <c r="AH219" s="29"/>
      <c r="AI219" s="29"/>
      <c r="AJ219" s="29"/>
      <c r="AK219" s="29"/>
      <c r="AL219" s="29"/>
      <c r="AM219" s="29"/>
      <c r="AN219" s="29"/>
      <c r="AO219" s="29"/>
      <c r="AP219" s="29"/>
      <c r="AQ219" s="29"/>
      <c r="AR219" s="29"/>
      <c r="AS219" s="29"/>
      <c r="AT219" s="29"/>
      <c r="AU219" s="29"/>
      <c r="AV219" s="29"/>
      <c r="AW219" s="29"/>
      <c r="AX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row>
    <row r="220" spans="1:79" ht="15.75" customHeight="1">
      <c r="A220" s="14"/>
      <c r="B220" s="270" t="s">
        <v>309</v>
      </c>
      <c r="C220" s="271" t="str">
        <f ca="1">IFERROR(__xludf.DUMMYFUNCTION("GoogleFinance(B220,""name"")"),"AbbVie Inc")</f>
        <v>AbbVie Inc</v>
      </c>
      <c r="D220" s="272">
        <f ca="1">IFERROR(__xludf.DUMMYFUNCTION("GoogleFinance(B220,""marketcap"")/1000000"),389720.361458)</f>
        <v>389720.36145800003</v>
      </c>
      <c r="E220" s="273" t="s">
        <v>17</v>
      </c>
      <c r="F220" s="273" t="s">
        <v>310</v>
      </c>
      <c r="G220" s="274">
        <v>45184</v>
      </c>
      <c r="H220" s="235">
        <v>45300</v>
      </c>
      <c r="I220" s="276">
        <f t="shared" ca="1" si="33"/>
        <v>1.7400277030873469E-2</v>
      </c>
      <c r="J220" s="277">
        <v>162.69999999999999</v>
      </c>
      <c r="K220" s="278">
        <v>153</v>
      </c>
      <c r="L220" s="279">
        <v>16</v>
      </c>
      <c r="M220" s="280">
        <f t="shared" si="34"/>
        <v>2448</v>
      </c>
      <c r="N220" s="281">
        <f t="shared" si="35"/>
        <v>2603.1999999999998</v>
      </c>
      <c r="O220" s="281">
        <f t="shared" si="36"/>
        <v>155.19999999999982</v>
      </c>
      <c r="P220" s="275">
        <f t="shared" si="37"/>
        <v>6.3398692810457513E-2</v>
      </c>
      <c r="Q220" s="282">
        <f t="shared" si="38"/>
        <v>116</v>
      </c>
      <c r="R220" s="4" t="s">
        <v>308</v>
      </c>
      <c r="S220" s="14"/>
      <c r="T220" s="14"/>
      <c r="U220" s="14"/>
      <c r="V220" s="14"/>
      <c r="W220" s="14"/>
      <c r="X220" s="14"/>
      <c r="Y220" s="14"/>
      <c r="Z220" s="14"/>
      <c r="AA220" s="14"/>
      <c r="AB220" s="14"/>
      <c r="AC220" s="14"/>
      <c r="AD220" s="14"/>
      <c r="AE220" s="14"/>
      <c r="AF220" s="14"/>
      <c r="AG220" s="14"/>
      <c r="AH220" s="29"/>
      <c r="AI220" s="29"/>
      <c r="AJ220" s="29"/>
      <c r="AK220" s="29"/>
      <c r="AL220" s="29"/>
      <c r="AM220" s="29"/>
      <c r="AN220" s="29"/>
      <c r="AO220" s="29"/>
      <c r="AP220" s="29"/>
      <c r="AQ220" s="29"/>
      <c r="AR220" s="29"/>
      <c r="AS220" s="29"/>
      <c r="AT220" s="29"/>
      <c r="AU220" s="29"/>
      <c r="AV220" s="29"/>
      <c r="AW220" s="29"/>
      <c r="AX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row>
    <row r="221" spans="1:79" ht="15.75" customHeight="1">
      <c r="A221" s="14"/>
      <c r="B221" s="270" t="s">
        <v>5</v>
      </c>
      <c r="C221" s="271" t="str">
        <f ca="1">IFERROR(__xludf.DUMMYFUNCTION("GoogleFinance(B221,""name"")"),"SPDR S&amp;P 500 ETF Trust")</f>
        <v>SPDR S&amp;P 500 ETF Trust</v>
      </c>
      <c r="D221" s="272">
        <f ca="1">IFERROR(__xludf.DUMMYFUNCTION("GoogleFinance(B221,""marketcap"")/1000000"),597359.334248)</f>
        <v>597359.33424800006</v>
      </c>
      <c r="E221" s="273" t="s">
        <v>80</v>
      </c>
      <c r="F221" s="273"/>
      <c r="G221" s="274">
        <v>45295</v>
      </c>
      <c r="H221" s="235">
        <v>45302</v>
      </c>
      <c r="I221" s="276">
        <f t="shared" ca="1" si="33"/>
        <v>0.14323545501482315</v>
      </c>
      <c r="J221" s="277">
        <v>476.2</v>
      </c>
      <c r="K221" s="278">
        <v>467.7</v>
      </c>
      <c r="L221" s="279">
        <v>45</v>
      </c>
      <c r="M221" s="280">
        <f t="shared" si="34"/>
        <v>21046.5</v>
      </c>
      <c r="N221" s="281">
        <f t="shared" si="35"/>
        <v>21429</v>
      </c>
      <c r="O221" s="281">
        <f t="shared" si="36"/>
        <v>382.5</v>
      </c>
      <c r="P221" s="275">
        <f t="shared" si="37"/>
        <v>1.8174043190079203E-2</v>
      </c>
      <c r="Q221" s="282">
        <f t="shared" si="38"/>
        <v>7</v>
      </c>
      <c r="R221" s="4" t="s">
        <v>281</v>
      </c>
      <c r="S221" s="14"/>
      <c r="T221" s="14"/>
      <c r="U221" s="14"/>
      <c r="V221" s="14"/>
      <c r="W221" s="14"/>
      <c r="X221" s="14"/>
      <c r="Y221" s="14"/>
      <c r="Z221" s="14"/>
      <c r="AA221" s="14"/>
      <c r="AB221" s="14"/>
      <c r="AC221" s="14"/>
      <c r="AD221" s="14"/>
      <c r="AE221" s="14"/>
      <c r="AF221" s="14"/>
      <c r="AG221" s="14"/>
      <c r="AH221" s="29"/>
      <c r="AI221" s="29"/>
      <c r="AJ221" s="29"/>
      <c r="AK221" s="29"/>
      <c r="AL221" s="29"/>
      <c r="AM221" s="29"/>
      <c r="AN221" s="29"/>
      <c r="AO221" s="29"/>
      <c r="AP221" s="29"/>
      <c r="AQ221" s="29"/>
      <c r="AR221" s="29"/>
      <c r="AS221" s="29"/>
      <c r="AT221" s="29"/>
      <c r="AU221" s="29"/>
      <c r="AV221" s="29"/>
      <c r="AW221" s="29"/>
      <c r="AX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row>
    <row r="222" spans="1:79" ht="15.75" customHeight="1">
      <c r="A222" s="14"/>
      <c r="B222" s="7" t="s">
        <v>5</v>
      </c>
      <c r="C222" s="377" t="str">
        <f ca="1">IFERROR(__xludf.DUMMYFUNCTION("GoogleFinance(B222,""name"")"),"SPDR S&amp;P 500 ETF Trust")</f>
        <v>SPDR S&amp;P 500 ETF Trust</v>
      </c>
      <c r="D222" s="378">
        <f ca="1">IFERROR(__xludf.DUMMYFUNCTION("GoogleFinance(B222,""marketcap"")/1000000"),597359.334248)</f>
        <v>597359.33424800006</v>
      </c>
      <c r="E222" s="379" t="s">
        <v>80</v>
      </c>
      <c r="F222" s="379"/>
      <c r="G222" s="380">
        <v>45308</v>
      </c>
      <c r="H222" s="235">
        <v>45327</v>
      </c>
      <c r="I222" s="300">
        <f t="shared" ca="1" si="33"/>
        <v>0.13217312461911956</v>
      </c>
      <c r="J222" s="382">
        <v>494.35</v>
      </c>
      <c r="K222" s="324">
        <v>473.25</v>
      </c>
      <c r="L222" s="383">
        <v>40</v>
      </c>
      <c r="M222" s="313">
        <f t="shared" si="34"/>
        <v>18930</v>
      </c>
      <c r="N222" s="384">
        <f t="shared" si="35"/>
        <v>19774</v>
      </c>
      <c r="O222" s="384">
        <f t="shared" si="36"/>
        <v>844</v>
      </c>
      <c r="P222" s="254">
        <f t="shared" si="37"/>
        <v>4.4585314315900737E-2</v>
      </c>
      <c r="Q222" s="282">
        <f t="shared" si="38"/>
        <v>19</v>
      </c>
      <c r="R222" s="4" t="s">
        <v>281</v>
      </c>
      <c r="S222" s="14"/>
      <c r="T222" s="14"/>
      <c r="U222" s="14"/>
      <c r="V222" s="14"/>
      <c r="W222" s="14"/>
      <c r="X222" s="14"/>
      <c r="Y222" s="14"/>
      <c r="Z222" s="14"/>
      <c r="AA222" s="14"/>
      <c r="AB222" s="14"/>
      <c r="AC222" s="14"/>
      <c r="AD222" s="14"/>
      <c r="AE222" s="14"/>
      <c r="AF222" s="14"/>
      <c r="AG222" s="14"/>
      <c r="AH222" s="29"/>
      <c r="AI222" s="29"/>
      <c r="AJ222" s="29"/>
      <c r="AK222" s="29"/>
      <c r="AL222" s="29"/>
      <c r="AM222" s="29"/>
      <c r="AN222" s="29"/>
      <c r="AO222" s="29"/>
      <c r="AP222" s="29"/>
      <c r="AQ222" s="29"/>
      <c r="AR222" s="29"/>
      <c r="AS222" s="29"/>
      <c r="AT222" s="29"/>
      <c r="AU222" s="29"/>
      <c r="AV222" s="29"/>
      <c r="AW222" s="29"/>
      <c r="AX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row>
    <row r="223" spans="1:79" ht="15.75" customHeight="1">
      <c r="A223" s="14"/>
      <c r="B223" s="443" t="s">
        <v>6</v>
      </c>
      <c r="C223" s="444" t="str">
        <f ca="1">IFERROR(__xludf.DUMMYFUNCTION("GoogleFinance(B223,""name"")"),"Invesco QQQ Trust, Series 1")</f>
        <v>Invesco QQQ Trust, Series 1</v>
      </c>
      <c r="D223" s="445">
        <f ca="1">IFERROR(__xludf.DUMMYFUNCTION("GoogleFinance(B223,""marketcap"")/1000000"),232756.012461)</f>
        <v>232756.01246100001</v>
      </c>
      <c r="E223" s="446" t="s">
        <v>7</v>
      </c>
      <c r="F223" s="465"/>
      <c r="G223" s="274">
        <v>45295</v>
      </c>
      <c r="H223" s="235">
        <v>45327</v>
      </c>
      <c r="I223" s="447">
        <f t="shared" ca="1" si="33"/>
        <v>0.11470333203772325</v>
      </c>
      <c r="J223" s="448">
        <v>429.01</v>
      </c>
      <c r="K223" s="489">
        <v>399.3</v>
      </c>
      <c r="L223" s="279">
        <v>40</v>
      </c>
      <c r="M223" s="449">
        <f t="shared" si="34"/>
        <v>15972</v>
      </c>
      <c r="N223" s="449">
        <f t="shared" si="35"/>
        <v>17160.400000000001</v>
      </c>
      <c r="O223" s="449">
        <f t="shared" si="36"/>
        <v>1188.4000000000015</v>
      </c>
      <c r="P223" s="291">
        <f t="shared" si="37"/>
        <v>7.4405209115952831E-2</v>
      </c>
      <c r="Q223" s="282">
        <f t="shared" si="38"/>
        <v>32</v>
      </c>
      <c r="R223" s="4" t="s">
        <v>281</v>
      </c>
      <c r="S223" s="14"/>
      <c r="T223" s="14"/>
      <c r="U223" s="14"/>
      <c r="V223" s="14"/>
      <c r="W223" s="14"/>
      <c r="X223" s="14"/>
      <c r="Y223" s="14"/>
      <c r="Z223" s="14"/>
      <c r="AA223" s="14"/>
      <c r="AB223" s="14"/>
      <c r="AC223" s="14"/>
      <c r="AD223" s="14"/>
      <c r="AE223" s="14"/>
      <c r="AF223" s="14"/>
      <c r="AG223" s="14"/>
      <c r="AH223" s="29"/>
      <c r="AI223" s="29"/>
      <c r="AJ223" s="29"/>
      <c r="AK223" s="29"/>
      <c r="AL223" s="29"/>
      <c r="AM223" s="29"/>
      <c r="AN223" s="29"/>
      <c r="AO223" s="29"/>
      <c r="AP223" s="29"/>
      <c r="AQ223" s="29"/>
      <c r="AR223" s="29"/>
      <c r="AS223" s="29"/>
      <c r="AT223" s="29"/>
      <c r="AU223" s="29"/>
      <c r="AV223" s="29"/>
      <c r="AW223" s="29"/>
      <c r="AX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row>
    <row r="224" spans="1:79" ht="15.75" customHeight="1">
      <c r="A224" s="14"/>
      <c r="B224" s="7" t="s">
        <v>25</v>
      </c>
      <c r="C224" s="377" t="str">
        <f ca="1">IFERROR(__xludf.DUMMYFUNCTION("GoogleFinance(B224,""name"")"),"VanEck Gold Miners ETF")</f>
        <v>VanEck Gold Miners ETF</v>
      </c>
      <c r="D224" s="378" t="str">
        <f ca="1">IFERROR(__xludf.DUMMYFUNCTION("GoogleFinance(B224,""marketcap"")/1000000"),"#N/A")</f>
        <v>#N/A</v>
      </c>
      <c r="E224" s="379" t="s">
        <v>12</v>
      </c>
      <c r="F224" s="379" t="s">
        <v>39</v>
      </c>
      <c r="G224" s="380">
        <v>45064</v>
      </c>
      <c r="H224" s="235">
        <v>45335</v>
      </c>
      <c r="I224" s="300">
        <f t="shared" ca="1" si="33"/>
        <v>8.6894438153562962E-3</v>
      </c>
      <c r="J224" s="382">
        <v>26</v>
      </c>
      <c r="K224" s="324">
        <v>31.43</v>
      </c>
      <c r="L224" s="383">
        <v>50</v>
      </c>
      <c r="M224" s="313">
        <f t="shared" si="34"/>
        <v>1571.5</v>
      </c>
      <c r="N224" s="384">
        <f t="shared" si="35"/>
        <v>1300</v>
      </c>
      <c r="O224" s="384">
        <f t="shared" si="36"/>
        <v>-271.5</v>
      </c>
      <c r="P224" s="254">
        <f t="shared" si="37"/>
        <v>-0.17276487432389431</v>
      </c>
      <c r="Q224" s="282">
        <f t="shared" si="38"/>
        <v>271</v>
      </c>
      <c r="R224" s="4" t="s">
        <v>62</v>
      </c>
      <c r="S224" s="14"/>
      <c r="T224" s="14"/>
      <c r="U224" s="14"/>
      <c r="V224" s="14"/>
      <c r="W224" s="14"/>
      <c r="X224" s="14"/>
      <c r="Y224" s="14"/>
      <c r="Z224" s="14"/>
      <c r="AA224" s="14"/>
      <c r="AB224" s="14"/>
      <c r="AC224" s="14"/>
      <c r="AD224" s="14"/>
      <c r="AE224" s="14"/>
      <c r="AF224" s="14"/>
      <c r="AG224" s="14"/>
      <c r="AH224" s="29"/>
      <c r="AI224" s="29"/>
      <c r="AJ224" s="29"/>
      <c r="AK224" s="29"/>
      <c r="AL224" s="29"/>
      <c r="AM224" s="29"/>
      <c r="AN224" s="29"/>
      <c r="AO224" s="29"/>
      <c r="AP224" s="29"/>
      <c r="AQ224" s="29"/>
      <c r="AR224" s="29"/>
      <c r="AS224" s="29"/>
      <c r="AT224" s="29"/>
      <c r="AU224" s="29"/>
      <c r="AV224" s="29"/>
      <c r="AW224" s="29"/>
      <c r="AX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row>
    <row r="225" spans="1:79" ht="15.75" customHeight="1">
      <c r="A225" s="14"/>
      <c r="B225" s="270" t="s">
        <v>119</v>
      </c>
      <c r="C225" s="271" t="str">
        <f ca="1">IFERROR(__xludf.DUMMYFUNCTION("GoogleFinance(B225,""name"")"),"Walt Disney Co")</f>
        <v>Walt Disney Co</v>
      </c>
      <c r="D225" s="272">
        <f ca="1">IFERROR(__xludf.DUMMYFUNCTION("GoogleFinance(B225,""marketcap"")/1000000"),204011.459704)</f>
        <v>204011.45970400001</v>
      </c>
      <c r="E225" s="273" t="s">
        <v>13</v>
      </c>
      <c r="F225" s="273" t="s">
        <v>120</v>
      </c>
      <c r="G225" s="274">
        <v>45204</v>
      </c>
      <c r="H225" s="235">
        <v>45338</v>
      </c>
      <c r="I225" s="276">
        <f t="shared" ca="1" si="33"/>
        <v>2.245887016892089E-2</v>
      </c>
      <c r="J225" s="277">
        <v>112</v>
      </c>
      <c r="K225" s="278">
        <v>86.66</v>
      </c>
      <c r="L225" s="279">
        <v>30</v>
      </c>
      <c r="M225" s="280">
        <f t="shared" si="34"/>
        <v>2599.7999999999997</v>
      </c>
      <c r="N225" s="281">
        <f t="shared" si="35"/>
        <v>3360</v>
      </c>
      <c r="O225" s="281">
        <f t="shared" si="36"/>
        <v>760.20000000000027</v>
      </c>
      <c r="P225" s="275">
        <f t="shared" si="37"/>
        <v>0.29240710823909533</v>
      </c>
      <c r="Q225" s="282">
        <f t="shared" si="38"/>
        <v>134</v>
      </c>
      <c r="R225" s="4" t="s">
        <v>281</v>
      </c>
      <c r="S225" s="14"/>
      <c r="T225" s="14"/>
      <c r="U225" s="14"/>
      <c r="V225" s="14"/>
      <c r="W225" s="14"/>
      <c r="X225" s="14"/>
      <c r="Y225" s="14"/>
      <c r="Z225" s="14"/>
      <c r="AA225" s="14"/>
      <c r="AB225" s="14"/>
      <c r="AC225" s="14"/>
      <c r="AD225" s="14"/>
      <c r="AE225" s="14"/>
      <c r="AF225" s="14"/>
      <c r="AG225" s="14"/>
      <c r="AH225" s="29"/>
      <c r="AI225" s="29"/>
      <c r="AJ225" s="29"/>
      <c r="AK225" s="29"/>
      <c r="AL225" s="29"/>
      <c r="AM225" s="29"/>
      <c r="AN225" s="29"/>
      <c r="AO225" s="29"/>
      <c r="AP225" s="29"/>
      <c r="AQ225" s="29"/>
      <c r="AR225" s="29"/>
      <c r="AS225" s="29"/>
      <c r="AT225" s="29"/>
      <c r="AU225" s="29"/>
      <c r="AV225" s="29"/>
      <c r="AW225" s="29"/>
      <c r="AX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row>
    <row r="226" spans="1:79" ht="15.75" customHeight="1">
      <c r="A226" s="14"/>
      <c r="B226" s="443" t="s">
        <v>6</v>
      </c>
      <c r="C226" s="444" t="str">
        <f ca="1">IFERROR(__xludf.DUMMYFUNCTION("GoogleFinance(B226,""name"")"),"Invesco QQQ Trust, Series 1")</f>
        <v>Invesco QQQ Trust, Series 1</v>
      </c>
      <c r="D226" s="445">
        <f ca="1">IFERROR(__xludf.DUMMYFUNCTION("GoogleFinance(B226,""marketcap"")/1000000"),232756.012461)</f>
        <v>232756.01246100001</v>
      </c>
      <c r="E226" s="446" t="s">
        <v>7</v>
      </c>
      <c r="F226" s="465"/>
      <c r="G226" s="274">
        <v>45295</v>
      </c>
      <c r="H226" s="235">
        <v>45338</v>
      </c>
      <c r="I226" s="447">
        <f t="shared" ca="1" si="33"/>
        <v>7.205554179195453E-2</v>
      </c>
      <c r="J226" s="448">
        <v>431.2</v>
      </c>
      <c r="K226" s="489">
        <v>399.3</v>
      </c>
      <c r="L226" s="279">
        <v>25</v>
      </c>
      <c r="M226" s="449">
        <f t="shared" si="34"/>
        <v>9982.5</v>
      </c>
      <c r="N226" s="449">
        <f t="shared" si="35"/>
        <v>10780</v>
      </c>
      <c r="O226" s="449">
        <f t="shared" si="36"/>
        <v>797.5</v>
      </c>
      <c r="P226" s="291">
        <f t="shared" si="37"/>
        <v>7.9889807162534465E-2</v>
      </c>
      <c r="Q226" s="282">
        <f t="shared" si="38"/>
        <v>43</v>
      </c>
      <c r="R226" s="4" t="s">
        <v>281</v>
      </c>
      <c r="S226" s="14"/>
      <c r="T226" s="14"/>
      <c r="U226" s="14"/>
      <c r="V226" s="14"/>
      <c r="W226" s="14"/>
      <c r="X226" s="14"/>
      <c r="Y226" s="14"/>
      <c r="Z226" s="14"/>
      <c r="AA226" s="14"/>
      <c r="AB226" s="14"/>
      <c r="AC226" s="14"/>
      <c r="AD226" s="14"/>
      <c r="AE226" s="14"/>
      <c r="AF226" s="14"/>
      <c r="AG226" s="14"/>
      <c r="AH226" s="29"/>
      <c r="AI226" s="29"/>
      <c r="AJ226" s="29"/>
      <c r="AK226" s="29"/>
      <c r="AL226" s="29"/>
      <c r="AM226" s="29"/>
      <c r="AN226" s="29"/>
      <c r="AO226" s="29"/>
      <c r="AP226" s="29"/>
      <c r="AQ226" s="29"/>
      <c r="AR226" s="29"/>
      <c r="AS226" s="29"/>
      <c r="AT226" s="29"/>
      <c r="AU226" s="29"/>
      <c r="AV226" s="29"/>
      <c r="AW226" s="29"/>
      <c r="AX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row>
    <row r="227" spans="1:79" ht="15.75" customHeight="1">
      <c r="A227" s="14"/>
      <c r="B227" s="390" t="s">
        <v>6</v>
      </c>
      <c r="C227" s="391" t="str">
        <f ca="1">IFERROR(__xludf.DUMMYFUNCTION("GoogleFinance(B227,""name"")"),"Invesco QQQ Trust, Series 1")</f>
        <v>Invesco QQQ Trust, Series 1</v>
      </c>
      <c r="D227" s="392">
        <f ca="1">IFERROR(__xludf.DUMMYFUNCTION("GoogleFinance(B227,""marketcap"")/1000000"),232756.012461)</f>
        <v>232756.01246100001</v>
      </c>
      <c r="E227" s="393" t="s">
        <v>7</v>
      </c>
      <c r="F227" s="257"/>
      <c r="G227" s="380">
        <v>45295</v>
      </c>
      <c r="H227" s="235">
        <v>45345</v>
      </c>
      <c r="I227" s="394">
        <f t="shared" ca="1" si="33"/>
        <v>5.839172560168427E-2</v>
      </c>
      <c r="J227" s="256">
        <v>436.79</v>
      </c>
      <c r="K227" s="490">
        <v>399.3</v>
      </c>
      <c r="L227" s="383">
        <v>20</v>
      </c>
      <c r="M227" s="395">
        <f t="shared" si="34"/>
        <v>7986</v>
      </c>
      <c r="N227" s="395">
        <f t="shared" si="35"/>
        <v>8735.8000000000011</v>
      </c>
      <c r="O227" s="395">
        <f t="shared" si="36"/>
        <v>749.80000000000109</v>
      </c>
      <c r="P227" s="396">
        <f t="shared" si="37"/>
        <v>9.3889306286000451E-2</v>
      </c>
      <c r="Q227" s="282">
        <f t="shared" si="38"/>
        <v>50</v>
      </c>
      <c r="R227" s="4" t="s">
        <v>281</v>
      </c>
      <c r="S227" s="14"/>
      <c r="T227" s="14"/>
      <c r="U227" s="14"/>
      <c r="V227" s="14"/>
      <c r="W227" s="14"/>
      <c r="X227" s="14"/>
      <c r="Y227" s="14"/>
      <c r="Z227" s="14"/>
      <c r="AA227" s="14"/>
      <c r="AB227" s="14"/>
      <c r="AC227" s="14"/>
      <c r="AD227" s="14"/>
      <c r="AE227" s="14"/>
      <c r="AF227" s="14"/>
      <c r="AG227" s="14"/>
      <c r="AH227" s="29"/>
      <c r="AI227" s="29"/>
      <c r="AJ227" s="29"/>
      <c r="AK227" s="29"/>
      <c r="AL227" s="29"/>
      <c r="AM227" s="29"/>
      <c r="AN227" s="29"/>
      <c r="AO227" s="29"/>
      <c r="AP227" s="29"/>
      <c r="AQ227" s="29"/>
      <c r="AR227" s="29"/>
      <c r="AS227" s="29"/>
      <c r="AT227" s="29"/>
      <c r="AU227" s="29"/>
      <c r="AV227" s="29"/>
      <c r="AW227" s="29"/>
      <c r="AX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row>
    <row r="228" spans="1:79" ht="15.75" customHeight="1">
      <c r="A228" s="14"/>
      <c r="B228" s="1" t="s">
        <v>311</v>
      </c>
      <c r="C228" s="233" t="str">
        <f ca="1">IFERROR(__xludf.DUMMYFUNCTION("GoogleFinance(B228,""name"")"),"#N/A")</f>
        <v>#N/A</v>
      </c>
      <c r="D228" s="234" t="str">
        <f ca="1">IFERROR(__xludf.DUMMYFUNCTION("GoogleFinance(B228,""marketcap"")/1000000"),"#N/A")</f>
        <v>#N/A</v>
      </c>
      <c r="E228" s="229" t="s">
        <v>13</v>
      </c>
      <c r="F228" s="229" t="s">
        <v>120</v>
      </c>
      <c r="G228" s="235">
        <v>45204</v>
      </c>
      <c r="H228" s="235">
        <v>45355</v>
      </c>
      <c r="I228" s="10">
        <f t="shared" ca="1" si="33"/>
        <v>2.1182284490305167E-2</v>
      </c>
      <c r="J228" s="236">
        <v>10.5</v>
      </c>
      <c r="K228" s="237">
        <v>14.91</v>
      </c>
      <c r="L228" s="238">
        <f>4500/K228</f>
        <v>301.81086519114689</v>
      </c>
      <c r="M228" s="239">
        <v>5000</v>
      </c>
      <c r="N228" s="226">
        <f t="shared" si="35"/>
        <v>3169.0140845070423</v>
      </c>
      <c r="O228" s="226">
        <f t="shared" si="36"/>
        <v>-1830.9859154929577</v>
      </c>
      <c r="P228" s="254">
        <f t="shared" si="37"/>
        <v>-0.29577464788732399</v>
      </c>
      <c r="Q228" s="282">
        <f t="shared" si="38"/>
        <v>151</v>
      </c>
      <c r="R228" s="228" t="s">
        <v>62</v>
      </c>
      <c r="S228" s="254"/>
      <c r="T228" s="14"/>
      <c r="U228" s="14"/>
      <c r="V228" s="14"/>
      <c r="W228" s="14"/>
      <c r="X228" s="14"/>
      <c r="Y228" s="14"/>
      <c r="Z228" s="14"/>
      <c r="AA228" s="14"/>
      <c r="AB228" s="14"/>
      <c r="AC228" s="14"/>
      <c r="AD228" s="14"/>
      <c r="AE228" s="14"/>
      <c r="AF228" s="14"/>
      <c r="AG228" s="14"/>
      <c r="AH228" s="29"/>
      <c r="AI228" s="29"/>
      <c r="AJ228" s="29"/>
      <c r="AK228" s="29"/>
      <c r="AL228" s="29"/>
      <c r="AM228" s="29"/>
      <c r="AN228" s="29"/>
      <c r="AO228" s="29"/>
      <c r="AP228" s="29"/>
      <c r="AQ228" s="29"/>
      <c r="AR228" s="29"/>
      <c r="AS228" s="29"/>
      <c r="AT228" s="29"/>
      <c r="AU228" s="29"/>
      <c r="AV228" s="29"/>
      <c r="AW228" s="29"/>
      <c r="AX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row>
    <row r="229" spans="1:79" ht="15.75" customHeight="1">
      <c r="A229" s="14"/>
      <c r="B229" s="29" t="s">
        <v>265</v>
      </c>
      <c r="C229" s="233" t="str">
        <f ca="1">IFERROR(__xludf.DUMMYFUNCTION("GoogleFinance(B229,""name"")"),"Kroger Co")</f>
        <v>Kroger Co</v>
      </c>
      <c r="D229" s="234">
        <f ca="1">IFERROR(__xludf.DUMMYFUNCTION("GoogleFinance(B229,""marketcap"")/1000000"),43378.914365)</f>
        <v>43378.914364999997</v>
      </c>
      <c r="E229" s="229" t="s">
        <v>18</v>
      </c>
      <c r="F229" s="229" t="s">
        <v>104</v>
      </c>
      <c r="G229" s="235">
        <v>44916</v>
      </c>
      <c r="H229" s="235">
        <v>45362</v>
      </c>
      <c r="I229" s="10">
        <f t="shared" ca="1" si="33"/>
        <v>1.8715725140767411E-2</v>
      </c>
      <c r="J229" s="236">
        <v>56</v>
      </c>
      <c r="K229" s="237">
        <v>44.39</v>
      </c>
      <c r="L229" s="238">
        <v>50</v>
      </c>
      <c r="M229" s="239">
        <f t="shared" ref="M229:M246" si="39">L229*K229</f>
        <v>2219.5</v>
      </c>
      <c r="N229" s="226">
        <f t="shared" si="35"/>
        <v>2800</v>
      </c>
      <c r="O229" s="226">
        <f t="shared" si="36"/>
        <v>580.5</v>
      </c>
      <c r="P229" s="254">
        <f t="shared" si="37"/>
        <v>0.26154539310655545</v>
      </c>
      <c r="Q229" s="282">
        <f t="shared" si="38"/>
        <v>446</v>
      </c>
      <c r="R229" s="4" t="s">
        <v>281</v>
      </c>
      <c r="S229" s="14"/>
      <c r="T229" s="14"/>
      <c r="U229" s="14"/>
      <c r="V229" s="14"/>
      <c r="W229" s="14"/>
      <c r="X229" s="14"/>
      <c r="Y229" s="14"/>
      <c r="Z229" s="14"/>
      <c r="AA229" s="14"/>
      <c r="AB229" s="14"/>
      <c r="AC229" s="14"/>
      <c r="AD229" s="14"/>
      <c r="AE229" s="14"/>
      <c r="AF229" s="14"/>
      <c r="AG229" s="14"/>
      <c r="AH229" s="29"/>
      <c r="AI229" s="29"/>
      <c r="AJ229" s="29"/>
      <c r="AK229" s="29"/>
      <c r="AL229" s="29"/>
      <c r="AM229" s="29"/>
      <c r="AN229" s="29"/>
      <c r="AO229" s="29"/>
      <c r="AP229" s="29"/>
      <c r="AQ229" s="29"/>
      <c r="AR229" s="29"/>
      <c r="AS229" s="29"/>
      <c r="AT229" s="29"/>
      <c r="AU229" s="29"/>
      <c r="AV229" s="29"/>
      <c r="AW229" s="29"/>
      <c r="AX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row>
    <row r="230" spans="1:79" ht="15.75" customHeight="1">
      <c r="A230" s="14"/>
      <c r="B230" s="7" t="s">
        <v>309</v>
      </c>
      <c r="C230" s="377" t="str">
        <f ca="1">IFERROR(__xludf.DUMMYFUNCTION("GoogleFinance(B230,""name"")"),"AbbVie Inc")</f>
        <v>AbbVie Inc</v>
      </c>
      <c r="D230" s="378">
        <f ca="1">IFERROR(__xludf.DUMMYFUNCTION("GoogleFinance(B230,""marketcap"")/1000000"),389720.361458)</f>
        <v>389720.36145800003</v>
      </c>
      <c r="E230" s="379" t="s">
        <v>17</v>
      </c>
      <c r="F230" s="379" t="s">
        <v>310</v>
      </c>
      <c r="G230" s="380">
        <v>45184</v>
      </c>
      <c r="H230" s="235">
        <v>45362</v>
      </c>
      <c r="I230" s="300">
        <f t="shared" ca="1" si="33"/>
        <v>9.6150701073182514E-3</v>
      </c>
      <c r="J230" s="382">
        <v>179.81</v>
      </c>
      <c r="K230" s="324">
        <v>153</v>
      </c>
      <c r="L230" s="383">
        <v>8</v>
      </c>
      <c r="M230" s="313">
        <f t="shared" si="39"/>
        <v>1224</v>
      </c>
      <c r="N230" s="384">
        <f t="shared" si="35"/>
        <v>1438.48</v>
      </c>
      <c r="O230" s="384">
        <f t="shared" si="36"/>
        <v>214.48000000000002</v>
      </c>
      <c r="P230" s="254">
        <f t="shared" si="37"/>
        <v>0.17522875816993455</v>
      </c>
      <c r="Q230" s="282">
        <f t="shared" si="38"/>
        <v>178</v>
      </c>
      <c r="R230" s="4" t="s">
        <v>281</v>
      </c>
      <c r="S230" s="14"/>
      <c r="T230" s="14"/>
      <c r="U230" s="14"/>
      <c r="V230" s="14"/>
      <c r="W230" s="14"/>
      <c r="X230" s="14"/>
      <c r="Y230" s="14"/>
      <c r="Z230" s="14"/>
      <c r="AA230" s="14"/>
      <c r="AB230" s="14"/>
      <c r="AC230" s="14"/>
      <c r="AD230" s="14"/>
      <c r="AE230" s="14"/>
      <c r="AF230" s="14"/>
      <c r="AG230" s="14"/>
      <c r="AH230" s="29"/>
      <c r="AI230" s="29"/>
      <c r="AJ230" s="29"/>
      <c r="AK230" s="29"/>
      <c r="AL230" s="29"/>
      <c r="AM230" s="29"/>
      <c r="AN230" s="29"/>
      <c r="AO230" s="29"/>
      <c r="AP230" s="29"/>
      <c r="AQ230" s="29"/>
      <c r="AR230" s="29"/>
      <c r="AS230" s="29"/>
      <c r="AT230" s="29"/>
      <c r="AU230" s="29"/>
      <c r="AV230" s="29"/>
      <c r="AW230" s="29"/>
      <c r="AX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row>
    <row r="231" spans="1:79" ht="15.75" customHeight="1">
      <c r="A231" s="14"/>
      <c r="B231" s="7" t="s">
        <v>309</v>
      </c>
      <c r="C231" s="377" t="str">
        <f ca="1">IFERROR(__xludf.DUMMYFUNCTION("GoogleFinance(B231,""name"")"),"AbbVie Inc")</f>
        <v>AbbVie Inc</v>
      </c>
      <c r="D231" s="378">
        <f ca="1">IFERROR(__xludf.DUMMYFUNCTION("GoogleFinance(B231,""marketcap"")/1000000"),389720.361458)</f>
        <v>389720.36145800003</v>
      </c>
      <c r="E231" s="379" t="s">
        <v>17</v>
      </c>
      <c r="F231" s="379" t="s">
        <v>310</v>
      </c>
      <c r="G231" s="380">
        <v>45184</v>
      </c>
      <c r="H231" s="235">
        <v>45372</v>
      </c>
      <c r="I231" s="300">
        <f t="shared" ca="1" si="33"/>
        <v>8.7465401454107396E-3</v>
      </c>
      <c r="J231" s="382">
        <v>176.83</v>
      </c>
      <c r="K231" s="324">
        <v>153</v>
      </c>
      <c r="L231" s="383">
        <v>7.4</v>
      </c>
      <c r="M231" s="313">
        <f t="shared" si="39"/>
        <v>1132.2</v>
      </c>
      <c r="N231" s="384">
        <f t="shared" si="35"/>
        <v>1308.5420000000001</v>
      </c>
      <c r="O231" s="384">
        <f t="shared" si="36"/>
        <v>176.3420000000001</v>
      </c>
      <c r="P231" s="254">
        <f t="shared" si="37"/>
        <v>0.15575163398692826</v>
      </c>
      <c r="Q231" s="282">
        <f t="shared" si="38"/>
        <v>188</v>
      </c>
      <c r="R231" s="4" t="s">
        <v>281</v>
      </c>
      <c r="S231" s="14"/>
      <c r="T231" s="14"/>
      <c r="U231" s="14"/>
      <c r="V231" s="14"/>
      <c r="W231" s="14"/>
      <c r="X231" s="14"/>
      <c r="Y231" s="14"/>
      <c r="Z231" s="14"/>
      <c r="AA231" s="14"/>
      <c r="AB231" s="14"/>
      <c r="AC231" s="14"/>
      <c r="AD231" s="14"/>
      <c r="AE231" s="14"/>
      <c r="AF231" s="14"/>
      <c r="AG231" s="14"/>
      <c r="AH231" s="29"/>
      <c r="AI231" s="29"/>
      <c r="AJ231" s="29"/>
      <c r="AK231" s="29"/>
      <c r="AL231" s="29"/>
      <c r="AM231" s="29"/>
      <c r="AN231" s="29"/>
      <c r="AO231" s="29"/>
      <c r="AP231" s="29"/>
      <c r="AQ231" s="29"/>
      <c r="AR231" s="29"/>
      <c r="AS231" s="29"/>
      <c r="AT231" s="29"/>
      <c r="AU231" s="29"/>
      <c r="AV231" s="29"/>
      <c r="AW231" s="29"/>
      <c r="AX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row>
    <row r="232" spans="1:79" ht="15.75" customHeight="1">
      <c r="A232" s="14"/>
      <c r="B232" s="270" t="s">
        <v>294</v>
      </c>
      <c r="C232" s="271" t="str">
        <f ca="1">IFERROR(__xludf.DUMMYFUNCTION("GoogleFinance(B232,""name"")"),"First Trust NASDAQ Oil &amp; Gas ETF")</f>
        <v>First Trust NASDAQ Oil &amp; Gas ETF</v>
      </c>
      <c r="D232" s="272" t="str">
        <f ca="1">IFERROR(__xludf.DUMMYFUNCTION("GoogleFinance(B232,""marketcap"")/1000000"),"#N/A")</f>
        <v>#N/A</v>
      </c>
      <c r="E232" s="273" t="s">
        <v>15</v>
      </c>
      <c r="F232" s="273" t="s">
        <v>295</v>
      </c>
      <c r="G232" s="274">
        <v>45254</v>
      </c>
      <c r="H232" s="235">
        <v>45385</v>
      </c>
      <c r="I232" s="276">
        <f t="shared" ca="1" si="33"/>
        <v>1.0911936175822427E-2</v>
      </c>
      <c r="J232" s="277">
        <v>32.65</v>
      </c>
      <c r="K232" s="278">
        <v>28.6</v>
      </c>
      <c r="L232" s="279">
        <v>50</v>
      </c>
      <c r="M232" s="280">
        <f t="shared" si="39"/>
        <v>1430</v>
      </c>
      <c r="N232" s="281">
        <f t="shared" si="35"/>
        <v>1632.5</v>
      </c>
      <c r="O232" s="281">
        <f t="shared" si="36"/>
        <v>202.5</v>
      </c>
      <c r="P232" s="275">
        <f t="shared" si="37"/>
        <v>0.14160839160839145</v>
      </c>
      <c r="Q232" s="282">
        <f t="shared" si="38"/>
        <v>131</v>
      </c>
      <c r="R232" s="4" t="s">
        <v>281</v>
      </c>
      <c r="S232" s="14"/>
      <c r="T232" s="14"/>
      <c r="U232" s="14"/>
      <c r="V232" s="14"/>
      <c r="W232" s="14"/>
      <c r="X232" s="14"/>
      <c r="Y232" s="14"/>
      <c r="Z232" s="14"/>
      <c r="AA232" s="14"/>
      <c r="AB232" s="14"/>
      <c r="AC232" s="14"/>
      <c r="AD232" s="14"/>
      <c r="AE232" s="14"/>
      <c r="AF232" s="14"/>
      <c r="AG232" s="14"/>
      <c r="AH232" s="29"/>
      <c r="AI232" s="29"/>
      <c r="AJ232" s="29"/>
      <c r="AK232" s="29"/>
      <c r="AL232" s="29"/>
      <c r="AM232" s="29"/>
      <c r="AN232" s="29"/>
      <c r="AO232" s="29"/>
      <c r="AP232" s="29"/>
      <c r="AQ232" s="29"/>
      <c r="AR232" s="29"/>
      <c r="AS232" s="29"/>
      <c r="AT232" s="29"/>
      <c r="AU232" s="29"/>
      <c r="AV232" s="29"/>
      <c r="AW232" s="29"/>
      <c r="AX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row>
    <row r="233" spans="1:79" ht="15.75" customHeight="1">
      <c r="A233" s="14"/>
      <c r="B233" s="270" t="s">
        <v>294</v>
      </c>
      <c r="C233" s="271" t="str">
        <f ca="1">IFERROR(__xludf.DUMMYFUNCTION("GoogleFinance(B233,""name"")"),"First Trust NASDAQ Oil &amp; Gas ETF")</f>
        <v>First Trust NASDAQ Oil &amp; Gas ETF</v>
      </c>
      <c r="D233" s="272" t="str">
        <f ca="1">IFERROR(__xludf.DUMMYFUNCTION("GoogleFinance(B233,""marketcap"")/1000000"),"#N/A")</f>
        <v>#N/A</v>
      </c>
      <c r="E233" s="273" t="s">
        <v>15</v>
      </c>
      <c r="F233" s="273" t="s">
        <v>295</v>
      </c>
      <c r="G233" s="274">
        <v>45254</v>
      </c>
      <c r="H233" s="235">
        <v>45386</v>
      </c>
      <c r="I233" s="276">
        <f t="shared" ca="1" si="33"/>
        <v>2.2258344542412666E-2</v>
      </c>
      <c r="J233" s="277">
        <v>33.299999999999997</v>
      </c>
      <c r="K233" s="278">
        <v>28.6</v>
      </c>
      <c r="L233" s="279">
        <v>100</v>
      </c>
      <c r="M233" s="280">
        <f t="shared" si="39"/>
        <v>2860</v>
      </c>
      <c r="N233" s="281">
        <f t="shared" si="35"/>
        <v>3329.9999999999995</v>
      </c>
      <c r="O233" s="281">
        <f t="shared" si="36"/>
        <v>469.99999999999955</v>
      </c>
      <c r="P233" s="275">
        <f t="shared" si="37"/>
        <v>0.16433566433566416</v>
      </c>
      <c r="Q233" s="282">
        <f t="shared" si="38"/>
        <v>132</v>
      </c>
      <c r="R233" s="4" t="s">
        <v>281</v>
      </c>
      <c r="S233" s="14"/>
      <c r="T233" s="14"/>
      <c r="U233" s="14"/>
      <c r="V233" s="14"/>
      <c r="W233" s="14"/>
      <c r="X233" s="14"/>
      <c r="Y233" s="14"/>
      <c r="Z233" s="14"/>
      <c r="AA233" s="14"/>
      <c r="AB233" s="14"/>
      <c r="AC233" s="14"/>
      <c r="AD233" s="14"/>
      <c r="AE233" s="14"/>
      <c r="AF233" s="14"/>
      <c r="AG233" s="14"/>
      <c r="AH233" s="29"/>
      <c r="AI233" s="29"/>
      <c r="AJ233" s="29"/>
      <c r="AK233" s="29"/>
      <c r="AL233" s="29"/>
      <c r="AM233" s="29"/>
      <c r="AN233" s="29"/>
      <c r="AO233" s="29"/>
      <c r="AP233" s="29"/>
      <c r="AQ233" s="29"/>
      <c r="AR233" s="29"/>
      <c r="AS233" s="29"/>
      <c r="AT233" s="29"/>
      <c r="AU233" s="29"/>
      <c r="AV233" s="29"/>
      <c r="AW233" s="29"/>
      <c r="AX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row>
    <row r="234" spans="1:79" ht="15.75" customHeight="1">
      <c r="A234" s="14"/>
      <c r="B234" s="1" t="s">
        <v>182</v>
      </c>
      <c r="C234" s="233" t="str">
        <f ca="1">IFERROR(__xludf.DUMMYFUNCTION("GoogleFinance(B234,""name"")"),"UnitedHealth Group Inc")</f>
        <v>UnitedHealth Group Inc</v>
      </c>
      <c r="D234" s="234">
        <f ca="1">IFERROR(__xludf.DUMMYFUNCTION("GoogleFinance(B234,""marketcap"")/1000000"),311624.160126)</f>
        <v>311624.160126</v>
      </c>
      <c r="E234" s="229" t="s">
        <v>17</v>
      </c>
      <c r="F234" s="229" t="s">
        <v>312</v>
      </c>
      <c r="G234" s="235">
        <v>45309</v>
      </c>
      <c r="H234" s="235">
        <v>45385</v>
      </c>
      <c r="I234" s="10">
        <f t="shared" ca="1" si="33"/>
        <v>3.03462114782443E-2</v>
      </c>
      <c r="J234" s="236">
        <v>454</v>
      </c>
      <c r="K234" s="237">
        <v>500</v>
      </c>
      <c r="L234" s="238">
        <f>5000/K234</f>
        <v>10</v>
      </c>
      <c r="M234" s="239">
        <f t="shared" si="39"/>
        <v>5000</v>
      </c>
      <c r="N234" s="226">
        <f t="shared" si="35"/>
        <v>4540</v>
      </c>
      <c r="O234" s="226">
        <f t="shared" si="36"/>
        <v>-460</v>
      </c>
      <c r="P234" s="254">
        <f t="shared" si="37"/>
        <v>-9.1999999999999971E-2</v>
      </c>
      <c r="Q234" s="227">
        <f ca="1">TODAY()-G234</f>
        <v>620</v>
      </c>
      <c r="R234" s="228" t="s">
        <v>62</v>
      </c>
      <c r="S234" s="14"/>
      <c r="T234" s="14"/>
      <c r="U234" s="14"/>
      <c r="V234" s="14"/>
      <c r="W234" s="14"/>
      <c r="X234" s="14"/>
      <c r="Y234" s="14"/>
      <c r="Z234" s="14"/>
      <c r="AA234" s="14"/>
      <c r="AB234" s="14"/>
      <c r="AC234" s="14"/>
      <c r="AD234" s="14"/>
      <c r="AE234" s="14"/>
      <c r="AF234" s="14"/>
      <c r="AG234" s="14"/>
      <c r="AH234" s="29"/>
      <c r="AI234" s="29"/>
      <c r="AJ234" s="29"/>
      <c r="AK234" s="29"/>
      <c r="AL234" s="29"/>
      <c r="AM234" s="29"/>
      <c r="AN234" s="29"/>
      <c r="AO234" s="29"/>
      <c r="AP234" s="29"/>
      <c r="AQ234" s="29"/>
      <c r="AR234" s="29"/>
      <c r="AS234" s="29"/>
      <c r="AT234" s="29"/>
      <c r="AU234" s="29"/>
      <c r="AV234" s="29"/>
      <c r="AW234" s="29"/>
      <c r="AX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row>
    <row r="235" spans="1:79" ht="15.75" customHeight="1">
      <c r="A235" s="14"/>
      <c r="B235" s="270" t="s">
        <v>294</v>
      </c>
      <c r="C235" s="271" t="str">
        <f ca="1">IFERROR(__xludf.DUMMYFUNCTION("GoogleFinance(B235,""name"")"),"First Trust NASDAQ Oil &amp; Gas ETF")</f>
        <v>First Trust NASDAQ Oil &amp; Gas ETF</v>
      </c>
      <c r="D235" s="272" t="str">
        <f ca="1">IFERROR(__xludf.DUMMYFUNCTION("GoogleFinance(B235,""marketcap"")/1000000"),"#N/A")</f>
        <v>#N/A</v>
      </c>
      <c r="E235" s="273" t="s">
        <v>15</v>
      </c>
      <c r="F235" s="273" t="s">
        <v>295</v>
      </c>
      <c r="G235" s="274">
        <v>45254</v>
      </c>
      <c r="H235" s="235">
        <v>45391</v>
      </c>
      <c r="I235" s="276">
        <f t="shared" ca="1" si="33"/>
        <v>1.1095751333454966E-2</v>
      </c>
      <c r="J235" s="277">
        <v>33.200000000000003</v>
      </c>
      <c r="K235" s="278">
        <v>28.6</v>
      </c>
      <c r="L235" s="279">
        <v>50</v>
      </c>
      <c r="M235" s="280">
        <f t="shared" si="39"/>
        <v>1430</v>
      </c>
      <c r="N235" s="281">
        <f t="shared" si="35"/>
        <v>1660.0000000000002</v>
      </c>
      <c r="O235" s="281">
        <f t="shared" si="36"/>
        <v>230.00000000000023</v>
      </c>
      <c r="P235" s="275">
        <f t="shared" si="37"/>
        <v>0.16083916083916083</v>
      </c>
      <c r="Q235" s="282">
        <f t="shared" ref="Q235:Q279" si="40">H235-G235</f>
        <v>137</v>
      </c>
      <c r="R235" s="4" t="s">
        <v>281</v>
      </c>
      <c r="S235" s="14"/>
      <c r="T235" s="14"/>
      <c r="U235" s="14"/>
      <c r="V235" s="14"/>
      <c r="W235" s="14"/>
      <c r="X235" s="14"/>
      <c r="Y235" s="14"/>
      <c r="Z235" s="14"/>
      <c r="AA235" s="14"/>
      <c r="AB235" s="14"/>
      <c r="AC235" s="14"/>
      <c r="AD235" s="14"/>
      <c r="AE235" s="14"/>
      <c r="AF235" s="14"/>
      <c r="AG235" s="14"/>
      <c r="AH235" s="29"/>
      <c r="AI235" s="29"/>
      <c r="AJ235" s="29"/>
      <c r="AK235" s="29"/>
      <c r="AL235" s="29"/>
      <c r="AM235" s="29"/>
      <c r="AN235" s="29"/>
      <c r="AO235" s="29"/>
      <c r="AP235" s="29"/>
      <c r="AQ235" s="29"/>
      <c r="AR235" s="29"/>
      <c r="AS235" s="29"/>
      <c r="AT235" s="29"/>
      <c r="AU235" s="29"/>
      <c r="AV235" s="29"/>
      <c r="AW235" s="29"/>
      <c r="AX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row>
    <row r="236" spans="1:79" ht="15.75" customHeight="1">
      <c r="A236" s="14"/>
      <c r="B236" s="270" t="s">
        <v>25</v>
      </c>
      <c r="C236" s="271" t="str">
        <f ca="1">IFERROR(__xludf.DUMMYFUNCTION("GoogleFinance(B236,""name"")"),"VanEck Gold Miners ETF")</f>
        <v>VanEck Gold Miners ETF</v>
      </c>
      <c r="D236" s="272" t="str">
        <f ca="1">IFERROR(__xludf.DUMMYFUNCTION("GoogleFinance(B236,""marketcap"")/1000000"),"#N/A")</f>
        <v>#N/A</v>
      </c>
      <c r="E236" s="273" t="s">
        <v>12</v>
      </c>
      <c r="F236" s="273" t="s">
        <v>288</v>
      </c>
      <c r="G236" s="274">
        <v>45372</v>
      </c>
      <c r="H236" s="235">
        <v>45393</v>
      </c>
      <c r="I236" s="276">
        <f t="shared" ca="1" si="33"/>
        <v>1.3635742602559113E-2</v>
      </c>
      <c r="J236" s="277">
        <v>34</v>
      </c>
      <c r="K236" s="278">
        <f>(30.06+30.7)/2</f>
        <v>30.38</v>
      </c>
      <c r="L236" s="279">
        <v>60</v>
      </c>
      <c r="M236" s="280">
        <f t="shared" si="39"/>
        <v>1822.8</v>
      </c>
      <c r="N236" s="281">
        <f t="shared" si="35"/>
        <v>2040</v>
      </c>
      <c r="O236" s="281">
        <f t="shared" si="36"/>
        <v>217.20000000000005</v>
      </c>
      <c r="P236" s="275">
        <f t="shared" si="37"/>
        <v>0.11915734035549708</v>
      </c>
      <c r="Q236" s="282">
        <f t="shared" si="40"/>
        <v>21</v>
      </c>
      <c r="R236" s="4" t="s">
        <v>281</v>
      </c>
      <c r="S236" s="14"/>
      <c r="T236" s="14"/>
      <c r="U236" s="14"/>
      <c r="V236" s="14"/>
      <c r="W236" s="14"/>
      <c r="X236" s="14"/>
      <c r="Y236" s="14"/>
      <c r="Z236" s="14"/>
      <c r="AA236" s="14"/>
      <c r="AB236" s="14"/>
      <c r="AC236" s="14"/>
      <c r="AD236" s="14"/>
      <c r="AE236" s="14"/>
      <c r="AF236" s="14"/>
      <c r="AG236" s="14"/>
      <c r="AH236" s="29"/>
      <c r="AI236" s="29"/>
      <c r="AJ236" s="29"/>
      <c r="AK236" s="29"/>
      <c r="AL236" s="29"/>
      <c r="AM236" s="29"/>
      <c r="AN236" s="29"/>
      <c r="AO236" s="29"/>
      <c r="AP236" s="29"/>
      <c r="AQ236" s="29"/>
      <c r="AR236" s="29"/>
      <c r="AS236" s="29"/>
      <c r="AT236" s="29"/>
      <c r="AU236" s="29"/>
      <c r="AV236" s="29"/>
      <c r="AW236" s="29"/>
      <c r="AX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row>
    <row r="237" spans="1:79" ht="15.75" customHeight="1">
      <c r="A237" s="14"/>
      <c r="B237" s="270" t="s">
        <v>40</v>
      </c>
      <c r="C237" s="271" t="str">
        <f ca="1">IFERROR(__xludf.DUMMYFUNCTION("GoogleFinance(B237,""name"")"),"iShares Silver Trust")</f>
        <v>iShares Silver Trust</v>
      </c>
      <c r="D237" s="272">
        <f ca="1">IFERROR(__xludf.DUMMYFUNCTION("GoogleFinance(B237,""marketcap"")/1000000"),16781.674244)</f>
        <v>16781.674244000002</v>
      </c>
      <c r="E237" s="273" t="s">
        <v>38</v>
      </c>
      <c r="F237" s="273" t="s">
        <v>41</v>
      </c>
      <c r="G237" s="274">
        <v>45372</v>
      </c>
      <c r="H237" s="235">
        <v>45393</v>
      </c>
      <c r="I237" s="276">
        <f t="shared" ca="1" si="33"/>
        <v>1.3764079003524374E-2</v>
      </c>
      <c r="J237" s="277">
        <v>25.74</v>
      </c>
      <c r="K237" s="278">
        <f>(22.6+22.5)/2</f>
        <v>22.55</v>
      </c>
      <c r="L237" s="279">
        <v>80</v>
      </c>
      <c r="M237" s="280">
        <f t="shared" si="39"/>
        <v>1804</v>
      </c>
      <c r="N237" s="281">
        <f t="shared" si="35"/>
        <v>2059.1999999999998</v>
      </c>
      <c r="O237" s="281">
        <f t="shared" si="36"/>
        <v>255.19999999999982</v>
      </c>
      <c r="P237" s="275">
        <f t="shared" si="37"/>
        <v>0.14146341463414625</v>
      </c>
      <c r="Q237" s="282">
        <f t="shared" si="40"/>
        <v>21</v>
      </c>
      <c r="R237" s="4" t="s">
        <v>281</v>
      </c>
      <c r="S237" s="14"/>
      <c r="T237" s="14"/>
      <c r="U237" s="14"/>
      <c r="V237" s="14"/>
      <c r="W237" s="14"/>
      <c r="X237" s="14"/>
      <c r="Y237" s="14"/>
      <c r="Z237" s="14"/>
      <c r="AA237" s="14"/>
      <c r="AB237" s="14"/>
      <c r="AC237" s="14"/>
      <c r="AD237" s="14"/>
      <c r="AE237" s="14"/>
      <c r="AF237" s="14"/>
      <c r="AG237" s="14"/>
      <c r="AH237" s="29"/>
      <c r="AI237" s="29"/>
      <c r="AJ237" s="29"/>
      <c r="AK237" s="29"/>
      <c r="AL237" s="29"/>
      <c r="AM237" s="29"/>
      <c r="AN237" s="29"/>
      <c r="AO237" s="29"/>
      <c r="AP237" s="29"/>
      <c r="AQ237" s="29"/>
      <c r="AR237" s="29"/>
      <c r="AS237" s="29"/>
      <c r="AT237" s="29"/>
      <c r="AU237" s="29"/>
      <c r="AV237" s="29"/>
      <c r="AW237" s="29"/>
      <c r="AX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row>
    <row r="238" spans="1:79" ht="15.75" customHeight="1">
      <c r="A238" s="14"/>
      <c r="B238" s="7" t="s">
        <v>313</v>
      </c>
      <c r="C238" s="377" t="str">
        <f ca="1">IFERROR(__xludf.DUMMYFUNCTION("GoogleFinance(B238,""name"")"),"#N/A")</f>
        <v>#N/A</v>
      </c>
      <c r="D238" s="378" t="str">
        <f ca="1">IFERROR(__xludf.DUMMYFUNCTION("GoogleFinance(B238,""marketcap"")/1000000"),"#N/A")</f>
        <v>#N/A</v>
      </c>
      <c r="E238" s="379" t="s">
        <v>15</v>
      </c>
      <c r="F238" s="379" t="s">
        <v>141</v>
      </c>
      <c r="G238" s="235">
        <v>45093</v>
      </c>
      <c r="H238" s="235">
        <v>45393</v>
      </c>
      <c r="I238" s="300">
        <f t="shared" ca="1" si="33"/>
        <v>3.1242521093825127E-2</v>
      </c>
      <c r="J238" s="382">
        <v>272.7</v>
      </c>
      <c r="K238" s="324">
        <v>204.2</v>
      </c>
      <c r="L238" s="383">
        <f>3500/204.2-8+8</f>
        <v>17.140058765915771</v>
      </c>
      <c r="M238" s="313">
        <f t="shared" si="39"/>
        <v>3500.0000000000005</v>
      </c>
      <c r="N238" s="384">
        <f t="shared" si="35"/>
        <v>4674.0940254652305</v>
      </c>
      <c r="O238" s="384">
        <f t="shared" si="36"/>
        <v>1174.0940254652301</v>
      </c>
      <c r="P238" s="254">
        <f t="shared" si="37"/>
        <v>0.33545543584720861</v>
      </c>
      <c r="Q238" s="282">
        <f t="shared" si="40"/>
        <v>300</v>
      </c>
      <c r="R238" s="4" t="s">
        <v>257</v>
      </c>
      <c r="S238" s="14"/>
      <c r="T238" s="14"/>
      <c r="U238" s="14"/>
      <c r="V238" s="14"/>
      <c r="W238" s="14"/>
      <c r="X238" s="14"/>
      <c r="Y238" s="14"/>
      <c r="Z238" s="14"/>
      <c r="AA238" s="14"/>
      <c r="AB238" s="14"/>
      <c r="AC238" s="14"/>
      <c r="AD238" s="14"/>
      <c r="AE238" s="14"/>
      <c r="AF238" s="14"/>
      <c r="AG238" s="14"/>
      <c r="AH238" s="29"/>
      <c r="AI238" s="29"/>
      <c r="AJ238" s="29"/>
      <c r="AK238" s="29"/>
      <c r="AL238" s="29"/>
      <c r="AM238" s="29"/>
      <c r="AN238" s="29"/>
      <c r="AO238" s="29"/>
      <c r="AP238" s="29"/>
      <c r="AQ238" s="29"/>
      <c r="AR238" s="29"/>
      <c r="AS238" s="29"/>
      <c r="AT238" s="29"/>
      <c r="AU238" s="29"/>
      <c r="AV238" s="29"/>
      <c r="AW238" s="29"/>
      <c r="AX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row>
    <row r="239" spans="1:79" ht="15.75" customHeight="1">
      <c r="A239" s="14"/>
      <c r="B239" s="7" t="s">
        <v>314</v>
      </c>
      <c r="C239" s="377" t="str">
        <f ca="1">IFERROR(__xludf.DUMMYFUNCTION("GoogleFinance(B239,""name"")"),"CF Industries Holdings, Inc.")</f>
        <v>CF Industries Holdings, Inc.</v>
      </c>
      <c r="D239" s="378">
        <f ca="1">IFERROR(__xludf.DUMMYFUNCTION("GoogleFinance(B239,""marketcap"")/1000000"),14922.562832)</f>
        <v>14922.562832</v>
      </c>
      <c r="E239" s="379" t="s">
        <v>12</v>
      </c>
      <c r="F239" s="379" t="s">
        <v>315</v>
      </c>
      <c r="G239" s="235">
        <v>45372</v>
      </c>
      <c r="H239" s="235">
        <v>45394</v>
      </c>
      <c r="I239" s="300">
        <f t="shared" ca="1" si="33"/>
        <v>1.8943574242067836E-2</v>
      </c>
      <c r="J239" s="382">
        <v>80</v>
      </c>
      <c r="K239" s="324">
        <f>(85.25+86.3+82.5)/3</f>
        <v>84.683333333333337</v>
      </c>
      <c r="L239" s="383">
        <f>3000/K239</f>
        <v>35.426097224955718</v>
      </c>
      <c r="M239" s="313">
        <f t="shared" si="39"/>
        <v>3000</v>
      </c>
      <c r="N239" s="384">
        <f t="shared" si="35"/>
        <v>2834.0877779964576</v>
      </c>
      <c r="O239" s="384">
        <f t="shared" si="36"/>
        <v>-165.91222200354241</v>
      </c>
      <c r="P239" s="254">
        <f t="shared" si="37"/>
        <v>-5.530407400118087E-2</v>
      </c>
      <c r="Q239" s="282">
        <f t="shared" si="40"/>
        <v>22</v>
      </c>
      <c r="R239" s="228" t="s">
        <v>62</v>
      </c>
      <c r="S239" s="14"/>
      <c r="T239" s="182" t="s">
        <v>316</v>
      </c>
      <c r="U239" s="182" t="s">
        <v>317</v>
      </c>
      <c r="V239" s="14"/>
      <c r="W239" s="14"/>
      <c r="X239" s="14"/>
      <c r="Y239" s="14"/>
      <c r="Z239" s="14"/>
      <c r="AA239" s="14"/>
      <c r="AB239" s="14"/>
      <c r="AC239" s="14"/>
      <c r="AD239" s="14"/>
      <c r="AE239" s="14"/>
      <c r="AF239" s="14"/>
      <c r="AG239" s="14"/>
      <c r="AH239" s="29"/>
      <c r="AI239" s="29"/>
      <c r="AJ239" s="29"/>
      <c r="AK239" s="29"/>
      <c r="AL239" s="29"/>
      <c r="AM239" s="29"/>
      <c r="AN239" s="29"/>
      <c r="AO239" s="29"/>
      <c r="AP239" s="29"/>
      <c r="AQ239" s="29"/>
      <c r="AR239" s="29"/>
      <c r="AS239" s="29"/>
      <c r="AT239" s="29"/>
      <c r="AU239" s="29"/>
      <c r="AV239" s="29"/>
      <c r="AW239" s="29"/>
      <c r="AX239" s="29"/>
      <c r="AY239" s="359"/>
      <c r="AZ239" s="403"/>
      <c r="BA239" s="29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row>
    <row r="240" spans="1:79" ht="15.75" customHeight="1">
      <c r="A240" s="14"/>
      <c r="B240" s="270" t="s">
        <v>25</v>
      </c>
      <c r="C240" s="271" t="str">
        <f ca="1">IFERROR(__xludf.DUMMYFUNCTION("GoogleFinance(B240,""name"")"),"VanEck Gold Miners ETF")</f>
        <v>VanEck Gold Miners ETF</v>
      </c>
      <c r="D240" s="272" t="str">
        <f ca="1">IFERROR(__xludf.DUMMYFUNCTION("GoogleFinance(B240,""marketcap"")/1000000"),"#N/A")</f>
        <v>#N/A</v>
      </c>
      <c r="E240" s="273" t="s">
        <v>12</v>
      </c>
      <c r="F240" s="273" t="s">
        <v>288</v>
      </c>
      <c r="G240" s="274">
        <v>45372</v>
      </c>
      <c r="H240" s="235">
        <v>45399</v>
      </c>
      <c r="I240" s="276">
        <f t="shared" ca="1" si="33"/>
        <v>1.1252829740886405E-2</v>
      </c>
      <c r="J240" s="277">
        <v>33.67</v>
      </c>
      <c r="K240" s="278">
        <f>(30.06+30.7)/2</f>
        <v>30.38</v>
      </c>
      <c r="L240" s="279">
        <v>50</v>
      </c>
      <c r="M240" s="280">
        <f t="shared" si="39"/>
        <v>1519</v>
      </c>
      <c r="N240" s="281">
        <f t="shared" si="35"/>
        <v>1683.5</v>
      </c>
      <c r="O240" s="281">
        <f t="shared" si="36"/>
        <v>164.5</v>
      </c>
      <c r="P240" s="275">
        <f t="shared" si="37"/>
        <v>0.10829493087557607</v>
      </c>
      <c r="Q240" s="282">
        <f t="shared" si="40"/>
        <v>27</v>
      </c>
      <c r="R240" s="4" t="s">
        <v>281</v>
      </c>
      <c r="S240" s="14"/>
      <c r="T240" s="14"/>
      <c r="U240" s="14"/>
      <c r="V240" s="14"/>
      <c r="W240" s="14"/>
      <c r="X240" s="14"/>
      <c r="Y240" s="14"/>
      <c r="Z240" s="14"/>
      <c r="AA240" s="14"/>
      <c r="AB240" s="14"/>
      <c r="AC240" s="14"/>
      <c r="AD240" s="14"/>
      <c r="AE240" s="14"/>
      <c r="AF240" s="14"/>
      <c r="AG240" s="14"/>
      <c r="AH240" s="29"/>
      <c r="AI240" s="29"/>
      <c r="AJ240" s="29"/>
      <c r="AK240" s="29"/>
      <c r="AL240" s="29"/>
      <c r="AM240" s="29"/>
      <c r="AN240" s="29"/>
      <c r="AO240" s="29"/>
      <c r="AP240" s="29"/>
      <c r="AQ240" s="29"/>
      <c r="AR240" s="29"/>
      <c r="AS240" s="29"/>
      <c r="AT240" s="29"/>
      <c r="AU240" s="29"/>
      <c r="AV240" s="29"/>
      <c r="AW240" s="29"/>
      <c r="AX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row>
    <row r="241" spans="1:79" ht="15.75" customHeight="1">
      <c r="A241" s="14"/>
      <c r="B241" s="270" t="s">
        <v>40</v>
      </c>
      <c r="C241" s="271" t="str">
        <f ca="1">IFERROR(__xludf.DUMMYFUNCTION("GoogleFinance(B241,""name"")"),"iShares Silver Trust")</f>
        <v>iShares Silver Trust</v>
      </c>
      <c r="D241" s="272">
        <f ca="1">IFERROR(__xludf.DUMMYFUNCTION("GoogleFinance(B241,""marketcap"")/1000000"),16781.674244)</f>
        <v>16781.674244000002</v>
      </c>
      <c r="E241" s="273" t="s">
        <v>38</v>
      </c>
      <c r="F241" s="273" t="s">
        <v>41</v>
      </c>
      <c r="G241" s="274">
        <v>45372</v>
      </c>
      <c r="H241" s="235">
        <v>45399</v>
      </c>
      <c r="I241" s="276">
        <f t="shared" ca="1" si="33"/>
        <v>1.2291552486198995E-2</v>
      </c>
      <c r="J241" s="277">
        <v>26.27</v>
      </c>
      <c r="K241" s="278">
        <f>(22.6+22.5)/2</f>
        <v>22.55</v>
      </c>
      <c r="L241" s="279">
        <v>70</v>
      </c>
      <c r="M241" s="280">
        <f t="shared" si="39"/>
        <v>1578.5</v>
      </c>
      <c r="N241" s="281">
        <f t="shared" si="35"/>
        <v>1838.8999999999999</v>
      </c>
      <c r="O241" s="281">
        <f t="shared" si="36"/>
        <v>260.39999999999986</v>
      </c>
      <c r="P241" s="275">
        <f t="shared" si="37"/>
        <v>0.16496674057649652</v>
      </c>
      <c r="Q241" s="282">
        <f t="shared" si="40"/>
        <v>27</v>
      </c>
      <c r="R241" s="4" t="s">
        <v>281</v>
      </c>
      <c r="S241" s="14"/>
      <c r="T241" s="14"/>
      <c r="U241" s="14"/>
      <c r="V241" s="14"/>
      <c r="W241" s="14"/>
      <c r="X241" s="14"/>
      <c r="Y241" s="14"/>
      <c r="Z241" s="14"/>
      <c r="AA241" s="14"/>
      <c r="AB241" s="14"/>
      <c r="AC241" s="14"/>
      <c r="AD241" s="14"/>
      <c r="AE241" s="14"/>
      <c r="AF241" s="14"/>
      <c r="AG241" s="14"/>
      <c r="AH241" s="29"/>
      <c r="AI241" s="29"/>
      <c r="AJ241" s="29"/>
      <c r="AK241" s="29"/>
      <c r="AL241" s="29"/>
      <c r="AM241" s="29"/>
      <c r="AN241" s="29"/>
      <c r="AO241" s="29"/>
      <c r="AP241" s="29"/>
      <c r="AQ241" s="29"/>
      <c r="AR241" s="29"/>
      <c r="AS241" s="29"/>
      <c r="AT241" s="29"/>
      <c r="AU241" s="29"/>
      <c r="AV241" s="29"/>
      <c r="AW241" s="29"/>
      <c r="AX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row>
    <row r="242" spans="1:79" ht="15.75" customHeight="1">
      <c r="A242" s="14"/>
      <c r="B242" s="270" t="s">
        <v>25</v>
      </c>
      <c r="C242" s="271" t="str">
        <f ca="1">IFERROR(__xludf.DUMMYFUNCTION("GoogleFinance(B242,""name"")"),"VanEck Gold Miners ETF")</f>
        <v>VanEck Gold Miners ETF</v>
      </c>
      <c r="D242" s="272" t="str">
        <f ca="1">IFERROR(__xludf.DUMMYFUNCTION("GoogleFinance(B242,""marketcap"")/1000000"),"#N/A")</f>
        <v>#N/A</v>
      </c>
      <c r="E242" s="273" t="s">
        <v>12</v>
      </c>
      <c r="F242" s="273" t="s">
        <v>288</v>
      </c>
      <c r="G242" s="274">
        <v>45372</v>
      </c>
      <c r="H242" s="235">
        <v>45399</v>
      </c>
      <c r="I242" s="276">
        <f t="shared" ca="1" si="33"/>
        <v>4.8140164947779044E-3</v>
      </c>
      <c r="J242" s="277">
        <v>33.76</v>
      </c>
      <c r="K242" s="278">
        <f>(30.06+30.7)/2</f>
        <v>30.38</v>
      </c>
      <c r="L242" s="383">
        <f>49.9+2500/30.7-60-50</f>
        <v>21.333224755700314</v>
      </c>
      <c r="M242" s="280">
        <f t="shared" si="39"/>
        <v>648.10336807817555</v>
      </c>
      <c r="N242" s="281">
        <f t="shared" si="35"/>
        <v>720.20966775244256</v>
      </c>
      <c r="O242" s="281">
        <f t="shared" si="36"/>
        <v>72.106299674267007</v>
      </c>
      <c r="P242" s="275">
        <f t="shared" si="37"/>
        <v>0.11125740618828184</v>
      </c>
      <c r="Q242" s="282">
        <f t="shared" si="40"/>
        <v>27</v>
      </c>
      <c r="R242" s="4" t="s">
        <v>281</v>
      </c>
      <c r="S242" s="14"/>
      <c r="T242" s="14"/>
      <c r="U242" s="14"/>
      <c r="V242" s="14"/>
      <c r="W242" s="14"/>
      <c r="X242" s="14"/>
      <c r="Y242" s="14"/>
      <c r="Z242" s="14"/>
      <c r="AA242" s="14"/>
      <c r="AB242" s="14"/>
      <c r="AC242" s="14"/>
      <c r="AD242" s="14"/>
      <c r="AE242" s="14"/>
      <c r="AF242" s="14"/>
      <c r="AG242" s="14"/>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row>
    <row r="243" spans="1:79" ht="15.75" customHeight="1">
      <c r="A243" s="14"/>
      <c r="B243" s="270" t="s">
        <v>40</v>
      </c>
      <c r="C243" s="271" t="str">
        <f ca="1">IFERROR(__xludf.DUMMYFUNCTION("GoogleFinance(B243,""name"")"),"iShares Silver Trust")</f>
        <v>iShares Silver Trust</v>
      </c>
      <c r="D243" s="272">
        <f ca="1">IFERROR(__xludf.DUMMYFUNCTION("GoogleFinance(B243,""marketcap"")/1000000"),16781.674244)</f>
        <v>16781.674244000002</v>
      </c>
      <c r="E243" s="273" t="s">
        <v>38</v>
      </c>
      <c r="F243" s="273" t="s">
        <v>41</v>
      </c>
      <c r="G243" s="274">
        <v>45372</v>
      </c>
      <c r="H243" s="235">
        <v>45399</v>
      </c>
      <c r="I243" s="276">
        <f t="shared" ca="1" si="33"/>
        <v>4.5208502496278703E-3</v>
      </c>
      <c r="J243" s="277">
        <v>25.05</v>
      </c>
      <c r="K243" s="278">
        <f>(22.6+22.5)/2</f>
        <v>22.55</v>
      </c>
      <c r="L243" s="383">
        <f>177-80-70</f>
        <v>27</v>
      </c>
      <c r="M243" s="280">
        <f t="shared" si="39"/>
        <v>608.85</v>
      </c>
      <c r="N243" s="281">
        <f t="shared" si="35"/>
        <v>676.35</v>
      </c>
      <c r="O243" s="281">
        <f t="shared" si="36"/>
        <v>67.5</v>
      </c>
      <c r="P243" s="275">
        <f t="shared" si="37"/>
        <v>0.11086474501108645</v>
      </c>
      <c r="Q243" s="282">
        <f t="shared" si="40"/>
        <v>27</v>
      </c>
      <c r="R243" s="4" t="s">
        <v>281</v>
      </c>
      <c r="S243" s="14"/>
      <c r="T243" s="14"/>
      <c r="U243" s="14"/>
      <c r="V243" s="14"/>
      <c r="W243" s="14"/>
      <c r="X243" s="14"/>
      <c r="Y243" s="14"/>
      <c r="Z243" s="14"/>
      <c r="AA243" s="14"/>
      <c r="AB243" s="14"/>
      <c r="AC243" s="14"/>
      <c r="AD243" s="14"/>
      <c r="AE243" s="14"/>
      <c r="AF243" s="14"/>
      <c r="AG243" s="14"/>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row>
    <row r="244" spans="1:79" ht="15.75" customHeight="1">
      <c r="A244" s="14"/>
      <c r="B244" s="491" t="s">
        <v>318</v>
      </c>
      <c r="C244" s="492" t="str">
        <f ca="1">IFERROR(__xludf.DUMMYFUNCTION("GoogleFinance(B244,""name"")"),"McDonald's Corp")</f>
        <v>McDonald's Corp</v>
      </c>
      <c r="D244" s="493">
        <f ca="1">IFERROR(__xludf.DUMMYFUNCTION("GoogleFinance(B244,""marketcap"")/1000000"),217820.569563)</f>
        <v>217820.569563</v>
      </c>
      <c r="E244" s="494" t="s">
        <v>10</v>
      </c>
      <c r="F244" s="494" t="s">
        <v>319</v>
      </c>
      <c r="G244" s="439">
        <v>45399</v>
      </c>
      <c r="H244" s="235">
        <v>45441</v>
      </c>
      <c r="I244" s="495">
        <f t="shared" ca="1" si="33"/>
        <v>2.5290716304175224E-2</v>
      </c>
      <c r="J244" s="277">
        <v>255</v>
      </c>
      <c r="K244" s="278">
        <v>269.58</v>
      </c>
      <c r="L244" s="383">
        <f>4000/K244</f>
        <v>14.837895986349137</v>
      </c>
      <c r="M244" s="280">
        <f t="shared" si="39"/>
        <v>4000</v>
      </c>
      <c r="N244" s="281">
        <f t="shared" si="35"/>
        <v>3783.6634765190302</v>
      </c>
      <c r="O244" s="281">
        <f t="shared" si="36"/>
        <v>-216.33652348096984</v>
      </c>
      <c r="P244" s="275">
        <f t="shared" si="37"/>
        <v>-5.4084130870242553E-2</v>
      </c>
      <c r="Q244" s="282">
        <f t="shared" si="40"/>
        <v>42</v>
      </c>
      <c r="R244" s="228" t="s">
        <v>62</v>
      </c>
      <c r="S244" s="14"/>
      <c r="T244" s="14"/>
      <c r="U244" s="14"/>
      <c r="V244" s="14"/>
      <c r="W244" s="14"/>
      <c r="X244" s="14"/>
      <c r="Y244" s="14"/>
      <c r="Z244" s="14"/>
      <c r="AA244" s="14"/>
      <c r="AB244" s="14"/>
      <c r="AC244" s="14"/>
      <c r="AD244" s="14"/>
      <c r="AE244" s="14"/>
      <c r="AF244" s="14"/>
      <c r="AG244" s="14"/>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row>
    <row r="245" spans="1:79" ht="15.75" customHeight="1">
      <c r="A245" s="14"/>
      <c r="B245" s="7" t="s">
        <v>112</v>
      </c>
      <c r="C245" s="377" t="str">
        <f ca="1">IFERROR(__xludf.DUMMYFUNCTION("GoogleFinance(B245,""name"")"),"JPMorgan Chase &amp; Co")</f>
        <v>JPMorgan Chase &amp; Co</v>
      </c>
      <c r="D245" s="378">
        <f ca="1">IFERROR(__xludf.DUMMYFUNCTION("GoogleFinance(B245,""marketcap"")/1000000"),869087.242526)</f>
        <v>869087.24252600002</v>
      </c>
      <c r="E245" s="379" t="s">
        <v>14</v>
      </c>
      <c r="F245" s="379" t="s">
        <v>21</v>
      </c>
      <c r="G245" s="380">
        <v>45000</v>
      </c>
      <c r="H245" s="235">
        <v>45442</v>
      </c>
      <c r="I245" s="300">
        <f t="shared" ca="1" si="33"/>
        <v>1.0621976119891536E-2</v>
      </c>
      <c r="J245" s="382">
        <v>198.64</v>
      </c>
      <c r="K245" s="324">
        <v>133.97999999999999</v>
      </c>
      <c r="L245" s="383">
        <v>8</v>
      </c>
      <c r="M245" s="313">
        <f t="shared" si="39"/>
        <v>1071.8399999999999</v>
      </c>
      <c r="N245" s="384">
        <f t="shared" si="35"/>
        <v>1589.12</v>
      </c>
      <c r="O245" s="384">
        <f t="shared" si="36"/>
        <v>517.28</v>
      </c>
      <c r="P245" s="254">
        <f t="shared" si="37"/>
        <v>0.48260934467831018</v>
      </c>
      <c r="Q245" s="282">
        <f t="shared" si="40"/>
        <v>442</v>
      </c>
      <c r="R245" s="4" t="s">
        <v>281</v>
      </c>
      <c r="S245" s="14"/>
      <c r="T245" s="14"/>
      <c r="U245" s="14"/>
      <c r="V245" s="14"/>
      <c r="W245" s="14"/>
      <c r="X245" s="14"/>
      <c r="Y245" s="14"/>
      <c r="Z245" s="14"/>
      <c r="AA245" s="14"/>
      <c r="AB245" s="14"/>
      <c r="AC245" s="14"/>
      <c r="AD245" s="14"/>
      <c r="AE245" s="14"/>
      <c r="AF245" s="14"/>
      <c r="AG245" s="14"/>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row>
    <row r="246" spans="1:79" ht="15.75" customHeight="1">
      <c r="A246" s="14"/>
      <c r="B246" s="7" t="s">
        <v>320</v>
      </c>
      <c r="C246" s="377" t="str">
        <f ca="1">IFERROR(__xludf.DUMMYFUNCTION("GoogleFinance(B246,""name"")"),"Schlumberger NV")</f>
        <v>Schlumberger NV</v>
      </c>
      <c r="D246" s="378">
        <f ca="1">IFERROR(__xludf.DUMMYFUNCTION("GoogleFinance(B246,""marketcap"")/1000000"),53062.547243)</f>
        <v>53062.547243000001</v>
      </c>
      <c r="E246" s="379" t="s">
        <v>15</v>
      </c>
      <c r="F246" s="379" t="s">
        <v>272</v>
      </c>
      <c r="G246" s="380">
        <v>45203</v>
      </c>
      <c r="H246" s="235">
        <v>45454</v>
      </c>
      <c r="I246" s="300">
        <f t="shared" ca="1" si="33"/>
        <v>5.2146144009230372E-3</v>
      </c>
      <c r="J246" s="382">
        <v>44</v>
      </c>
      <c r="K246" s="324">
        <v>56.4</v>
      </c>
      <c r="L246" s="383">
        <f>1000/K246-9+9</f>
        <v>17.730496453900709</v>
      </c>
      <c r="M246" s="313">
        <f t="shared" si="39"/>
        <v>1000</v>
      </c>
      <c r="N246" s="384">
        <f t="shared" si="35"/>
        <v>780.14184397163126</v>
      </c>
      <c r="O246" s="384">
        <f t="shared" si="36"/>
        <v>-219.85815602836874</v>
      </c>
      <c r="P246" s="254">
        <f t="shared" si="37"/>
        <v>-0.21985815602836878</v>
      </c>
      <c r="Q246" s="282">
        <f t="shared" si="40"/>
        <v>251</v>
      </c>
      <c r="R246" s="4" t="s">
        <v>62</v>
      </c>
      <c r="S246" s="14"/>
      <c r="T246" s="14"/>
      <c r="U246" s="14"/>
      <c r="V246" s="14"/>
      <c r="W246" s="14"/>
      <c r="X246" s="14"/>
      <c r="Y246" s="14"/>
      <c r="Z246" s="14"/>
      <c r="AA246" s="14"/>
      <c r="AB246" s="14"/>
      <c r="AC246" s="14"/>
      <c r="AD246" s="14"/>
      <c r="AE246" s="14"/>
      <c r="AF246" s="14"/>
      <c r="AG246" s="14"/>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row>
    <row r="247" spans="1:79" ht="15.75" customHeight="1">
      <c r="A247" s="14"/>
      <c r="B247" s="7" t="s">
        <v>286</v>
      </c>
      <c r="C247" s="377" t="str">
        <f ca="1">IFERROR(__xludf.DUMMYFUNCTION("GoogleFinance(B247,""name"")"),"Baidu Inc")</f>
        <v>Baidu Inc</v>
      </c>
      <c r="D247" s="378">
        <f ca="1">IFERROR(__xludf.DUMMYFUNCTION("GoogleFinance(B247,""marketcap"")/1000000"),368997.153)</f>
        <v>368997.15299999999</v>
      </c>
      <c r="E247" s="379" t="s">
        <v>13</v>
      </c>
      <c r="F247" s="379" t="s">
        <v>24</v>
      </c>
      <c r="G247" s="380">
        <v>45383</v>
      </c>
      <c r="H247" s="235">
        <v>45455</v>
      </c>
      <c r="I247" s="300">
        <f t="shared" ca="1" si="33"/>
        <v>1.5774682618646816E-2</v>
      </c>
      <c r="J247" s="382">
        <v>94.4</v>
      </c>
      <c r="K247" s="324">
        <f>M247/L247</f>
        <v>200</v>
      </c>
      <c r="L247" s="383">
        <v>25</v>
      </c>
      <c r="M247" s="313">
        <v>5000</v>
      </c>
      <c r="N247" s="384">
        <f t="shared" si="35"/>
        <v>2360</v>
      </c>
      <c r="O247" s="384">
        <f t="shared" si="36"/>
        <v>-2640</v>
      </c>
      <c r="P247" s="254">
        <f t="shared" si="37"/>
        <v>-0.52800000000000002</v>
      </c>
      <c r="Q247" s="282">
        <f t="shared" si="40"/>
        <v>72</v>
      </c>
      <c r="R247" s="4" t="s">
        <v>266</v>
      </c>
      <c r="S247" s="14"/>
      <c r="T247" s="14"/>
      <c r="U247" s="14"/>
      <c r="V247" s="14"/>
      <c r="W247" s="14"/>
      <c r="X247" s="14"/>
      <c r="Y247" s="14"/>
      <c r="Z247" s="14"/>
      <c r="AA247" s="14"/>
      <c r="AB247" s="14"/>
      <c r="AC247" s="14"/>
      <c r="AD247" s="14"/>
      <c r="AE247" s="14"/>
      <c r="AF247" s="14"/>
      <c r="AG247" s="14"/>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row>
    <row r="248" spans="1:79" ht="15.75" customHeight="1">
      <c r="A248" s="14"/>
      <c r="B248" s="1" t="s">
        <v>269</v>
      </c>
      <c r="C248" s="233" t="str">
        <f ca="1">IFERROR(__xludf.DUMMYFUNCTION("GoogleFinance(B248,""name"")"),"Alibaba Group Holding Ltd - ADR")</f>
        <v>Alibaba Group Holding Ltd - ADR</v>
      </c>
      <c r="D248" s="234">
        <f ca="1">IFERROR(__xludf.DUMMYFUNCTION("GoogleFinance(B248,""marketcap"")/1000000"),340928.957993)</f>
        <v>340928.95799299999</v>
      </c>
      <c r="E248" s="229" t="s">
        <v>128</v>
      </c>
      <c r="F248" s="229" t="s">
        <v>24</v>
      </c>
      <c r="G248" s="235">
        <v>45267</v>
      </c>
      <c r="H248" s="235">
        <v>45455</v>
      </c>
      <c r="I248" s="10">
        <f t="shared" ca="1" si="33"/>
        <v>1.836480529437802E-2</v>
      </c>
      <c r="J248" s="236">
        <v>78.5</v>
      </c>
      <c r="K248" s="237">
        <v>73.5</v>
      </c>
      <c r="L248" s="238">
        <v>35</v>
      </c>
      <c r="M248" s="239">
        <f t="shared" ref="M248:M280" si="41">L248*K248</f>
        <v>2572.5</v>
      </c>
      <c r="N248" s="226">
        <f t="shared" si="35"/>
        <v>2747.5</v>
      </c>
      <c r="O248" s="226">
        <f t="shared" si="36"/>
        <v>175</v>
      </c>
      <c r="P248" s="254">
        <f t="shared" si="37"/>
        <v>6.8027210884353817E-2</v>
      </c>
      <c r="Q248" s="282">
        <f t="shared" si="40"/>
        <v>188</v>
      </c>
      <c r="R248" s="4" t="s">
        <v>266</v>
      </c>
      <c r="S248" s="14"/>
      <c r="T248" s="14"/>
      <c r="U248" s="14"/>
      <c r="V248" s="14"/>
      <c r="W248" s="14"/>
      <c r="X248" s="14"/>
      <c r="Y248" s="14"/>
      <c r="Z248" s="14"/>
      <c r="AA248" s="14"/>
      <c r="AB248" s="14"/>
      <c r="AC248" s="14"/>
      <c r="AD248" s="14"/>
      <c r="AE248" s="14"/>
      <c r="AF248" s="14"/>
      <c r="AG248" s="14"/>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row>
    <row r="249" spans="1:79" ht="15.75" customHeight="1">
      <c r="A249" s="14"/>
      <c r="B249" s="7" t="s">
        <v>267</v>
      </c>
      <c r="C249" s="377" t="str">
        <f ca="1">IFERROR(__xludf.DUMMYFUNCTION("GoogleFinance(B249,""name"")"),"#N/A")</f>
        <v>#N/A</v>
      </c>
      <c r="D249" s="378" t="str">
        <f ca="1">IFERROR(__xludf.DUMMYFUNCTION("GoogleFinance(B249,""marketcap"")/1000000"),"#N/A")</f>
        <v>#N/A</v>
      </c>
      <c r="E249" s="379" t="s">
        <v>12</v>
      </c>
      <c r="F249" s="379" t="s">
        <v>30</v>
      </c>
      <c r="G249" s="235">
        <v>45372</v>
      </c>
      <c r="H249" s="235">
        <v>45455</v>
      </c>
      <c r="I249" s="300">
        <f t="shared" ca="1" si="33"/>
        <v>5.1664170248423118E-3</v>
      </c>
      <c r="J249" s="382">
        <v>4.0999999999999996</v>
      </c>
      <c r="K249" s="324">
        <v>5.15</v>
      </c>
      <c r="L249" s="383">
        <f>190.5+1000/5.05-200</f>
        <v>188.51980198019805</v>
      </c>
      <c r="M249" s="239">
        <f t="shared" si="41"/>
        <v>970.87698019802008</v>
      </c>
      <c r="N249" s="384">
        <f t="shared" si="35"/>
        <v>772.93118811881197</v>
      </c>
      <c r="O249" s="384">
        <f t="shared" si="36"/>
        <v>-197.9457920792081</v>
      </c>
      <c r="P249" s="254">
        <f t="shared" si="37"/>
        <v>-0.2038834951456312</v>
      </c>
      <c r="Q249" s="282">
        <f t="shared" si="40"/>
        <v>83</v>
      </c>
      <c r="R249" s="4" t="s">
        <v>266</v>
      </c>
      <c r="S249" s="14"/>
      <c r="T249" s="14"/>
      <c r="U249" s="14"/>
      <c r="V249" s="14"/>
      <c r="W249" s="14"/>
      <c r="X249" s="14"/>
      <c r="Y249" s="14"/>
      <c r="Z249" s="14"/>
      <c r="AA249" s="14"/>
      <c r="AB249" s="14"/>
      <c r="AC249" s="14"/>
      <c r="AD249" s="14"/>
      <c r="AE249" s="14"/>
      <c r="AF249" s="14"/>
      <c r="AG249" s="14"/>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row>
    <row r="250" spans="1:79" ht="15.75" customHeight="1">
      <c r="A250" s="14"/>
      <c r="B250" s="7" t="s">
        <v>159</v>
      </c>
      <c r="C250" s="377" t="str">
        <f ca="1">IFERROR(__xludf.DUMMYFUNCTION("GoogleFinance(B250,""name"")"),"Albemarle Corp")</f>
        <v>Albemarle Corp</v>
      </c>
      <c r="D250" s="378">
        <f ca="1">IFERROR(__xludf.DUMMYFUNCTION("GoogleFinance(B250,""marketcap"")/1000000"),10367.86331)</f>
        <v>10367.863310000001</v>
      </c>
      <c r="E250" s="379" t="s">
        <v>12</v>
      </c>
      <c r="F250" s="379" t="s">
        <v>30</v>
      </c>
      <c r="G250" s="235">
        <v>45379</v>
      </c>
      <c r="H250" s="235">
        <v>45455</v>
      </c>
      <c r="I250" s="300">
        <f t="shared" ca="1" si="33"/>
        <v>5.5682542873075874E-3</v>
      </c>
      <c r="J250" s="382">
        <v>115</v>
      </c>
      <c r="K250" s="324">
        <v>131.19999999999999</v>
      </c>
      <c r="L250" s="383">
        <f>2000/K250-8</f>
        <v>7.2439024390243922</v>
      </c>
      <c r="M250" s="313">
        <f t="shared" si="41"/>
        <v>950.4000000000002</v>
      </c>
      <c r="N250" s="384">
        <f t="shared" si="35"/>
        <v>833.04878048780506</v>
      </c>
      <c r="O250" s="384">
        <f t="shared" si="36"/>
        <v>-117.35121951219514</v>
      </c>
      <c r="P250" s="254">
        <f t="shared" si="37"/>
        <v>-0.1234756097560975</v>
      </c>
      <c r="Q250" s="282">
        <f t="shared" si="40"/>
        <v>76</v>
      </c>
      <c r="R250" s="4" t="s">
        <v>266</v>
      </c>
      <c r="S250" s="14"/>
      <c r="T250" s="14"/>
      <c r="U250" s="14"/>
      <c r="V250" s="14"/>
      <c r="W250" s="14"/>
      <c r="X250" s="14"/>
      <c r="Y250" s="14"/>
      <c r="Z250" s="14"/>
      <c r="AA250" s="14"/>
      <c r="AB250" s="14"/>
      <c r="AC250" s="14"/>
      <c r="AD250" s="14"/>
      <c r="AE250" s="14"/>
      <c r="AF250" s="14"/>
      <c r="AG250" s="14"/>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row>
    <row r="251" spans="1:79" ht="15.75" customHeight="1">
      <c r="A251" s="14"/>
      <c r="B251" s="7" t="s">
        <v>148</v>
      </c>
      <c r="C251" s="377" t="str">
        <f ca="1">IFERROR(__xludf.DUMMYFUNCTION("GoogleFinance(B251,""name"")"),"Itau Unibanco Holding SA ADR")</f>
        <v>Itau Unibanco Holding SA ADR</v>
      </c>
      <c r="D251" s="378">
        <f ca="1">IFERROR(__xludf.DUMMYFUNCTION("GoogleFinance(B251,""marketcap"")/1000000"),393250.679379)</f>
        <v>393250.67937899998</v>
      </c>
      <c r="E251" s="379" t="s">
        <v>14</v>
      </c>
      <c r="F251" s="379" t="s">
        <v>321</v>
      </c>
      <c r="G251" s="235">
        <v>45427</v>
      </c>
      <c r="H251" s="235">
        <v>45455</v>
      </c>
      <c r="I251" s="300">
        <f t="shared" ca="1" si="33"/>
        <v>3.9880293538589774E-3</v>
      </c>
      <c r="J251" s="382">
        <v>5.9</v>
      </c>
      <c r="K251" s="324">
        <v>6.49</v>
      </c>
      <c r="L251" s="383">
        <f>1500/K251-130</f>
        <v>101.12480739599383</v>
      </c>
      <c r="M251" s="313">
        <f t="shared" si="41"/>
        <v>656.3</v>
      </c>
      <c r="N251" s="384">
        <f t="shared" si="35"/>
        <v>596.63636363636363</v>
      </c>
      <c r="O251" s="384">
        <f t="shared" si="36"/>
        <v>-59.663636363636328</v>
      </c>
      <c r="P251" s="254">
        <f t="shared" si="37"/>
        <v>-9.0909090909090939E-2</v>
      </c>
      <c r="Q251" s="282">
        <f t="shared" si="40"/>
        <v>28</v>
      </c>
      <c r="R251" s="4" t="s">
        <v>266</v>
      </c>
      <c r="S251" s="14"/>
      <c r="T251" s="14"/>
      <c r="U251" s="14"/>
      <c r="V251" s="14"/>
      <c r="W251" s="14"/>
      <c r="X251" s="14"/>
      <c r="Y251" s="14"/>
      <c r="Z251" s="14"/>
      <c r="AA251" s="14"/>
      <c r="AB251" s="14"/>
      <c r="AC251" s="14"/>
      <c r="AD251" s="14"/>
      <c r="AE251" s="14"/>
      <c r="AF251" s="14"/>
      <c r="AG251" s="14"/>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row>
    <row r="252" spans="1:79" ht="15.75" customHeight="1">
      <c r="A252" s="14"/>
      <c r="B252" s="1" t="s">
        <v>322</v>
      </c>
      <c r="C252" s="233" t="str">
        <f ca="1">IFERROR(__xludf.DUMMYFUNCTION("GoogleFinance(B252,""name"")"),"Procter &amp; Gamble Co")</f>
        <v>Procter &amp; Gamble Co</v>
      </c>
      <c r="D252" s="234">
        <f ca="1">IFERROR(__xludf.DUMMYFUNCTION("GoogleFinance(B252,""marketcap"")/1000000"),356923.9625)</f>
        <v>356923.96250000002</v>
      </c>
      <c r="E252" s="229" t="s">
        <v>18</v>
      </c>
      <c r="F252" s="229" t="s">
        <v>323</v>
      </c>
      <c r="G252" s="235">
        <v>45184</v>
      </c>
      <c r="H252" s="235">
        <v>45455</v>
      </c>
      <c r="I252" s="10">
        <f t="shared" ca="1" si="33"/>
        <v>2.2191502666909928E-2</v>
      </c>
      <c r="J252" s="236">
        <v>166</v>
      </c>
      <c r="K252" s="237">
        <v>154.91</v>
      </c>
      <c r="L252" s="238">
        <v>20</v>
      </c>
      <c r="M252" s="239">
        <f t="shared" si="41"/>
        <v>3098.2</v>
      </c>
      <c r="N252" s="226">
        <f t="shared" si="35"/>
        <v>3320</v>
      </c>
      <c r="O252" s="226">
        <f t="shared" si="36"/>
        <v>221.80000000000018</v>
      </c>
      <c r="P252" s="254">
        <f t="shared" si="37"/>
        <v>7.1589955458007948E-2</v>
      </c>
      <c r="Q252" s="282">
        <f t="shared" si="40"/>
        <v>271</v>
      </c>
      <c r="R252" s="4" t="s">
        <v>266</v>
      </c>
      <c r="S252" s="14"/>
      <c r="T252" s="14"/>
      <c r="U252" s="14"/>
      <c r="V252" s="14"/>
      <c r="W252" s="14"/>
      <c r="X252" s="14"/>
      <c r="Y252" s="14"/>
      <c r="Z252" s="14"/>
      <c r="AA252" s="14"/>
      <c r="AB252" s="14"/>
      <c r="AC252" s="14"/>
      <c r="AD252" s="14"/>
      <c r="AE252" s="14"/>
      <c r="AF252" s="14"/>
      <c r="AG252" s="14"/>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row>
    <row r="253" spans="1:79" ht="15.75" customHeight="1">
      <c r="A253" s="14"/>
      <c r="B253" s="1" t="s">
        <v>277</v>
      </c>
      <c r="C253" s="233" t="str">
        <f ca="1">IFERROR(__xludf.DUMMYFUNCTION("GoogleFinance(B253,""name"")"),"Target Corp")</f>
        <v>Target Corp</v>
      </c>
      <c r="D253" s="234">
        <f ca="1">IFERROR(__xludf.DUMMYFUNCTION("GoogleFinance(B253,""marketcap"")/1000000"),39918.960241)</f>
        <v>39918.960241000001</v>
      </c>
      <c r="E253" s="229" t="s">
        <v>18</v>
      </c>
      <c r="F253" s="229" t="s">
        <v>278</v>
      </c>
      <c r="G253" s="235">
        <v>45434</v>
      </c>
      <c r="H253" s="235">
        <v>45455</v>
      </c>
      <c r="I253" s="10">
        <f t="shared" ca="1" si="33"/>
        <v>1.9548574909531557E-2</v>
      </c>
      <c r="J253" s="236">
        <v>146.22999999999999</v>
      </c>
      <c r="K253" s="237">
        <v>144.16999999999999</v>
      </c>
      <c r="L253" s="238">
        <v>20</v>
      </c>
      <c r="M253" s="239">
        <f t="shared" si="41"/>
        <v>2883.3999999999996</v>
      </c>
      <c r="N253" s="226">
        <f t="shared" si="35"/>
        <v>2924.6</v>
      </c>
      <c r="O253" s="226">
        <f t="shared" si="36"/>
        <v>41.200000000000273</v>
      </c>
      <c r="P253" s="254">
        <f t="shared" si="37"/>
        <v>1.4288686966775321E-2</v>
      </c>
      <c r="Q253" s="282">
        <f t="shared" si="40"/>
        <v>21</v>
      </c>
      <c r="R253" s="4" t="s">
        <v>266</v>
      </c>
      <c r="S253" s="14"/>
      <c r="T253" s="14"/>
      <c r="U253" s="14"/>
      <c r="V253" s="14"/>
      <c r="W253" s="14"/>
      <c r="X253" s="14"/>
      <c r="Y253" s="14"/>
      <c r="Z253" s="14"/>
      <c r="AA253" s="14"/>
      <c r="AB253" s="14"/>
      <c r="AC253" s="14"/>
      <c r="AD253" s="14"/>
      <c r="AE253" s="14"/>
      <c r="AF253" s="14"/>
      <c r="AG253" s="14"/>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row>
    <row r="254" spans="1:79" ht="15.75" customHeight="1">
      <c r="A254" s="14"/>
      <c r="B254" s="496" t="s">
        <v>103</v>
      </c>
      <c r="C254" s="492" t="str">
        <f ca="1">IFERROR(__xludf.DUMMYFUNCTION("GoogleFinance(B254,""name"")"),"PepsiCo Inc")</f>
        <v>PepsiCo Inc</v>
      </c>
      <c r="D254" s="493">
        <f ca="1">IFERROR(__xludf.DUMMYFUNCTION("GoogleFinance(B254,""marketcap"")/1000000"),192273.2)</f>
        <v>192273.2</v>
      </c>
      <c r="E254" s="497" t="s">
        <v>18</v>
      </c>
      <c r="F254" s="497" t="s">
        <v>324</v>
      </c>
      <c r="G254" s="439">
        <v>45399</v>
      </c>
      <c r="H254" s="235">
        <v>45455</v>
      </c>
      <c r="I254" s="495">
        <f t="shared" ca="1" si="33"/>
        <v>2.198562969036149E-2</v>
      </c>
      <c r="J254" s="498">
        <v>164.46</v>
      </c>
      <c r="K254" s="499">
        <v>168.45</v>
      </c>
      <c r="L254" s="500">
        <v>20</v>
      </c>
      <c r="M254" s="501">
        <f t="shared" si="41"/>
        <v>3369</v>
      </c>
      <c r="N254" s="501">
        <f t="shared" si="35"/>
        <v>3289.2000000000003</v>
      </c>
      <c r="O254" s="502">
        <f t="shared" si="36"/>
        <v>-79.799999999999727</v>
      </c>
      <c r="P254" s="503">
        <f t="shared" si="37"/>
        <v>-2.3686553873552896E-2</v>
      </c>
      <c r="Q254" s="282">
        <f t="shared" si="40"/>
        <v>56</v>
      </c>
      <c r="R254" s="4" t="s">
        <v>266</v>
      </c>
      <c r="S254" s="14"/>
      <c r="T254" s="14"/>
      <c r="U254" s="14"/>
      <c r="V254" s="14"/>
      <c r="W254" s="14"/>
      <c r="X254" s="14"/>
      <c r="Y254" s="14"/>
      <c r="Z254" s="14"/>
      <c r="AA254" s="14"/>
      <c r="AB254" s="14"/>
      <c r="AC254" s="14"/>
      <c r="AD254" s="14"/>
      <c r="AE254" s="14"/>
      <c r="AF254" s="14"/>
      <c r="AG254" s="14"/>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row>
    <row r="255" spans="1:79" ht="15.75" customHeight="1">
      <c r="A255" s="504"/>
      <c r="B255" s="389" t="s">
        <v>265</v>
      </c>
      <c r="C255" s="377" t="str">
        <f ca="1">IFERROR(__xludf.DUMMYFUNCTION("GoogleFinance(B255,""name"")"),"Kroger Co")</f>
        <v>Kroger Co</v>
      </c>
      <c r="D255" s="378">
        <f ca="1">IFERROR(__xludf.DUMMYFUNCTION("GoogleFinance(B255,""marketcap"")/1000000"),43378.914365)</f>
        <v>43378.914364999997</v>
      </c>
      <c r="E255" s="379" t="s">
        <v>18</v>
      </c>
      <c r="F255" s="379" t="s">
        <v>104</v>
      </c>
      <c r="G255" s="380">
        <v>44916</v>
      </c>
      <c r="H255" s="235">
        <v>45455</v>
      </c>
      <c r="I255" s="300">
        <f t="shared" ca="1" si="33"/>
        <v>6.7563767758170344E-3</v>
      </c>
      <c r="J255" s="382">
        <v>50.54</v>
      </c>
      <c r="K255" s="324">
        <v>44.39</v>
      </c>
      <c r="L255" s="383">
        <v>20</v>
      </c>
      <c r="M255" s="313">
        <f t="shared" si="41"/>
        <v>887.8</v>
      </c>
      <c r="N255" s="384">
        <f t="shared" si="35"/>
        <v>1010.8</v>
      </c>
      <c r="O255" s="384">
        <f t="shared" si="36"/>
        <v>123</v>
      </c>
      <c r="P255" s="254">
        <f t="shared" si="37"/>
        <v>0.13854471727866624</v>
      </c>
      <c r="Q255" s="282">
        <f t="shared" si="40"/>
        <v>539</v>
      </c>
      <c r="R255" s="4" t="s">
        <v>266</v>
      </c>
      <c r="S255" s="14"/>
      <c r="T255" s="14"/>
      <c r="U255" s="14"/>
      <c r="V255" s="14"/>
      <c r="W255" s="14"/>
      <c r="X255" s="14"/>
      <c r="Y255" s="504"/>
      <c r="Z255" s="504"/>
      <c r="AA255" s="504"/>
      <c r="AB255" s="504"/>
      <c r="AC255" s="504"/>
      <c r="AD255" s="504"/>
      <c r="AE255" s="504"/>
      <c r="AF255" s="504"/>
      <c r="AG255" s="504"/>
      <c r="AH255" s="505"/>
      <c r="AI255" s="505"/>
      <c r="AJ255" s="505"/>
      <c r="AK255" s="505"/>
      <c r="AL255" s="505"/>
      <c r="AM255" s="505"/>
      <c r="AN255" s="505"/>
      <c r="AO255" s="505"/>
      <c r="AP255" s="505"/>
      <c r="AQ255" s="505"/>
      <c r="AR255" s="505"/>
      <c r="AS255" s="505"/>
      <c r="AT255" s="505"/>
      <c r="AU255" s="505"/>
      <c r="AV255" s="505"/>
      <c r="AW255" s="505"/>
      <c r="AX255" s="505"/>
      <c r="AY255" s="505"/>
      <c r="AZ255" s="505"/>
      <c r="BA255" s="505"/>
      <c r="BB255" s="505"/>
      <c r="BC255" s="505"/>
      <c r="BD255" s="505"/>
      <c r="BE255" s="505"/>
      <c r="BF255" s="505"/>
      <c r="BG255" s="505"/>
      <c r="BH255" s="505"/>
      <c r="BI255" s="505"/>
      <c r="BJ255" s="505"/>
      <c r="BK255" s="505"/>
      <c r="BL255" s="505"/>
      <c r="BM255" s="505"/>
      <c r="BN255" s="505"/>
      <c r="BO255" s="505"/>
      <c r="BP255" s="505"/>
      <c r="BQ255" s="505"/>
      <c r="BR255" s="505"/>
      <c r="BS255" s="505"/>
      <c r="BT255" s="505"/>
      <c r="BU255" s="505"/>
      <c r="BV255" s="505"/>
      <c r="BW255" s="505"/>
      <c r="BX255" s="505"/>
      <c r="BY255" s="505"/>
      <c r="BZ255" s="505"/>
      <c r="CA255" s="505"/>
    </row>
    <row r="256" spans="1:79" ht="15.75" customHeight="1">
      <c r="A256" s="21"/>
      <c r="B256" s="7" t="s">
        <v>307</v>
      </c>
      <c r="C256" s="377" t="str">
        <f ca="1">IFERROR(__xludf.DUMMYFUNCTION("GoogleFinance(B256,""name"")"),"T-Mobile Us Inc")</f>
        <v>T-Mobile Us Inc</v>
      </c>
      <c r="D256" s="378">
        <f ca="1">IFERROR(__xludf.DUMMYFUNCTION("GoogleFinance(B256,""marketcap"")/1000000"),267253.251303)</f>
        <v>267253.25130300003</v>
      </c>
      <c r="E256" s="379" t="s">
        <v>13</v>
      </c>
      <c r="F256" s="379" t="s">
        <v>83</v>
      </c>
      <c r="G256" s="380">
        <v>45191</v>
      </c>
      <c r="H256" s="235">
        <v>45455</v>
      </c>
      <c r="I256" s="300">
        <f t="shared" ca="1" si="33"/>
        <v>2.3163383536719779E-2</v>
      </c>
      <c r="J256" s="382">
        <v>173.27</v>
      </c>
      <c r="K256" s="324">
        <v>139.5</v>
      </c>
      <c r="L256" s="383">
        <v>20</v>
      </c>
      <c r="M256" s="313">
        <f t="shared" si="41"/>
        <v>2790</v>
      </c>
      <c r="N256" s="384">
        <f t="shared" si="35"/>
        <v>3465.4</v>
      </c>
      <c r="O256" s="384">
        <f t="shared" si="36"/>
        <v>675.40000000000009</v>
      </c>
      <c r="P256" s="254">
        <f t="shared" si="37"/>
        <v>0.24207885304659515</v>
      </c>
      <c r="Q256" s="282">
        <f t="shared" si="40"/>
        <v>264</v>
      </c>
      <c r="R256" s="4" t="s">
        <v>266</v>
      </c>
      <c r="S256" s="14"/>
      <c r="T256" s="14"/>
      <c r="U256" s="14"/>
      <c r="V256" s="14"/>
      <c r="W256" s="14"/>
      <c r="X256" s="14"/>
      <c r="Y256" s="21"/>
      <c r="Z256" s="21"/>
      <c r="AA256" s="21"/>
      <c r="AB256" s="21"/>
      <c r="AC256" s="21"/>
      <c r="AD256" s="21"/>
      <c r="AE256" s="21"/>
      <c r="AF256" s="21"/>
      <c r="AG256" s="21"/>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row>
    <row r="257" spans="1:79" ht="15.75" customHeight="1">
      <c r="A257" s="14"/>
      <c r="B257" s="7" t="s">
        <v>127</v>
      </c>
      <c r="C257" s="377" t="str">
        <f ca="1">IFERROR(__xludf.DUMMYFUNCTION("GoogleFinance(B257,""name"")"),"Tesla Inc")</f>
        <v>Tesla Inc</v>
      </c>
      <c r="D257" s="378">
        <f ca="1">IFERROR(__xludf.DUMMYFUNCTION("GoogleFinance(B257,""marketcap"")/1000000"),1379980.168874)</f>
        <v>1379980.168874</v>
      </c>
      <c r="E257" s="379" t="s">
        <v>10</v>
      </c>
      <c r="F257" s="379" t="s">
        <v>325</v>
      </c>
      <c r="G257" s="380">
        <v>45366</v>
      </c>
      <c r="H257" s="235">
        <v>45475</v>
      </c>
      <c r="I257" s="300">
        <f t="shared" ca="1" si="33"/>
        <v>7.6701052139395006E-3</v>
      </c>
      <c r="J257" s="382">
        <v>229.5</v>
      </c>
      <c r="K257" s="324">
        <v>167.75</v>
      </c>
      <c r="L257" s="383">
        <v>5</v>
      </c>
      <c r="M257" s="313">
        <f t="shared" si="41"/>
        <v>838.75</v>
      </c>
      <c r="N257" s="384">
        <f t="shared" si="35"/>
        <v>1147.5</v>
      </c>
      <c r="O257" s="384">
        <f t="shared" si="36"/>
        <v>308.75</v>
      </c>
      <c r="P257" s="254">
        <f t="shared" si="37"/>
        <v>0.36810730253353197</v>
      </c>
      <c r="Q257" s="282">
        <f t="shared" si="40"/>
        <v>109</v>
      </c>
      <c r="R257" s="4" t="s">
        <v>266</v>
      </c>
      <c r="S257" s="14"/>
      <c r="T257" s="14"/>
      <c r="U257" s="14"/>
      <c r="V257" s="14"/>
      <c r="W257" s="14"/>
      <c r="X257" s="14"/>
      <c r="Y257" s="14"/>
      <c r="Z257" s="14"/>
      <c r="AA257" s="14"/>
      <c r="AB257" s="14"/>
      <c r="AC257" s="14"/>
      <c r="AD257" s="14"/>
      <c r="AE257" s="14"/>
      <c r="AF257" s="14"/>
      <c r="AG257" s="14"/>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row>
    <row r="258" spans="1:79" ht="15.75" customHeight="1">
      <c r="A258" s="14"/>
      <c r="B258" s="7" t="s">
        <v>127</v>
      </c>
      <c r="C258" s="377" t="str">
        <f ca="1">IFERROR(__xludf.DUMMYFUNCTION("GoogleFinance(B258,""name"")"),"Tesla Inc")</f>
        <v>Tesla Inc</v>
      </c>
      <c r="D258" s="378">
        <f ca="1">IFERROR(__xludf.DUMMYFUNCTION("GoogleFinance(B258,""marketcap"")/1000000"),1379980.168874)</f>
        <v>1379980.168874</v>
      </c>
      <c r="E258" s="379" t="s">
        <v>10</v>
      </c>
      <c r="F258" s="379" t="s">
        <v>325</v>
      </c>
      <c r="G258" s="380">
        <v>45366</v>
      </c>
      <c r="H258" s="235">
        <v>45481</v>
      </c>
      <c r="I258" s="300">
        <f t="shared" ca="1" si="33"/>
        <v>8.5223391265994448E-3</v>
      </c>
      <c r="J258" s="382">
        <v>255</v>
      </c>
      <c r="K258" s="324">
        <v>167.75</v>
      </c>
      <c r="L258" s="383">
        <v>5</v>
      </c>
      <c r="M258" s="313">
        <f t="shared" si="41"/>
        <v>838.75</v>
      </c>
      <c r="N258" s="384">
        <f t="shared" si="35"/>
        <v>1275</v>
      </c>
      <c r="O258" s="384">
        <f t="shared" si="36"/>
        <v>436.25</v>
      </c>
      <c r="P258" s="254">
        <f t="shared" si="37"/>
        <v>0.52011922503725772</v>
      </c>
      <c r="Q258" s="282">
        <f t="shared" si="40"/>
        <v>115</v>
      </c>
      <c r="R258" s="4" t="s">
        <v>266</v>
      </c>
      <c r="S258" s="14"/>
      <c r="T258" s="14"/>
      <c r="U258" s="14"/>
      <c r="V258" s="14"/>
      <c r="W258" s="14"/>
      <c r="X258" s="14"/>
      <c r="Y258" s="14"/>
      <c r="Z258" s="14"/>
      <c r="AA258" s="14"/>
      <c r="AB258" s="14"/>
      <c r="AC258" s="14"/>
      <c r="AD258" s="14"/>
      <c r="AE258" s="14"/>
      <c r="AF258" s="14"/>
      <c r="AG258" s="14"/>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row>
    <row r="259" spans="1:79" ht="15.75" customHeight="1">
      <c r="A259" s="14"/>
      <c r="B259" s="7" t="s">
        <v>127</v>
      </c>
      <c r="C259" s="377" t="str">
        <f ca="1">IFERROR(__xludf.DUMMYFUNCTION("GoogleFinance(B259,""name"")"),"Tesla Inc")</f>
        <v>Tesla Inc</v>
      </c>
      <c r="D259" s="378">
        <f ca="1">IFERROR(__xludf.DUMMYFUNCTION("GoogleFinance(B259,""marketcap"")/1000000"),1379980.168874)</f>
        <v>1379980.168874</v>
      </c>
      <c r="E259" s="379" t="s">
        <v>10</v>
      </c>
      <c r="F259" s="379" t="s">
        <v>325</v>
      </c>
      <c r="G259" s="380">
        <v>45366</v>
      </c>
      <c r="H259" s="235">
        <v>45484</v>
      </c>
      <c r="I259" s="300">
        <f t="shared" ca="1" si="33"/>
        <v>1.9110560099362101E-2</v>
      </c>
      <c r="J259" s="382">
        <v>262.3</v>
      </c>
      <c r="K259" s="324">
        <v>167.75</v>
      </c>
      <c r="L259" s="383">
        <v>10.9</v>
      </c>
      <c r="M259" s="313">
        <f t="shared" si="41"/>
        <v>1828.4750000000001</v>
      </c>
      <c r="N259" s="384">
        <f t="shared" si="35"/>
        <v>2859.07</v>
      </c>
      <c r="O259" s="384">
        <f t="shared" si="36"/>
        <v>1030.595</v>
      </c>
      <c r="P259" s="254">
        <f t="shared" si="37"/>
        <v>0.56363636363636371</v>
      </c>
      <c r="Q259" s="282">
        <f t="shared" si="40"/>
        <v>118</v>
      </c>
      <c r="R259" s="4" t="s">
        <v>264</v>
      </c>
      <c r="S259" s="14"/>
      <c r="T259" s="14"/>
      <c r="U259" s="14"/>
      <c r="V259" s="14"/>
      <c r="W259" s="14"/>
      <c r="X259" s="14"/>
      <c r="Y259" s="14"/>
      <c r="Z259" s="14"/>
      <c r="AA259" s="14"/>
      <c r="AB259" s="14"/>
      <c r="AC259" s="14"/>
      <c r="AD259" s="14"/>
      <c r="AE259" s="14"/>
      <c r="AF259" s="14"/>
      <c r="AG259" s="14"/>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row>
    <row r="260" spans="1:79" ht="15.75" customHeight="1">
      <c r="A260" s="14"/>
      <c r="B260" s="7" t="s">
        <v>326</v>
      </c>
      <c r="C260" s="377" t="str">
        <f ca="1">IFERROR(__xludf.DUMMYFUNCTION("GoogleFinance(B260,""name"")"),"Teucrium Wheat Fund")</f>
        <v>Teucrium Wheat Fund</v>
      </c>
      <c r="D260" s="378" t="str">
        <f ca="1">IFERROR(__xludf.DUMMYFUNCTION("GoogleFinance(B260,""marketcap"")/1000000"),"#N/A")</f>
        <v>#N/A</v>
      </c>
      <c r="E260" s="379" t="s">
        <v>38</v>
      </c>
      <c r="F260" s="379" t="s">
        <v>327</v>
      </c>
      <c r="G260" s="380">
        <v>45394</v>
      </c>
      <c r="H260" s="235">
        <v>45489</v>
      </c>
      <c r="I260" s="300">
        <f t="shared" ca="1" si="33"/>
        <v>1.2493808505185186E-2</v>
      </c>
      <c r="J260" s="382">
        <v>5</v>
      </c>
      <c r="K260" s="324">
        <v>5.35</v>
      </c>
      <c r="L260" s="383">
        <f>2000/K260</f>
        <v>373.8317757009346</v>
      </c>
      <c r="M260" s="313">
        <f t="shared" si="41"/>
        <v>2000</v>
      </c>
      <c r="N260" s="384">
        <f t="shared" si="35"/>
        <v>1869.1588785046729</v>
      </c>
      <c r="O260" s="384">
        <f t="shared" si="36"/>
        <v>-130.84112149532712</v>
      </c>
      <c r="P260" s="254">
        <f t="shared" si="37"/>
        <v>-6.5420560747663448E-2</v>
      </c>
      <c r="Q260" s="282">
        <f t="shared" si="40"/>
        <v>95</v>
      </c>
      <c r="R260" s="4" t="s">
        <v>264</v>
      </c>
      <c r="S260" s="14"/>
      <c r="T260" s="14"/>
      <c r="U260" s="14"/>
      <c r="V260" s="14"/>
      <c r="W260" s="14"/>
      <c r="X260" s="14"/>
      <c r="Y260" s="14"/>
      <c r="Z260" s="14"/>
      <c r="AA260" s="14"/>
      <c r="AB260" s="14"/>
      <c r="AC260" s="14"/>
      <c r="AD260" s="14"/>
      <c r="AE260" s="14"/>
      <c r="AF260" s="14"/>
      <c r="AG260" s="14"/>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row>
    <row r="261" spans="1:79" ht="15.75" customHeight="1">
      <c r="A261" s="14"/>
      <c r="B261" s="22" t="s">
        <v>176</v>
      </c>
      <c r="C261" s="245" t="str">
        <f ca="1">IFERROR(__xludf.DUMMYFUNCTION("GoogleFinance(B261,""name"")"),"First Trust Natural Gas ETF")</f>
        <v>First Trust Natural Gas ETF</v>
      </c>
      <c r="D261" s="246" t="str">
        <f ca="1">IFERROR(__xludf.DUMMYFUNCTION("GoogleFinance(B261,""marketcap"")/1000000"),"#N/A")</f>
        <v>#N/A</v>
      </c>
      <c r="E261" s="23" t="s">
        <v>15</v>
      </c>
      <c r="F261" s="23" t="s">
        <v>177</v>
      </c>
      <c r="G261" s="230">
        <v>45414</v>
      </c>
      <c r="H261" s="235">
        <v>45506</v>
      </c>
      <c r="I261" s="247">
        <f t="shared" ca="1" si="33"/>
        <v>2.4996961668938202E-2</v>
      </c>
      <c r="J261" s="248">
        <v>25</v>
      </c>
      <c r="K261" s="506">
        <v>26.74</v>
      </c>
      <c r="L261" s="507">
        <f>4000/K261</f>
        <v>149.58863126402395</v>
      </c>
      <c r="M261" s="249">
        <f t="shared" si="41"/>
        <v>4000</v>
      </c>
      <c r="N261" s="249">
        <f t="shared" si="35"/>
        <v>3739.7157816005988</v>
      </c>
      <c r="O261" s="508">
        <f t="shared" si="36"/>
        <v>-260.2842183994012</v>
      </c>
      <c r="P261" s="509">
        <f t="shared" si="37"/>
        <v>-6.5071054599850409E-2</v>
      </c>
      <c r="Q261" s="282">
        <f t="shared" si="40"/>
        <v>92</v>
      </c>
      <c r="R261" s="4" t="s">
        <v>62</v>
      </c>
      <c r="S261" s="14"/>
      <c r="T261" s="14"/>
      <c r="U261" s="14"/>
      <c r="V261" s="14"/>
      <c r="W261" s="14"/>
      <c r="X261" s="14"/>
      <c r="Y261" s="14"/>
      <c r="Z261" s="14"/>
      <c r="AA261" s="14"/>
      <c r="AB261" s="14"/>
      <c r="AC261" s="14"/>
      <c r="AD261" s="14"/>
      <c r="AE261" s="14"/>
      <c r="AF261" s="14"/>
      <c r="AG261" s="14"/>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row>
    <row r="262" spans="1:79" ht="15.75" customHeight="1">
      <c r="A262" s="14"/>
      <c r="B262" s="28" t="s">
        <v>277</v>
      </c>
      <c r="C262" s="510" t="str">
        <f ca="1">IFERROR(__xludf.DUMMYFUNCTION("GoogleFinance(B262,""name"")"),"Target Corp")</f>
        <v>Target Corp</v>
      </c>
      <c r="D262" s="511">
        <f ca="1">IFERROR(__xludf.DUMMYFUNCTION("GoogleFinance(B262,""marketcap"")/1000000"),39918.960241)</f>
        <v>39918.960241000001</v>
      </c>
      <c r="E262" s="512" t="s">
        <v>18</v>
      </c>
      <c r="F262" s="512" t="s">
        <v>278</v>
      </c>
      <c r="G262" s="381">
        <v>45434</v>
      </c>
      <c r="H262" s="381">
        <v>45509</v>
      </c>
      <c r="I262" s="513">
        <f t="shared" ca="1" si="33"/>
        <v>3.7628633814267905E-2</v>
      </c>
      <c r="J262" s="295">
        <v>139</v>
      </c>
      <c r="K262" s="514">
        <v>144.16999999999999</v>
      </c>
      <c r="L262" s="515">
        <v>40.5</v>
      </c>
      <c r="M262" s="516">
        <f t="shared" si="41"/>
        <v>5838.8849999999993</v>
      </c>
      <c r="N262" s="517">
        <f t="shared" si="35"/>
        <v>5629.5</v>
      </c>
      <c r="O262" s="517">
        <f t="shared" si="36"/>
        <v>-209.38499999999931</v>
      </c>
      <c r="P262" s="422">
        <f t="shared" si="37"/>
        <v>-3.5860442533120485E-2</v>
      </c>
      <c r="Q262" s="282">
        <f t="shared" si="40"/>
        <v>75</v>
      </c>
      <c r="R262" s="4" t="s">
        <v>62</v>
      </c>
      <c r="S262" s="14"/>
      <c r="T262" s="14"/>
      <c r="U262" s="14"/>
      <c r="V262" s="14"/>
      <c r="W262" s="14"/>
      <c r="X262" s="14"/>
      <c r="Y262" s="14"/>
      <c r="Z262" s="14"/>
      <c r="AA262" s="14"/>
      <c r="AB262" s="14"/>
      <c r="AC262" s="14"/>
      <c r="AD262" s="14"/>
      <c r="AE262" s="14"/>
      <c r="AF262" s="14"/>
      <c r="AG262" s="14"/>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row>
    <row r="263" spans="1:79" ht="15.75" customHeight="1">
      <c r="A263" s="14"/>
      <c r="B263" s="7" t="s">
        <v>328</v>
      </c>
      <c r="C263" s="377" t="str">
        <f ca="1">IFERROR(__xludf.DUMMYFUNCTION("GoogleFinance(B263,""name"")"),"BP PLC")</f>
        <v>BP PLC</v>
      </c>
      <c r="D263" s="378">
        <f ca="1">IFERROR(__xludf.DUMMYFUNCTION("GoogleFinance(B263,""marketcap"")/1000000"),69776.113022)</f>
        <v>69776.113022000005</v>
      </c>
      <c r="E263" s="379" t="s">
        <v>15</v>
      </c>
      <c r="F263" s="379" t="s">
        <v>295</v>
      </c>
      <c r="G263" s="235">
        <v>45203</v>
      </c>
      <c r="H263" s="381">
        <v>45510</v>
      </c>
      <c r="I263" s="300">
        <f t="shared" ca="1" si="33"/>
        <v>2.4670021433003907E-2</v>
      </c>
      <c r="J263" s="382">
        <v>33</v>
      </c>
      <c r="K263" s="324">
        <f>(36.4+35.23)/2</f>
        <v>35.814999999999998</v>
      </c>
      <c r="L263" s="383">
        <f>2000/K263-27+27 +56</f>
        <v>111.84252408208852</v>
      </c>
      <c r="M263" s="313">
        <f t="shared" si="41"/>
        <v>4005.64</v>
      </c>
      <c r="N263" s="384">
        <f t="shared" si="35"/>
        <v>3690.8032947089209</v>
      </c>
      <c r="O263" s="384">
        <f t="shared" si="36"/>
        <v>-314.83670529107894</v>
      </c>
      <c r="P263" s="254">
        <f t="shared" si="37"/>
        <v>-7.8598352645539493E-2</v>
      </c>
      <c r="Q263" s="282">
        <f t="shared" si="40"/>
        <v>307</v>
      </c>
      <c r="R263" s="4" t="s">
        <v>62</v>
      </c>
      <c r="S263" s="14"/>
      <c r="T263" s="14"/>
      <c r="U263" s="14"/>
      <c r="V263" s="14"/>
      <c r="W263" s="14"/>
      <c r="X263" s="14"/>
      <c r="Y263" s="14"/>
      <c r="Z263" s="14"/>
      <c r="AA263" s="14"/>
      <c r="AB263" s="14"/>
      <c r="AC263" s="14"/>
      <c r="AD263" s="14"/>
      <c r="AE263" s="14"/>
      <c r="AF263" s="14"/>
      <c r="AG263" s="14"/>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row>
    <row r="264" spans="1:79" ht="15.75" customHeight="1">
      <c r="A264" s="29"/>
      <c r="B264" s="1" t="s">
        <v>322</v>
      </c>
      <c r="C264" s="233" t="str">
        <f ca="1">IFERROR(__xludf.DUMMYFUNCTION("GoogleFinance(B264,""name"")"),"Procter &amp; Gamble Co")</f>
        <v>Procter &amp; Gamble Co</v>
      </c>
      <c r="D264" s="234">
        <f ca="1">IFERROR(__xludf.DUMMYFUNCTION("GoogleFinance(B264,""marketcap"")/1000000"),356923.9625)</f>
        <v>356923.96250000002</v>
      </c>
      <c r="E264" s="229" t="s">
        <v>18</v>
      </c>
      <c r="F264" s="229" t="s">
        <v>323</v>
      </c>
      <c r="G264" s="235">
        <v>45184</v>
      </c>
      <c r="H264" s="381">
        <v>45526</v>
      </c>
      <c r="I264" s="10">
        <f t="shared" ca="1" si="33"/>
        <v>1.7014599409222658E-2</v>
      </c>
      <c r="J264" s="236">
        <v>169.7</v>
      </c>
      <c r="K264" s="237">
        <v>154.91</v>
      </c>
      <c r="L264" s="238">
        <v>15</v>
      </c>
      <c r="M264" s="239">
        <f t="shared" si="41"/>
        <v>2323.65</v>
      </c>
      <c r="N264" s="226">
        <f t="shared" si="35"/>
        <v>2545.5</v>
      </c>
      <c r="O264" s="226">
        <f t="shared" si="36"/>
        <v>221.84999999999991</v>
      </c>
      <c r="P264" s="254">
        <f t="shared" si="37"/>
        <v>9.5474791814601945E-2</v>
      </c>
      <c r="Q264" s="282">
        <f t="shared" si="40"/>
        <v>342</v>
      </c>
      <c r="R264" s="4" t="s">
        <v>266</v>
      </c>
      <c r="S264" s="14"/>
      <c r="T264" s="14"/>
      <c r="U264" s="14"/>
      <c r="V264" s="14"/>
      <c r="W264" s="14"/>
      <c r="X264" s="14"/>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row>
    <row r="265" spans="1:79" ht="15.75" customHeight="1">
      <c r="A265" s="29"/>
      <c r="B265" s="7" t="s">
        <v>307</v>
      </c>
      <c r="C265" s="377" t="str">
        <f ca="1">IFERROR(__xludf.DUMMYFUNCTION("GoogleFinance(B265,""name"")"),"T-Mobile Us Inc")</f>
        <v>T-Mobile Us Inc</v>
      </c>
      <c r="D265" s="378">
        <f ca="1">IFERROR(__xludf.DUMMYFUNCTION("GoogleFinance(B265,""marketcap"")/1000000"),267253.251303)</f>
        <v>267253.25130300003</v>
      </c>
      <c r="E265" s="379" t="s">
        <v>13</v>
      </c>
      <c r="F265" s="379" t="s">
        <v>83</v>
      </c>
      <c r="G265" s="380">
        <v>45191</v>
      </c>
      <c r="H265" s="381">
        <v>45526</v>
      </c>
      <c r="I265" s="300">
        <f t="shared" ca="1" si="33"/>
        <v>1.3101007598537186E-2</v>
      </c>
      <c r="J265" s="382">
        <v>196</v>
      </c>
      <c r="K265" s="324">
        <v>139.5</v>
      </c>
      <c r="L265" s="383">
        <v>10</v>
      </c>
      <c r="M265" s="313">
        <f t="shared" si="41"/>
        <v>1395</v>
      </c>
      <c r="N265" s="384">
        <f t="shared" si="35"/>
        <v>1960</v>
      </c>
      <c r="O265" s="384">
        <f t="shared" si="36"/>
        <v>565</v>
      </c>
      <c r="P265" s="254">
        <f t="shared" si="37"/>
        <v>0.40501792114695334</v>
      </c>
      <c r="Q265" s="282">
        <f t="shared" si="40"/>
        <v>335</v>
      </c>
      <c r="R265" s="4" t="s">
        <v>266</v>
      </c>
      <c r="S265" s="14"/>
      <c r="T265" s="14"/>
      <c r="U265" s="14"/>
      <c r="V265" s="14"/>
      <c r="W265" s="14"/>
      <c r="X265" s="14"/>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row>
    <row r="266" spans="1:79" ht="15.75" customHeight="1">
      <c r="A266" s="29"/>
      <c r="B266" s="389" t="s">
        <v>182</v>
      </c>
      <c r="C266" s="377" t="str">
        <f ca="1">IFERROR(__xludf.DUMMYFUNCTION("GoogleFinance(B266,""name"")"),"UnitedHealth Group Inc")</f>
        <v>UnitedHealth Group Inc</v>
      </c>
      <c r="D266" s="378">
        <f ca="1">IFERROR(__xludf.DUMMYFUNCTION("GoogleFinance(B266,""marketcap"")/1000000"),311624.160126)</f>
        <v>311624.160126</v>
      </c>
      <c r="E266" s="379" t="s">
        <v>17</v>
      </c>
      <c r="F266" s="379" t="s">
        <v>272</v>
      </c>
      <c r="G266" s="439">
        <v>45497</v>
      </c>
      <c r="H266" s="381">
        <v>45526</v>
      </c>
      <c r="I266" s="300">
        <f t="shared" ca="1" si="33"/>
        <v>7.7108787579961719E-3</v>
      </c>
      <c r="J266" s="382">
        <v>576.79999999999995</v>
      </c>
      <c r="K266" s="324">
        <v>558</v>
      </c>
      <c r="L266" s="383">
        <v>2</v>
      </c>
      <c r="M266" s="313">
        <f t="shared" si="41"/>
        <v>1116</v>
      </c>
      <c r="N266" s="384">
        <f t="shared" si="35"/>
        <v>1153.5999999999999</v>
      </c>
      <c r="O266" s="384">
        <f t="shared" si="36"/>
        <v>37.599999999999909</v>
      </c>
      <c r="P266" s="254">
        <f t="shared" si="37"/>
        <v>3.3691756272401285E-2</v>
      </c>
      <c r="Q266" s="282">
        <f t="shared" si="40"/>
        <v>29</v>
      </c>
      <c r="R266" s="4" t="s">
        <v>266</v>
      </c>
      <c r="S266" s="14"/>
      <c r="T266" s="14"/>
      <c r="U266" s="14"/>
      <c r="V266" s="14"/>
      <c r="W266" s="14"/>
      <c r="X266" s="14"/>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row>
    <row r="267" spans="1:79" ht="15.75" customHeight="1">
      <c r="A267" s="29"/>
      <c r="B267" s="1" t="s">
        <v>82</v>
      </c>
      <c r="C267" s="438" t="str">
        <f ca="1">IFERROR(__xludf.DUMMYFUNCTION("GoogleFinance(B267,""name"")"),"Verizon Communications Inc")</f>
        <v>Verizon Communications Inc</v>
      </c>
      <c r="D267" s="234">
        <f ca="1">IFERROR(__xludf.DUMMYFUNCTION("GoogleFinance(B267,""marketcap"")/1000000"),183873.935823)</f>
        <v>183873.93582300001</v>
      </c>
      <c r="E267" s="229" t="s">
        <v>13</v>
      </c>
      <c r="F267" s="229" t="s">
        <v>83</v>
      </c>
      <c r="G267" s="439">
        <v>45489</v>
      </c>
      <c r="H267" s="381">
        <v>45526</v>
      </c>
      <c r="I267" s="10">
        <f t="shared" ca="1" si="33"/>
        <v>8.1814455615354682E-3</v>
      </c>
      <c r="J267" s="236">
        <v>40.799999999999997</v>
      </c>
      <c r="K267" s="237">
        <v>41.9</v>
      </c>
      <c r="L267" s="238">
        <v>30</v>
      </c>
      <c r="M267" s="239">
        <f t="shared" si="41"/>
        <v>1257</v>
      </c>
      <c r="N267" s="226">
        <f t="shared" si="35"/>
        <v>1224</v>
      </c>
      <c r="O267" s="440">
        <f t="shared" si="36"/>
        <v>-33</v>
      </c>
      <c r="P267" s="441">
        <f t="shared" si="37"/>
        <v>-2.6252983293556076E-2</v>
      </c>
      <c r="Q267" s="282">
        <f t="shared" si="40"/>
        <v>37</v>
      </c>
      <c r="R267" s="4" t="s">
        <v>266</v>
      </c>
      <c r="S267" s="14"/>
      <c r="T267" s="14"/>
      <c r="U267" s="14"/>
      <c r="V267" s="14"/>
      <c r="W267" s="14"/>
      <c r="X267" s="14"/>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row>
    <row r="268" spans="1:79" ht="15.75" customHeight="1">
      <c r="A268" s="29"/>
      <c r="B268" s="7" t="s">
        <v>25</v>
      </c>
      <c r="C268" s="377" t="str">
        <f ca="1">IFERROR(__xludf.DUMMYFUNCTION("GoogleFinance(B268,""name"")"),"VanEck Gold Miners ETF")</f>
        <v>VanEck Gold Miners ETF</v>
      </c>
      <c r="D268" s="378" t="str">
        <f ca="1">IFERROR(__xludf.DUMMYFUNCTION("GoogleFinance(B268,""marketcap"")/1000000"),"#N/A")</f>
        <v>#N/A</v>
      </c>
      <c r="E268" s="379" t="s">
        <v>12</v>
      </c>
      <c r="F268" s="379" t="s">
        <v>288</v>
      </c>
      <c r="G268" s="380">
        <v>45498</v>
      </c>
      <c r="H268" s="381">
        <v>45526</v>
      </c>
      <c r="I268" s="300">
        <f t="shared" ca="1" si="33"/>
        <v>7.7402891832173788E-3</v>
      </c>
      <c r="J268" s="382">
        <v>38.6</v>
      </c>
      <c r="K268" s="324">
        <v>36.299999999999997</v>
      </c>
      <c r="L268" s="383">
        <v>30</v>
      </c>
      <c r="M268" s="313">
        <f t="shared" si="41"/>
        <v>1089</v>
      </c>
      <c r="N268" s="384">
        <f t="shared" si="35"/>
        <v>1158</v>
      </c>
      <c r="O268" s="384">
        <f t="shared" si="36"/>
        <v>69</v>
      </c>
      <c r="P268" s="254">
        <f t="shared" si="37"/>
        <v>6.336088154269981E-2</v>
      </c>
      <c r="Q268" s="282">
        <f t="shared" si="40"/>
        <v>28</v>
      </c>
      <c r="R268" s="4" t="s">
        <v>266</v>
      </c>
      <c r="S268" s="14"/>
      <c r="T268" s="14"/>
      <c r="U268" s="14"/>
      <c r="V268" s="14"/>
      <c r="W268" s="14"/>
      <c r="X268" s="14"/>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row>
    <row r="269" spans="1:79" ht="15.75" customHeight="1">
      <c r="A269" s="29"/>
      <c r="B269" s="7" t="s">
        <v>40</v>
      </c>
      <c r="C269" s="377" t="str">
        <f ca="1">IFERROR(__xludf.DUMMYFUNCTION("GoogleFinance(B269,""name"")"),"iShares Silver Trust")</f>
        <v>iShares Silver Trust</v>
      </c>
      <c r="D269" s="378">
        <f ca="1">IFERROR(__xludf.DUMMYFUNCTION("GoogleFinance(B269,""marketcap"")/1000000"),16781.674244)</f>
        <v>16781.674244000002</v>
      </c>
      <c r="E269" s="379" t="s">
        <v>38</v>
      </c>
      <c r="F269" s="379" t="s">
        <v>41</v>
      </c>
      <c r="G269" s="380">
        <v>45498</v>
      </c>
      <c r="H269" s="381">
        <v>45526</v>
      </c>
      <c r="I269" s="300">
        <f t="shared" ca="1" si="33"/>
        <v>7.085238803290519E-3</v>
      </c>
      <c r="J269" s="382">
        <v>26.5</v>
      </c>
      <c r="K269" s="324">
        <v>25.4</v>
      </c>
      <c r="L269" s="383">
        <v>40</v>
      </c>
      <c r="M269" s="313">
        <f t="shared" si="41"/>
        <v>1016</v>
      </c>
      <c r="N269" s="384">
        <f t="shared" si="35"/>
        <v>1060</v>
      </c>
      <c r="O269" s="384">
        <f t="shared" si="36"/>
        <v>44</v>
      </c>
      <c r="P269" s="254">
        <f t="shared" si="37"/>
        <v>4.3307086614173373E-2</v>
      </c>
      <c r="Q269" s="282">
        <f t="shared" si="40"/>
        <v>28</v>
      </c>
      <c r="R269" s="4" t="s">
        <v>266</v>
      </c>
      <c r="S269" s="14"/>
      <c r="T269" s="14"/>
      <c r="U269" s="14"/>
      <c r="V269" s="14"/>
      <c r="W269" s="14"/>
      <c r="X269" s="14"/>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row>
    <row r="270" spans="1:79" ht="15.75" customHeight="1">
      <c r="A270" s="29"/>
      <c r="B270" s="7" t="s">
        <v>43</v>
      </c>
      <c r="C270" s="377" t="str">
        <f ca="1">IFERROR(__xludf.DUMMYFUNCTION("GoogleFinance(B270,""name"")"),"iShares Bitcoin Trust ETF")</f>
        <v>iShares Bitcoin Trust ETF</v>
      </c>
      <c r="D270" s="378">
        <f ca="1">IFERROR(__xludf.DUMMYFUNCTION("GoogleFinance(B270,""marketcap"")/1000000"),179080.091223)</f>
        <v>179080.091223</v>
      </c>
      <c r="E270" s="379" t="s">
        <v>151</v>
      </c>
      <c r="F270" s="379" t="s">
        <v>44</v>
      </c>
      <c r="G270" s="380">
        <v>45509</v>
      </c>
      <c r="H270" s="381">
        <v>45526</v>
      </c>
      <c r="I270" s="300">
        <f t="shared" ca="1" si="33"/>
        <v>4.6120894096891114E-3</v>
      </c>
      <c r="J270" s="382">
        <v>34.5</v>
      </c>
      <c r="K270" s="324">
        <v>30.8</v>
      </c>
      <c r="L270" s="383">
        <v>20</v>
      </c>
      <c r="M270" s="313">
        <f t="shared" si="41"/>
        <v>616</v>
      </c>
      <c r="N270" s="384">
        <f t="shared" si="35"/>
        <v>690</v>
      </c>
      <c r="O270" s="384">
        <f t="shared" si="36"/>
        <v>74</v>
      </c>
      <c r="P270" s="254">
        <f t="shared" si="37"/>
        <v>0.12012987012987009</v>
      </c>
      <c r="Q270" s="282">
        <f t="shared" si="40"/>
        <v>17</v>
      </c>
      <c r="R270" s="4" t="s">
        <v>266</v>
      </c>
      <c r="S270" s="14"/>
      <c r="T270" s="14"/>
      <c r="U270" s="14"/>
      <c r="V270" s="14"/>
      <c r="W270" s="14"/>
      <c r="X270" s="14"/>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row>
    <row r="271" spans="1:79" ht="15.75" customHeight="1">
      <c r="A271" s="29"/>
      <c r="B271" s="518" t="s">
        <v>156</v>
      </c>
      <c r="C271" s="519" t="str">
        <f ca="1">IFERROR(__xludf.DUMMYFUNCTION("GoogleFinance(B271,""name"")"),"Grayscale Ethereum Trust ETF")</f>
        <v>Grayscale Ethereum Trust ETF</v>
      </c>
      <c r="D271" s="520">
        <f ca="1">IFERROR(__xludf.DUMMYFUNCTION("GoogleFinance(B271,""marketcap"")/1000000"),4286.174091)</f>
        <v>4286.1740909999999</v>
      </c>
      <c r="E271" s="521" t="s">
        <v>151</v>
      </c>
      <c r="F271" s="521" t="s">
        <v>157</v>
      </c>
      <c r="G271" s="522">
        <v>45509</v>
      </c>
      <c r="H271" s="523">
        <v>45526</v>
      </c>
      <c r="I271" s="524">
        <f t="shared" ca="1" si="33"/>
        <v>5.9088217944422818E-3</v>
      </c>
      <c r="J271" s="525">
        <v>22.1</v>
      </c>
      <c r="K271" s="526">
        <v>20.2</v>
      </c>
      <c r="L271" s="527">
        <v>40</v>
      </c>
      <c r="M271" s="528">
        <f t="shared" si="41"/>
        <v>808</v>
      </c>
      <c r="N271" s="529">
        <f t="shared" si="35"/>
        <v>884</v>
      </c>
      <c r="O271" s="529">
        <f t="shared" si="36"/>
        <v>76</v>
      </c>
      <c r="P271" s="530">
        <f t="shared" si="37"/>
        <v>9.4059405940594143E-2</v>
      </c>
      <c r="Q271" s="531">
        <f t="shared" si="40"/>
        <v>17</v>
      </c>
      <c r="R271" s="532" t="s">
        <v>266</v>
      </c>
      <c r="S271" s="504"/>
      <c r="T271" s="504"/>
      <c r="U271" s="504"/>
      <c r="V271" s="504"/>
      <c r="W271" s="504"/>
      <c r="X271" s="504"/>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row>
    <row r="272" spans="1:79" ht="15.75" customHeight="1">
      <c r="A272" s="29"/>
      <c r="B272" s="12" t="s">
        <v>322</v>
      </c>
      <c r="C272" s="533" t="str">
        <f ca="1">IFERROR(__xludf.DUMMYFUNCTION("GoogleFinance(B272,""name"")"),"Procter &amp; Gamble Co")</f>
        <v>Procter &amp; Gamble Co</v>
      </c>
      <c r="D272" s="534">
        <f ca="1">IFERROR(__xludf.DUMMYFUNCTION("GoogleFinance(B272,""marketcap"")/1000000"),356923.9625)</f>
        <v>356923.96250000002</v>
      </c>
      <c r="E272" s="535" t="s">
        <v>18</v>
      </c>
      <c r="F272" s="535" t="s">
        <v>323</v>
      </c>
      <c r="G272" s="536">
        <v>45184</v>
      </c>
      <c r="H272" s="537">
        <v>45527</v>
      </c>
      <c r="I272" s="365">
        <f t="shared" ca="1" si="33"/>
        <v>1.6994546846571836E-2</v>
      </c>
      <c r="J272" s="538">
        <v>169.5</v>
      </c>
      <c r="K272" s="539">
        <v>154.91</v>
      </c>
      <c r="L272" s="540">
        <v>15</v>
      </c>
      <c r="M272" s="541">
        <f t="shared" si="41"/>
        <v>2323.65</v>
      </c>
      <c r="N272" s="542">
        <f t="shared" si="35"/>
        <v>2542.5</v>
      </c>
      <c r="O272" s="542">
        <f t="shared" si="36"/>
        <v>218.84999999999991</v>
      </c>
      <c r="P272" s="543">
        <f t="shared" si="37"/>
        <v>9.4183719579110425E-2</v>
      </c>
      <c r="Q272" s="544">
        <f t="shared" si="40"/>
        <v>343</v>
      </c>
      <c r="R272" s="340" t="s">
        <v>266</v>
      </c>
      <c r="S272" s="21"/>
      <c r="T272" s="21"/>
      <c r="U272" s="21"/>
      <c r="V272" s="21"/>
      <c r="W272" s="21"/>
      <c r="X272" s="21"/>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row>
    <row r="273" spans="1:79" ht="15.75" customHeight="1">
      <c r="A273" s="29"/>
      <c r="B273" s="7" t="s">
        <v>307</v>
      </c>
      <c r="C273" s="377" t="str">
        <f ca="1">IFERROR(__xludf.DUMMYFUNCTION("GoogleFinance(B273,""name"")"),"T-Mobile Us Inc")</f>
        <v>T-Mobile Us Inc</v>
      </c>
      <c r="D273" s="378">
        <f ca="1">IFERROR(__xludf.DUMMYFUNCTION("GoogleFinance(B273,""marketcap"")/1000000"),267253.251303)</f>
        <v>267253.25130300003</v>
      </c>
      <c r="E273" s="379" t="s">
        <v>13</v>
      </c>
      <c r="F273" s="379" t="s">
        <v>83</v>
      </c>
      <c r="G273" s="380">
        <v>45191</v>
      </c>
      <c r="H273" s="381">
        <v>45527</v>
      </c>
      <c r="I273" s="300">
        <f t="shared" ca="1" si="33"/>
        <v>1.3224665068217257E-2</v>
      </c>
      <c r="J273" s="382">
        <v>197.85</v>
      </c>
      <c r="K273" s="324">
        <v>139.5</v>
      </c>
      <c r="L273" s="383">
        <v>10</v>
      </c>
      <c r="M273" s="313">
        <f t="shared" si="41"/>
        <v>1395</v>
      </c>
      <c r="N273" s="384">
        <f t="shared" si="35"/>
        <v>1978.5</v>
      </c>
      <c r="O273" s="384">
        <f t="shared" si="36"/>
        <v>583.5</v>
      </c>
      <c r="P273" s="254">
        <f t="shared" si="37"/>
        <v>0.41827956989247306</v>
      </c>
      <c r="Q273" s="282">
        <f t="shared" si="40"/>
        <v>336</v>
      </c>
      <c r="R273" s="4" t="s">
        <v>266</v>
      </c>
      <c r="S273" s="14"/>
      <c r="T273" s="14"/>
      <c r="U273" s="14"/>
      <c r="V273" s="14"/>
      <c r="W273" s="14"/>
      <c r="X273" s="14"/>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row>
    <row r="274" spans="1:79" ht="15.75" customHeight="1">
      <c r="A274" s="29"/>
      <c r="B274" s="389" t="s">
        <v>182</v>
      </c>
      <c r="C274" s="377" t="str">
        <f ca="1">IFERROR(__xludf.DUMMYFUNCTION("GoogleFinance(B274,""name"")"),"UnitedHealth Group Inc")</f>
        <v>UnitedHealth Group Inc</v>
      </c>
      <c r="D274" s="378">
        <f ca="1">IFERROR(__xludf.DUMMYFUNCTION("GoogleFinance(B274,""marketcap"")/1000000"),311624.160126)</f>
        <v>311624.160126</v>
      </c>
      <c r="E274" s="379" t="s">
        <v>17</v>
      </c>
      <c r="F274" s="379" t="s">
        <v>272</v>
      </c>
      <c r="G274" s="439">
        <v>45497</v>
      </c>
      <c r="H274" s="381">
        <v>45527</v>
      </c>
      <c r="I274" s="300">
        <f t="shared" ca="1" si="33"/>
        <v>7.7937626836195708E-3</v>
      </c>
      <c r="J274" s="382">
        <v>583</v>
      </c>
      <c r="K274" s="324">
        <v>558</v>
      </c>
      <c r="L274" s="383">
        <v>2</v>
      </c>
      <c r="M274" s="313">
        <f t="shared" si="41"/>
        <v>1116</v>
      </c>
      <c r="N274" s="384">
        <f t="shared" si="35"/>
        <v>1166</v>
      </c>
      <c r="O274" s="384">
        <f t="shared" si="36"/>
        <v>50</v>
      </c>
      <c r="P274" s="254">
        <f t="shared" si="37"/>
        <v>4.4802867383512579E-2</v>
      </c>
      <c r="Q274" s="282">
        <f t="shared" si="40"/>
        <v>30</v>
      </c>
      <c r="R274" s="4" t="s">
        <v>266</v>
      </c>
      <c r="S274" s="14"/>
      <c r="T274" s="14"/>
      <c r="U274" s="14"/>
      <c r="V274" s="14"/>
      <c r="W274" s="14"/>
      <c r="X274" s="14"/>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row>
    <row r="275" spans="1:79" ht="15.75" customHeight="1">
      <c r="A275" s="29"/>
      <c r="B275" s="1" t="s">
        <v>82</v>
      </c>
      <c r="C275" s="438" t="str">
        <f ca="1">IFERROR(__xludf.DUMMYFUNCTION("GoogleFinance(B275,""name"")"),"Verizon Communications Inc")</f>
        <v>Verizon Communications Inc</v>
      </c>
      <c r="D275" s="234">
        <f ca="1">IFERROR(__xludf.DUMMYFUNCTION("GoogleFinance(B275,""marketcap"")/1000000"),183873.935823)</f>
        <v>183873.93582300001</v>
      </c>
      <c r="E275" s="229" t="s">
        <v>13</v>
      </c>
      <c r="F275" s="229" t="s">
        <v>83</v>
      </c>
      <c r="G275" s="439">
        <v>45489</v>
      </c>
      <c r="H275" s="381">
        <v>45527</v>
      </c>
      <c r="I275" s="10">
        <f t="shared" ca="1" si="33"/>
        <v>8.2215506868371126E-3</v>
      </c>
      <c r="J275" s="236">
        <v>41</v>
      </c>
      <c r="K275" s="237">
        <v>41.9</v>
      </c>
      <c r="L275" s="238">
        <v>30</v>
      </c>
      <c r="M275" s="239">
        <f t="shared" si="41"/>
        <v>1257</v>
      </c>
      <c r="N275" s="226">
        <f t="shared" si="35"/>
        <v>1230</v>
      </c>
      <c r="O275" s="440">
        <f t="shared" si="36"/>
        <v>-27</v>
      </c>
      <c r="P275" s="441">
        <f t="shared" si="37"/>
        <v>-2.1479713603818618E-2</v>
      </c>
      <c r="Q275" s="282">
        <f t="shared" si="40"/>
        <v>38</v>
      </c>
      <c r="R275" s="4" t="s">
        <v>266</v>
      </c>
      <c r="S275" s="14"/>
      <c r="T275" s="14"/>
      <c r="U275" s="14"/>
      <c r="V275" s="14"/>
      <c r="W275" s="14"/>
      <c r="X275" s="14"/>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row>
    <row r="276" spans="1:79" ht="15.75" customHeight="1">
      <c r="A276" s="29"/>
      <c r="B276" s="7" t="s">
        <v>25</v>
      </c>
      <c r="C276" s="377" t="str">
        <f ca="1">IFERROR(__xludf.DUMMYFUNCTION("GoogleFinance(B276,""name"")"),"VanEck Gold Miners ETF")</f>
        <v>VanEck Gold Miners ETF</v>
      </c>
      <c r="D276" s="378" t="str">
        <f ca="1">IFERROR(__xludf.DUMMYFUNCTION("GoogleFinance(B276,""marketcap"")/1000000"),"#N/A")</f>
        <v>#N/A</v>
      </c>
      <c r="E276" s="379" t="s">
        <v>12</v>
      </c>
      <c r="F276" s="379" t="s">
        <v>288</v>
      </c>
      <c r="G276" s="380">
        <v>45498</v>
      </c>
      <c r="H276" s="381">
        <v>45527</v>
      </c>
      <c r="I276" s="300">
        <f t="shared" ca="1" si="33"/>
        <v>7.9007096844239556E-3</v>
      </c>
      <c r="J276" s="382">
        <v>39.4</v>
      </c>
      <c r="K276" s="324">
        <v>36.299999999999997</v>
      </c>
      <c r="L276" s="383">
        <v>30</v>
      </c>
      <c r="M276" s="313">
        <f t="shared" si="41"/>
        <v>1089</v>
      </c>
      <c r="N276" s="384">
        <f t="shared" si="35"/>
        <v>1182</v>
      </c>
      <c r="O276" s="384">
        <f t="shared" si="36"/>
        <v>93</v>
      </c>
      <c r="P276" s="254">
        <f t="shared" si="37"/>
        <v>8.5399449035812758E-2</v>
      </c>
      <c r="Q276" s="282">
        <f t="shared" si="40"/>
        <v>29</v>
      </c>
      <c r="R276" s="4" t="s">
        <v>266</v>
      </c>
      <c r="S276" s="14"/>
      <c r="T276" s="14"/>
      <c r="U276" s="14"/>
      <c r="V276" s="14"/>
      <c r="W276" s="14"/>
      <c r="X276" s="14"/>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row>
    <row r="277" spans="1:79" ht="15.75" customHeight="1">
      <c r="A277" s="29"/>
      <c r="B277" s="7" t="s">
        <v>40</v>
      </c>
      <c r="C277" s="377" t="str">
        <f ca="1">IFERROR(__xludf.DUMMYFUNCTION("GoogleFinance(B277,""name"")"),"iShares Silver Trust")</f>
        <v>iShares Silver Trust</v>
      </c>
      <c r="D277" s="378">
        <f ca="1">IFERROR(__xludf.DUMMYFUNCTION("GoogleFinance(B277,""marketcap"")/1000000"),16781.674244)</f>
        <v>16781.674244000002</v>
      </c>
      <c r="E277" s="379" t="s">
        <v>38</v>
      </c>
      <c r="F277" s="379" t="s">
        <v>41</v>
      </c>
      <c r="G277" s="380">
        <v>45498</v>
      </c>
      <c r="H277" s="381">
        <v>45527</v>
      </c>
      <c r="I277" s="300">
        <f t="shared" ca="1" si="33"/>
        <v>7.2189225542960006E-3</v>
      </c>
      <c r="J277" s="382">
        <v>27</v>
      </c>
      <c r="K277" s="324">
        <v>25.4</v>
      </c>
      <c r="L277" s="383">
        <v>40</v>
      </c>
      <c r="M277" s="313">
        <f t="shared" si="41"/>
        <v>1016</v>
      </c>
      <c r="N277" s="384">
        <f t="shared" si="35"/>
        <v>1080</v>
      </c>
      <c r="O277" s="384">
        <f t="shared" si="36"/>
        <v>64</v>
      </c>
      <c r="P277" s="254">
        <f t="shared" si="37"/>
        <v>6.2992125984252079E-2</v>
      </c>
      <c r="Q277" s="282">
        <f t="shared" si="40"/>
        <v>29</v>
      </c>
      <c r="R277" s="4" t="s">
        <v>266</v>
      </c>
      <c r="S277" s="14"/>
      <c r="T277" s="14"/>
      <c r="U277" s="14"/>
      <c r="V277" s="14"/>
      <c r="W277" s="14"/>
      <c r="X277" s="14"/>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row>
    <row r="278" spans="1:79" ht="15.75" customHeight="1">
      <c r="A278" s="29"/>
      <c r="B278" s="7" t="s">
        <v>43</v>
      </c>
      <c r="C278" s="377" t="str">
        <f ca="1">IFERROR(__xludf.DUMMYFUNCTION("GoogleFinance(B278,""name"")"),"iShares Bitcoin Trust ETF")</f>
        <v>iShares Bitcoin Trust ETF</v>
      </c>
      <c r="D278" s="378">
        <f ca="1">IFERROR(__xludf.DUMMYFUNCTION("GoogleFinance(B278,""marketcap"")/1000000"),179080.091223)</f>
        <v>179080.091223</v>
      </c>
      <c r="E278" s="379" t="s">
        <v>151</v>
      </c>
      <c r="F278" s="379" t="s">
        <v>44</v>
      </c>
      <c r="G278" s="380">
        <v>45509</v>
      </c>
      <c r="H278" s="381">
        <v>45527</v>
      </c>
      <c r="I278" s="300">
        <f t="shared" ca="1" si="33"/>
        <v>4.6789312851918527E-3</v>
      </c>
      <c r="J278" s="382">
        <v>35</v>
      </c>
      <c r="K278" s="324">
        <v>30.8</v>
      </c>
      <c r="L278" s="383">
        <v>20</v>
      </c>
      <c r="M278" s="313">
        <f t="shared" si="41"/>
        <v>616</v>
      </c>
      <c r="N278" s="384">
        <f t="shared" si="35"/>
        <v>700</v>
      </c>
      <c r="O278" s="384">
        <f t="shared" si="36"/>
        <v>84</v>
      </c>
      <c r="P278" s="254">
        <f t="shared" si="37"/>
        <v>0.13636363636363624</v>
      </c>
      <c r="Q278" s="282">
        <f t="shared" si="40"/>
        <v>18</v>
      </c>
      <c r="R278" s="4" t="s">
        <v>266</v>
      </c>
      <c r="S278" s="14"/>
      <c r="T278" s="14"/>
      <c r="U278" s="14"/>
      <c r="V278" s="14"/>
      <c r="W278" s="14"/>
      <c r="X278" s="14"/>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row>
    <row r="279" spans="1:79" ht="15.75" customHeight="1">
      <c r="A279" s="29"/>
      <c r="B279" s="7" t="s">
        <v>156</v>
      </c>
      <c r="C279" s="377" t="str">
        <f ca="1">IFERROR(__xludf.DUMMYFUNCTION("GoogleFinance(B279,""name"")"),"Grayscale Ethereum Trust ETF")</f>
        <v>Grayscale Ethereum Trust ETF</v>
      </c>
      <c r="D279" s="378">
        <f ca="1">IFERROR(__xludf.DUMMYFUNCTION("GoogleFinance(B279,""marketcap"")/1000000"),4286.174091)</f>
        <v>4286.1740909999999</v>
      </c>
      <c r="E279" s="379" t="s">
        <v>151</v>
      </c>
      <c r="F279" s="379" t="s">
        <v>157</v>
      </c>
      <c r="G279" s="380">
        <v>45509</v>
      </c>
      <c r="H279" s="381">
        <v>45527</v>
      </c>
      <c r="I279" s="300">
        <f t="shared" ca="1" si="33"/>
        <v>6.0425055454477634E-3</v>
      </c>
      <c r="J279" s="382">
        <v>22.6</v>
      </c>
      <c r="K279" s="324">
        <v>20.2</v>
      </c>
      <c r="L279" s="383">
        <v>40</v>
      </c>
      <c r="M279" s="313">
        <f t="shared" si="41"/>
        <v>808</v>
      </c>
      <c r="N279" s="384">
        <f t="shared" si="35"/>
        <v>904</v>
      </c>
      <c r="O279" s="384">
        <f t="shared" si="36"/>
        <v>96</v>
      </c>
      <c r="P279" s="254">
        <f t="shared" si="37"/>
        <v>0.11881188118811892</v>
      </c>
      <c r="Q279" s="282">
        <f t="shared" si="40"/>
        <v>18</v>
      </c>
      <c r="R279" s="4" t="s">
        <v>266</v>
      </c>
      <c r="S279" s="14"/>
      <c r="T279" s="14"/>
      <c r="U279" s="14"/>
      <c r="V279" s="14"/>
      <c r="W279" s="14"/>
      <c r="X279" s="14"/>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row>
    <row r="280" spans="1:79" ht="15.75" customHeight="1">
      <c r="A280" s="29"/>
      <c r="B280" s="290" t="s">
        <v>329</v>
      </c>
      <c r="C280" s="271" t="str">
        <f ca="1">IFERROR(__xludf.DUMMYFUNCTION("GoogleFinance(B280,""name"")"),"Cigna Group")</f>
        <v>Cigna Group</v>
      </c>
      <c r="D280" s="272">
        <f ca="1">IFERROR(__xludf.DUMMYFUNCTION("GoogleFinance(B280,""marketcap"")/1000000"),76386.789344)</f>
        <v>76386.789344000004</v>
      </c>
      <c r="E280" s="273" t="s">
        <v>17</v>
      </c>
      <c r="F280" s="273" t="s">
        <v>272</v>
      </c>
      <c r="G280" s="442">
        <v>45489</v>
      </c>
      <c r="H280" s="381">
        <v>45527</v>
      </c>
      <c r="I280" s="276">
        <f t="shared" ca="1" si="33"/>
        <v>9.3204311201021701E-3</v>
      </c>
      <c r="J280" s="277">
        <v>348.6</v>
      </c>
      <c r="K280" s="278">
        <v>340.8</v>
      </c>
      <c r="L280" s="279">
        <v>4</v>
      </c>
      <c r="M280" s="280">
        <f t="shared" si="41"/>
        <v>1363.2</v>
      </c>
      <c r="N280" s="281">
        <f t="shared" si="35"/>
        <v>1394.4</v>
      </c>
      <c r="O280" s="281">
        <f t="shared" si="36"/>
        <v>31.200000000000045</v>
      </c>
      <c r="P280" s="275">
        <f t="shared" si="37"/>
        <v>2.2887323943661997E-2</v>
      </c>
      <c r="Q280" s="282">
        <f t="shared" ref="Q280:Q284" ca="1" si="42">TODAY()-G280</f>
        <v>440</v>
      </c>
      <c r="R280" s="4" t="s">
        <v>266</v>
      </c>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row>
    <row r="281" spans="1:79" ht="15.75" customHeight="1">
      <c r="A281" s="29"/>
      <c r="B281" s="270" t="s">
        <v>269</v>
      </c>
      <c r="C281" s="271" t="str">
        <f ca="1">IFERROR(__xludf.DUMMYFUNCTION("GoogleFinance(B281,""name"")"),"Alibaba Group Holding Ltd - ADR")</f>
        <v>Alibaba Group Holding Ltd - ADR</v>
      </c>
      <c r="D281" s="272">
        <f ca="1">IFERROR(__xludf.DUMMYFUNCTION("GoogleFinance(B281,""marketcap"")/1000000"),340928.957993)</f>
        <v>340928.95799299999</v>
      </c>
      <c r="E281" s="273" t="s">
        <v>128</v>
      </c>
      <c r="F281" s="273" t="s">
        <v>24</v>
      </c>
      <c r="G281" s="274">
        <v>45267</v>
      </c>
      <c r="H281" s="381">
        <v>45527</v>
      </c>
      <c r="I281" s="276">
        <f t="shared" ca="1" si="33"/>
        <v>5.701611980383786E-3</v>
      </c>
      <c r="J281" s="277">
        <v>85.3</v>
      </c>
      <c r="K281" s="278">
        <v>73.5</v>
      </c>
      <c r="L281" s="279">
        <v>10</v>
      </c>
      <c r="M281" s="280">
        <v>4000</v>
      </c>
      <c r="N281" s="281">
        <f t="shared" si="35"/>
        <v>853</v>
      </c>
      <c r="O281" s="281">
        <f t="shared" si="36"/>
        <v>-3147</v>
      </c>
      <c r="P281" s="275">
        <f t="shared" si="37"/>
        <v>0.16054421768707483</v>
      </c>
      <c r="Q281" s="282">
        <f t="shared" ca="1" si="42"/>
        <v>662</v>
      </c>
      <c r="R281" s="4" t="s">
        <v>266</v>
      </c>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row>
    <row r="282" spans="1:79" ht="15.75" customHeight="1">
      <c r="A282" s="29"/>
      <c r="B282" s="270" t="s">
        <v>271</v>
      </c>
      <c r="C282" s="271" t="str">
        <f ca="1">IFERROR(__xludf.DUMMYFUNCTION("GoogleFinance(B282,""name"")"),"Globant SA")</f>
        <v>Globant SA</v>
      </c>
      <c r="D282" s="272">
        <f ca="1">IFERROR(__xludf.DUMMYFUNCTION("GoogleFinance(B282,""marketcap"")/1000000"),2555.082861)</f>
        <v>2555.0828609999999</v>
      </c>
      <c r="E282" s="273" t="s">
        <v>7</v>
      </c>
      <c r="F282" s="273" t="s">
        <v>272</v>
      </c>
      <c r="G282" s="274">
        <v>45372</v>
      </c>
      <c r="H282" s="381">
        <v>45527</v>
      </c>
      <c r="I282" s="276">
        <f t="shared" ca="1" si="33"/>
        <v>6.7510294257768153E-3</v>
      </c>
      <c r="J282" s="277">
        <v>202</v>
      </c>
      <c r="K282" s="278">
        <f>(201.9+205.7+203.2)/3</f>
        <v>203.6</v>
      </c>
      <c r="L282" s="279">
        <v>5</v>
      </c>
      <c r="M282" s="280">
        <f t="shared" ref="M282:M291" si="43">L282*K282</f>
        <v>1018</v>
      </c>
      <c r="N282" s="281">
        <f t="shared" si="35"/>
        <v>1010</v>
      </c>
      <c r="O282" s="281">
        <f t="shared" si="36"/>
        <v>-8</v>
      </c>
      <c r="P282" s="275">
        <f t="shared" si="37"/>
        <v>-7.8585461689587577E-3</v>
      </c>
      <c r="Q282" s="282">
        <f t="shared" ca="1" si="42"/>
        <v>557</v>
      </c>
      <c r="R282" s="4" t="s">
        <v>266</v>
      </c>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row>
    <row r="283" spans="1:79" ht="15.75" customHeight="1">
      <c r="A283" s="29"/>
      <c r="B283" s="270" t="s">
        <v>145</v>
      </c>
      <c r="C283" s="271" t="str">
        <f ca="1">IFERROR(__xludf.DUMMYFUNCTION("GoogleFinance(B283,""name"")"),"Vista Energy SAB de CV - ADR")</f>
        <v>Vista Energy SAB de CV - ADR</v>
      </c>
      <c r="D283" s="272">
        <f ca="1">IFERROR(__xludf.DUMMYFUNCTION("GoogleFinance(B283,""marketcap"")/1000000"),3769.846995)</f>
        <v>3769.8469949999999</v>
      </c>
      <c r="E283" s="273" t="s">
        <v>15</v>
      </c>
      <c r="F283" s="273" t="s">
        <v>141</v>
      </c>
      <c r="G283" s="274">
        <v>45506</v>
      </c>
      <c r="H283" s="381">
        <v>45527</v>
      </c>
      <c r="I283" s="276">
        <f t="shared" ca="1" si="33"/>
        <v>4.9028515681260338E-3</v>
      </c>
      <c r="J283" s="277">
        <v>48.9</v>
      </c>
      <c r="K283" s="278">
        <v>40.450000000000003</v>
      </c>
      <c r="L283" s="279">
        <v>15</v>
      </c>
      <c r="M283" s="280">
        <f t="shared" si="43"/>
        <v>606.75</v>
      </c>
      <c r="N283" s="281">
        <f t="shared" si="35"/>
        <v>733.5</v>
      </c>
      <c r="O283" s="281">
        <f t="shared" si="36"/>
        <v>126.75</v>
      </c>
      <c r="P283" s="275">
        <f t="shared" si="37"/>
        <v>0.20889987639060559</v>
      </c>
      <c r="Q283" s="282">
        <f t="shared" ca="1" si="42"/>
        <v>423</v>
      </c>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row>
    <row r="284" spans="1:79" ht="15.75" customHeight="1">
      <c r="A284" s="29"/>
      <c r="B284" s="270" t="s">
        <v>37</v>
      </c>
      <c r="C284" s="271" t="str">
        <f ca="1">IFERROR(__xludf.DUMMYFUNCTION("GoogleFinance(B284,""name"")"),"iShares 20+ Year Treasury Bond ETF")</f>
        <v>iShares 20+ Year Treasury Bond ETF</v>
      </c>
      <c r="D284" s="272">
        <f ca="1">IFERROR(__xludf.DUMMYFUNCTION("GoogleFinance(B284,""marketcap"")/1000000"),11094.72019)</f>
        <v>11094.72019</v>
      </c>
      <c r="E284" s="273" t="s">
        <v>279</v>
      </c>
      <c r="F284" s="273" t="s">
        <v>280</v>
      </c>
      <c r="G284" s="274">
        <v>45407</v>
      </c>
      <c r="H284" s="381">
        <v>45527</v>
      </c>
      <c r="I284" s="276">
        <f t="shared" ca="1" si="33"/>
        <v>1.645981184254991E-2</v>
      </c>
      <c r="J284" s="277">
        <v>98.5</v>
      </c>
      <c r="K284" s="278">
        <v>87.5</v>
      </c>
      <c r="L284" s="279">
        <v>25</v>
      </c>
      <c r="M284" s="280">
        <f t="shared" si="43"/>
        <v>2187.5</v>
      </c>
      <c r="N284" s="281">
        <f t="shared" si="35"/>
        <v>2462.5</v>
      </c>
      <c r="O284" s="281">
        <f t="shared" si="36"/>
        <v>275</v>
      </c>
      <c r="P284" s="275">
        <f t="shared" si="37"/>
        <v>0.12571428571428567</v>
      </c>
      <c r="Q284" s="282">
        <f t="shared" ca="1" si="42"/>
        <v>522</v>
      </c>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row>
    <row r="285" spans="1:79" ht="15.75" customHeight="1">
      <c r="A285" s="29"/>
      <c r="B285" s="7" t="s">
        <v>43</v>
      </c>
      <c r="C285" s="377" t="str">
        <f ca="1">IFERROR(__xludf.DUMMYFUNCTION("GoogleFinance(B285,""name"")"),"iShares Bitcoin Trust ETF")</f>
        <v>iShares Bitcoin Trust ETF</v>
      </c>
      <c r="D285" s="378">
        <f ca="1">IFERROR(__xludf.DUMMYFUNCTION("GoogleFinance(B285,""marketcap"")/1000000"),179080.091223)</f>
        <v>179080.091223</v>
      </c>
      <c r="E285" s="379" t="s">
        <v>151</v>
      </c>
      <c r="F285" s="379" t="s">
        <v>44</v>
      </c>
      <c r="G285" s="380">
        <v>45509</v>
      </c>
      <c r="H285" s="381">
        <v>45533</v>
      </c>
      <c r="I285" s="300">
        <f t="shared" ca="1" si="33"/>
        <v>2.2458870168920891E-3</v>
      </c>
      <c r="J285" s="382">
        <v>33.6</v>
      </c>
      <c r="K285" s="324">
        <v>30.8</v>
      </c>
      <c r="L285" s="383">
        <v>10</v>
      </c>
      <c r="M285" s="313">
        <f t="shared" si="43"/>
        <v>308</v>
      </c>
      <c r="N285" s="384">
        <f t="shared" si="35"/>
        <v>336</v>
      </c>
      <c r="O285" s="384">
        <f t="shared" si="36"/>
        <v>28</v>
      </c>
      <c r="P285" s="254">
        <f t="shared" si="37"/>
        <v>9.0909090909090828E-2</v>
      </c>
      <c r="Q285" s="282">
        <f t="shared" ref="Q285:Q310" si="44">H285-G285</f>
        <v>24</v>
      </c>
      <c r="R285" s="4" t="s">
        <v>266</v>
      </c>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row>
    <row r="286" spans="1:79" ht="15.75" customHeight="1">
      <c r="A286" s="29"/>
      <c r="B286" s="7" t="s">
        <v>156</v>
      </c>
      <c r="C286" s="377" t="str">
        <f ca="1">IFERROR(__xludf.DUMMYFUNCTION("GoogleFinance(B286,""name"")"),"Grayscale Ethereum Trust ETF")</f>
        <v>Grayscale Ethereum Trust ETF</v>
      </c>
      <c r="D286" s="378">
        <f ca="1">IFERROR(__xludf.DUMMYFUNCTION("GoogleFinance(B286,""marketcap"")/1000000"),4286.174091)</f>
        <v>4286.1740909999999</v>
      </c>
      <c r="E286" s="379" t="s">
        <v>151</v>
      </c>
      <c r="F286" s="379" t="s">
        <v>157</v>
      </c>
      <c r="G286" s="380">
        <v>45509</v>
      </c>
      <c r="H286" s="381">
        <v>45533</v>
      </c>
      <c r="I286" s="300">
        <f t="shared" ca="1" si="33"/>
        <v>1.4237319482083778E-3</v>
      </c>
      <c r="J286" s="382">
        <v>21.3</v>
      </c>
      <c r="K286" s="324">
        <v>20.2</v>
      </c>
      <c r="L286" s="383">
        <v>10</v>
      </c>
      <c r="M286" s="313">
        <f t="shared" si="43"/>
        <v>202</v>
      </c>
      <c r="N286" s="384">
        <f t="shared" si="35"/>
        <v>213</v>
      </c>
      <c r="O286" s="384">
        <f t="shared" si="36"/>
        <v>11</v>
      </c>
      <c r="P286" s="254">
        <f t="shared" si="37"/>
        <v>5.4455445544554504E-2</v>
      </c>
      <c r="Q286" s="282">
        <f t="shared" si="44"/>
        <v>24</v>
      </c>
      <c r="R286" s="4" t="s">
        <v>266</v>
      </c>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row>
    <row r="287" spans="1:79" ht="15.75" customHeight="1">
      <c r="A287" s="29"/>
      <c r="B287" s="7" t="s">
        <v>297</v>
      </c>
      <c r="C287" s="377" t="str">
        <f ca="1">IFERROR(__xludf.DUMMYFUNCTION("GoogleFinance(B287,""name"")"),"Occidental Petroleum Corp")</f>
        <v>Occidental Petroleum Corp</v>
      </c>
      <c r="D287" s="378">
        <f ca="1">IFERROR(__xludf.DUMMYFUNCTION("GoogleFinance(B287,""marketcap"")/1000000"),46731.349013)</f>
        <v>46731.349012999999</v>
      </c>
      <c r="E287" s="379" t="s">
        <v>15</v>
      </c>
      <c r="F287" s="379" t="s">
        <v>141</v>
      </c>
      <c r="G287" s="380">
        <v>45203</v>
      </c>
      <c r="H287" s="381">
        <v>45545</v>
      </c>
      <c r="I287" s="300">
        <f t="shared" ca="1" si="33"/>
        <v>2.2707626541548422E-2</v>
      </c>
      <c r="J287" s="382">
        <v>52</v>
      </c>
      <c r="K287" s="324">
        <f>(59.9+61.2+64.48)/3</f>
        <v>61.859999999999992</v>
      </c>
      <c r="L287" s="383">
        <f>2000/K287-16+16+33</f>
        <v>65.33107015842225</v>
      </c>
      <c r="M287" s="313">
        <f t="shared" si="43"/>
        <v>4041.3799999999997</v>
      </c>
      <c r="N287" s="384">
        <f t="shared" si="35"/>
        <v>3397.2156482379569</v>
      </c>
      <c r="O287" s="384">
        <f t="shared" si="36"/>
        <v>-644.16435176204277</v>
      </c>
      <c r="P287" s="254">
        <f t="shared" si="37"/>
        <v>-0.1593921758810215</v>
      </c>
      <c r="Q287" s="282">
        <f t="shared" si="44"/>
        <v>342</v>
      </c>
      <c r="R287" s="29" t="s">
        <v>62</v>
      </c>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row>
    <row r="288" spans="1:79" ht="15.75" customHeight="1">
      <c r="A288" s="29"/>
      <c r="B288" s="7" t="s">
        <v>322</v>
      </c>
      <c r="C288" s="377" t="str">
        <f ca="1">IFERROR(__xludf.DUMMYFUNCTION("GoogleFinance(B288,""name"")"),"Procter &amp; Gamble Co")</f>
        <v>Procter &amp; Gamble Co</v>
      </c>
      <c r="D288" s="378">
        <f ca="1">IFERROR(__xludf.DUMMYFUNCTION("GoogleFinance(B288,""marketcap"")/1000000"),356923.9625)</f>
        <v>356923.96250000002</v>
      </c>
      <c r="E288" s="379" t="s">
        <v>18</v>
      </c>
      <c r="F288" s="379" t="s">
        <v>323</v>
      </c>
      <c r="G288" s="380">
        <v>45184</v>
      </c>
      <c r="H288" s="381">
        <v>45554</v>
      </c>
      <c r="I288" s="300">
        <f t="shared" ca="1" si="33"/>
        <v>1.0342733054734318E-2</v>
      </c>
      <c r="J288" s="382">
        <v>172.2</v>
      </c>
      <c r="K288" s="324">
        <v>154.91</v>
      </c>
      <c r="L288" s="383">
        <f>4800/K288-15-7</f>
        <v>8.985733651797819</v>
      </c>
      <c r="M288" s="313">
        <f t="shared" si="43"/>
        <v>1391.98</v>
      </c>
      <c r="N288" s="384">
        <f t="shared" si="35"/>
        <v>1547.3433348395843</v>
      </c>
      <c r="O288" s="384">
        <f t="shared" si="36"/>
        <v>155.36333483958424</v>
      </c>
      <c r="P288" s="254">
        <f t="shared" si="37"/>
        <v>0.1116131947582466</v>
      </c>
      <c r="Q288" s="282">
        <f t="shared" si="44"/>
        <v>370</v>
      </c>
      <c r="R288" s="4" t="s">
        <v>264</v>
      </c>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row>
    <row r="289" spans="1:79" ht="15.75" customHeight="1">
      <c r="A289" s="29"/>
      <c r="B289" s="270" t="s">
        <v>145</v>
      </c>
      <c r="C289" s="271" t="str">
        <f ca="1">IFERROR(__xludf.DUMMYFUNCTION("GoogleFinance(B289,""name"")"),"Vista Energy SAB de CV - ADR")</f>
        <v>Vista Energy SAB de CV - ADR</v>
      </c>
      <c r="D289" s="272">
        <f ca="1">IFERROR(__xludf.DUMMYFUNCTION("GoogleFinance(B289,""marketcap"")/1000000"),3769.846995)</f>
        <v>3769.8469949999999</v>
      </c>
      <c r="E289" s="273" t="s">
        <v>15</v>
      </c>
      <c r="F289" s="273" t="s">
        <v>141</v>
      </c>
      <c r="G289" s="274">
        <v>45506</v>
      </c>
      <c r="H289" s="381">
        <v>45558</v>
      </c>
      <c r="I289" s="276">
        <f t="shared" ca="1" si="33"/>
        <v>7.058502053089423E-3</v>
      </c>
      <c r="J289" s="277">
        <v>48</v>
      </c>
      <c r="K289" s="278">
        <v>40.450000000000003</v>
      </c>
      <c r="L289" s="279">
        <v>22</v>
      </c>
      <c r="M289" s="280">
        <f t="shared" si="43"/>
        <v>889.90000000000009</v>
      </c>
      <c r="N289" s="281">
        <f t="shared" si="35"/>
        <v>1056</v>
      </c>
      <c r="O289" s="281">
        <f t="shared" si="36"/>
        <v>166.09999999999991</v>
      </c>
      <c r="P289" s="275">
        <f t="shared" si="37"/>
        <v>0.1866501854140914</v>
      </c>
      <c r="Q289" s="282">
        <f t="shared" si="44"/>
        <v>52</v>
      </c>
      <c r="R289" s="4" t="s">
        <v>266</v>
      </c>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row>
    <row r="290" spans="1:79" ht="15.75" customHeight="1">
      <c r="A290" s="29"/>
      <c r="B290" s="270" t="s">
        <v>307</v>
      </c>
      <c r="C290" s="271" t="str">
        <f ca="1">IFERROR(__xludf.DUMMYFUNCTION("GoogleFinance(B290,""name"")"),"T-Mobile Us Inc")</f>
        <v>T-Mobile Us Inc</v>
      </c>
      <c r="D290" s="272">
        <f ca="1">IFERROR(__xludf.DUMMYFUNCTION("GoogleFinance(B290,""marketcap"")/1000000"),267253.251303)</f>
        <v>267253.25130300003</v>
      </c>
      <c r="E290" s="273" t="s">
        <v>13</v>
      </c>
      <c r="F290" s="273" t="s">
        <v>83</v>
      </c>
      <c r="G290" s="274">
        <v>45191</v>
      </c>
      <c r="H290" s="381">
        <v>45558</v>
      </c>
      <c r="I290" s="276">
        <f t="shared" ca="1" si="33"/>
        <v>5.4195392657622197E-3</v>
      </c>
      <c r="J290" s="277">
        <v>202.7</v>
      </c>
      <c r="K290" s="278">
        <v>139.5</v>
      </c>
      <c r="L290" s="279">
        <v>4</v>
      </c>
      <c r="M290" s="280">
        <f t="shared" si="43"/>
        <v>558</v>
      </c>
      <c r="N290" s="281">
        <f t="shared" si="35"/>
        <v>810.8</v>
      </c>
      <c r="O290" s="281">
        <f t="shared" si="36"/>
        <v>252.79999999999995</v>
      </c>
      <c r="P290" s="275">
        <f t="shared" si="37"/>
        <v>0.45304659498207878</v>
      </c>
      <c r="Q290" s="282">
        <f t="shared" si="44"/>
        <v>367</v>
      </c>
      <c r="R290" s="4" t="s">
        <v>266</v>
      </c>
      <c r="S290" s="14"/>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row>
    <row r="291" spans="1:79" ht="15.75" customHeight="1">
      <c r="A291" s="29"/>
      <c r="B291" s="270" t="s">
        <v>286</v>
      </c>
      <c r="C291" s="271" t="str">
        <f ca="1">IFERROR(__xludf.DUMMYFUNCTION("GoogleFinance(B291,""name"")"),"Baidu Inc")</f>
        <v>Baidu Inc</v>
      </c>
      <c r="D291" s="272">
        <f ca="1">IFERROR(__xludf.DUMMYFUNCTION("GoogleFinance(B291,""marketcap"")/1000000"),368997.153)</f>
        <v>368997.15299999999</v>
      </c>
      <c r="E291" s="273" t="s">
        <v>13</v>
      </c>
      <c r="F291" s="273" t="s">
        <v>24</v>
      </c>
      <c r="G291" s="274">
        <v>45383</v>
      </c>
      <c r="H291" s="381">
        <v>45567</v>
      </c>
      <c r="I291" s="276">
        <f t="shared" ca="1" si="33"/>
        <v>2.7020828171982945E-2</v>
      </c>
      <c r="J291" s="277">
        <v>115.5</v>
      </c>
      <c r="K291" s="278">
        <v>105.4</v>
      </c>
      <c r="L291" s="279">
        <v>35</v>
      </c>
      <c r="M291" s="280">
        <f t="shared" si="43"/>
        <v>3689</v>
      </c>
      <c r="N291" s="281">
        <f t="shared" si="35"/>
        <v>4042.5</v>
      </c>
      <c r="O291" s="281">
        <f t="shared" si="36"/>
        <v>353.5</v>
      </c>
      <c r="P291" s="275">
        <f t="shared" si="37"/>
        <v>9.5825426944971426E-2</v>
      </c>
      <c r="Q291" s="282">
        <f t="shared" si="44"/>
        <v>184</v>
      </c>
      <c r="R291" s="4" t="s">
        <v>266</v>
      </c>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row>
    <row r="292" spans="1:79" ht="15.75" customHeight="1">
      <c r="A292" s="29"/>
      <c r="B292" s="270" t="s">
        <v>269</v>
      </c>
      <c r="C292" s="405" t="str">
        <f ca="1">IFERROR(__xludf.DUMMYFUNCTION("GoogleFinance(B292,""name"")"),"Alibaba Group Holding Ltd - ADR")</f>
        <v>Alibaba Group Holding Ltd - ADR</v>
      </c>
      <c r="D292" s="272">
        <f ca="1">IFERROR(__xludf.DUMMYFUNCTION("GoogleFinance(B292,""marketcap"")/1000000"),340928.957993)</f>
        <v>340928.95799299999</v>
      </c>
      <c r="E292" s="273" t="s">
        <v>128</v>
      </c>
      <c r="F292" s="273" t="s">
        <v>24</v>
      </c>
      <c r="G292" s="274">
        <v>45267</v>
      </c>
      <c r="H292" s="381">
        <v>45567</v>
      </c>
      <c r="I292" s="276">
        <f t="shared" ca="1" si="33"/>
        <v>2.6927249546279109E-2</v>
      </c>
      <c r="J292" s="277">
        <v>115.1</v>
      </c>
      <c r="K292" s="278">
        <v>73.5</v>
      </c>
      <c r="L292" s="279">
        <v>35</v>
      </c>
      <c r="M292" s="280">
        <v>4000</v>
      </c>
      <c r="N292" s="281">
        <f t="shared" si="35"/>
        <v>4028.5</v>
      </c>
      <c r="O292" s="440">
        <f t="shared" si="36"/>
        <v>28.5</v>
      </c>
      <c r="P292" s="441">
        <f t="shared" si="37"/>
        <v>0.56598639455782296</v>
      </c>
      <c r="Q292" s="282">
        <f t="shared" si="44"/>
        <v>300</v>
      </c>
      <c r="R292" s="4" t="s">
        <v>266</v>
      </c>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row>
    <row r="293" spans="1:79" ht="15.75" customHeight="1">
      <c r="A293" s="29"/>
      <c r="B293" s="389" t="s">
        <v>329</v>
      </c>
      <c r="C293" s="377" t="str">
        <f ca="1">IFERROR(__xludf.DUMMYFUNCTION("GoogleFinance(B293,""name"")"),"Cigna Group")</f>
        <v>Cigna Group</v>
      </c>
      <c r="D293" s="378">
        <f ca="1">IFERROR(__xludf.DUMMYFUNCTION("GoogleFinance(B293,""marketcap"")/1000000"),76386.789344)</f>
        <v>76386.789344000004</v>
      </c>
      <c r="E293" s="379" t="s">
        <v>17</v>
      </c>
      <c r="F293" s="379" t="s">
        <v>272</v>
      </c>
      <c r="G293" s="397">
        <v>45489</v>
      </c>
      <c r="H293" s="381">
        <v>45596</v>
      </c>
      <c r="I293" s="300">
        <f t="shared" ca="1" si="33"/>
        <v>2.2793079546434593E-2</v>
      </c>
      <c r="J293" s="382">
        <v>310</v>
      </c>
      <c r="K293" s="324">
        <v>340.8</v>
      </c>
      <c r="L293" s="383">
        <f>15-4</f>
        <v>11</v>
      </c>
      <c r="M293" s="313">
        <f t="shared" ref="M293:M310" si="45">L293*K293</f>
        <v>3748.8</v>
      </c>
      <c r="N293" s="384">
        <f t="shared" si="35"/>
        <v>3410</v>
      </c>
      <c r="O293" s="384">
        <f t="shared" si="36"/>
        <v>-338.80000000000018</v>
      </c>
      <c r="P293" s="254">
        <f t="shared" si="37"/>
        <v>-9.0375586854460122E-2</v>
      </c>
      <c r="Q293" s="282">
        <f t="shared" si="44"/>
        <v>107</v>
      </c>
      <c r="R293" s="29" t="s">
        <v>62</v>
      </c>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row>
    <row r="294" spans="1:79" ht="15.75" customHeight="1">
      <c r="A294" s="29"/>
      <c r="B294" s="7" t="s">
        <v>192</v>
      </c>
      <c r="C294" s="377" t="str">
        <f ca="1">IFERROR(__xludf.DUMMYFUNCTION("GoogleFinance(B294,""name"")"),"abrdn Physical Palladium Shares ETF")</f>
        <v>abrdn Physical Palladium Shares ETF</v>
      </c>
      <c r="D294" s="378" t="str">
        <f ca="1">IFERROR(__xludf.DUMMYFUNCTION("GoogleFinance(B294,""marketcap"")/1000000"),"#N/A")</f>
        <v>#N/A</v>
      </c>
      <c r="E294" s="379" t="s">
        <v>38</v>
      </c>
      <c r="F294" s="379" t="s">
        <v>193</v>
      </c>
      <c r="G294" s="380">
        <v>45590</v>
      </c>
      <c r="H294" s="381">
        <v>45602</v>
      </c>
      <c r="I294" s="300">
        <f t="shared" ca="1" si="33"/>
        <v>1.9450985771297558E-2</v>
      </c>
      <c r="J294" s="382">
        <v>97</v>
      </c>
      <c r="K294" s="324">
        <v>109.8</v>
      </c>
      <c r="L294" s="383">
        <v>30</v>
      </c>
      <c r="M294" s="313">
        <f t="shared" si="45"/>
        <v>3294</v>
      </c>
      <c r="N294" s="384">
        <f t="shared" si="35"/>
        <v>2910</v>
      </c>
      <c r="O294" s="384">
        <f t="shared" si="36"/>
        <v>-384</v>
      </c>
      <c r="P294" s="254">
        <f t="shared" si="37"/>
        <v>-0.116575591985428</v>
      </c>
      <c r="Q294" s="282">
        <f t="shared" si="44"/>
        <v>12</v>
      </c>
      <c r="R294" s="29" t="s">
        <v>62</v>
      </c>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row>
    <row r="295" spans="1:79" ht="15.75" customHeight="1">
      <c r="A295" s="29"/>
      <c r="B295" s="270" t="s">
        <v>271</v>
      </c>
      <c r="C295" s="271" t="str">
        <f ca="1">IFERROR(__xludf.DUMMYFUNCTION("GoogleFinance(B295,""name"")"),"Globant SA")</f>
        <v>Globant SA</v>
      </c>
      <c r="D295" s="272">
        <f ca="1">IFERROR(__xludf.DUMMYFUNCTION("GoogleFinance(B295,""marketcap"")/1000000"),2555.082861)</f>
        <v>2555.0828609999999</v>
      </c>
      <c r="E295" s="273" t="s">
        <v>7</v>
      </c>
      <c r="F295" s="273" t="s">
        <v>272</v>
      </c>
      <c r="G295" s="274">
        <v>45372</v>
      </c>
      <c r="H295" s="381">
        <v>45603</v>
      </c>
      <c r="I295" s="276">
        <f t="shared" ca="1" si="33"/>
        <v>2.3281025237604603E-2</v>
      </c>
      <c r="J295" s="277">
        <v>232.2</v>
      </c>
      <c r="K295" s="278">
        <f>(201.9+205.7+203.2)/3</f>
        <v>203.6</v>
      </c>
      <c r="L295" s="279">
        <v>15</v>
      </c>
      <c r="M295" s="280">
        <f t="shared" si="45"/>
        <v>3054</v>
      </c>
      <c r="N295" s="281">
        <f t="shared" si="35"/>
        <v>3483</v>
      </c>
      <c r="O295" s="281">
        <f t="shared" si="36"/>
        <v>429</v>
      </c>
      <c r="P295" s="275">
        <f t="shared" si="37"/>
        <v>0.14047151277013747</v>
      </c>
      <c r="Q295" s="282">
        <f t="shared" si="44"/>
        <v>231</v>
      </c>
      <c r="R295" s="4" t="s">
        <v>266</v>
      </c>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row>
    <row r="296" spans="1:79" ht="15.75" customHeight="1">
      <c r="A296" s="29"/>
      <c r="B296" s="270" t="s">
        <v>292</v>
      </c>
      <c r="C296" s="271" t="str">
        <f ca="1">IFERROR(__xludf.DUMMYFUNCTION("GoogleFinance(B296,""name"")"),"Loma Negra Compania Indl Argntna SA-ADR")</f>
        <v>Loma Negra Compania Indl Argntna SA-ADR</v>
      </c>
      <c r="D296" s="272">
        <f ca="1">IFERROR(__xludf.DUMMYFUNCTION("GoogleFinance(B296,""marketcap"")/1000000"),943.002417)</f>
        <v>943.00241700000004</v>
      </c>
      <c r="E296" s="273" t="s">
        <v>11</v>
      </c>
      <c r="F296" s="273" t="s">
        <v>293</v>
      </c>
      <c r="G296" s="274">
        <v>45574</v>
      </c>
      <c r="H296" s="381">
        <v>45603</v>
      </c>
      <c r="I296" s="276">
        <f t="shared" ca="1" si="33"/>
        <v>8.261655812138757E-3</v>
      </c>
      <c r="J296" s="277">
        <v>10.3</v>
      </c>
      <c r="K296" s="278">
        <v>8.41</v>
      </c>
      <c r="L296" s="279">
        <v>120</v>
      </c>
      <c r="M296" s="280">
        <f t="shared" si="45"/>
        <v>1009.2</v>
      </c>
      <c r="N296" s="281">
        <f t="shared" si="35"/>
        <v>1236</v>
      </c>
      <c r="O296" s="281">
        <f t="shared" si="36"/>
        <v>226.79999999999995</v>
      </c>
      <c r="P296" s="275">
        <f t="shared" si="37"/>
        <v>0.22473246135552927</v>
      </c>
      <c r="Q296" s="282">
        <f t="shared" si="44"/>
        <v>29</v>
      </c>
      <c r="R296" s="4" t="s">
        <v>266</v>
      </c>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row>
    <row r="297" spans="1:79" ht="15.75" customHeight="1">
      <c r="A297" s="29"/>
      <c r="B297" s="270" t="s">
        <v>127</v>
      </c>
      <c r="C297" s="271" t="str">
        <f ca="1">IFERROR(__xludf.DUMMYFUNCTION("GoogleFinance(B297,""name"")"),"Tesla Inc")</f>
        <v>Tesla Inc</v>
      </c>
      <c r="D297" s="272">
        <f ca="1">IFERROR(__xludf.DUMMYFUNCTION("GoogleFinance(B297,""marketcap"")/1000000"),1379980.168874)</f>
        <v>1379980.168874</v>
      </c>
      <c r="E297" s="273" t="s">
        <v>128</v>
      </c>
      <c r="F297" s="273" t="s">
        <v>330</v>
      </c>
      <c r="G297" s="274">
        <v>45576</v>
      </c>
      <c r="H297" s="381">
        <v>45607</v>
      </c>
      <c r="I297" s="276">
        <f t="shared" ca="1" si="33"/>
        <v>1.6001944995356135E-2</v>
      </c>
      <c r="J297" s="277">
        <v>342</v>
      </c>
      <c r="K297" s="278">
        <v>215</v>
      </c>
      <c r="L297" s="279">
        <v>7</v>
      </c>
      <c r="M297" s="280">
        <f t="shared" si="45"/>
        <v>1505</v>
      </c>
      <c r="N297" s="281">
        <f t="shared" si="35"/>
        <v>2394</v>
      </c>
      <c r="O297" s="281">
        <f t="shared" si="36"/>
        <v>889</v>
      </c>
      <c r="P297" s="275">
        <f t="shared" si="37"/>
        <v>0.59069767441860455</v>
      </c>
      <c r="Q297" s="282">
        <f t="shared" si="44"/>
        <v>31</v>
      </c>
      <c r="R297" s="4" t="s">
        <v>266</v>
      </c>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row>
    <row r="298" spans="1:79" ht="15.75" customHeight="1">
      <c r="A298" s="29"/>
      <c r="B298" s="270" t="s">
        <v>119</v>
      </c>
      <c r="C298" s="271" t="str">
        <f ca="1">IFERROR(__xludf.DUMMYFUNCTION("GoogleFinance(B298,""name"")"),"Walt Disney Co")</f>
        <v>Walt Disney Co</v>
      </c>
      <c r="D298" s="272">
        <f ca="1">IFERROR(__xludf.DUMMYFUNCTION("GoogleFinance(B298,""marketcap"")/1000000"),204011.459704)</f>
        <v>204011.45970400001</v>
      </c>
      <c r="E298" s="273" t="s">
        <v>13</v>
      </c>
      <c r="F298" s="273" t="s">
        <v>120</v>
      </c>
      <c r="G298" s="274">
        <v>45204</v>
      </c>
      <c r="H298" s="381">
        <v>45610</v>
      </c>
      <c r="I298" s="276">
        <f t="shared" ca="1" si="33"/>
        <v>9.7321770731990526E-3</v>
      </c>
      <c r="J298" s="277">
        <v>112</v>
      </c>
      <c r="K298" s="278">
        <v>86.66</v>
      </c>
      <c r="L298" s="279">
        <v>13</v>
      </c>
      <c r="M298" s="280">
        <f t="shared" si="45"/>
        <v>1126.58</v>
      </c>
      <c r="N298" s="281">
        <f t="shared" si="35"/>
        <v>1456</v>
      </c>
      <c r="O298" s="281">
        <f t="shared" si="36"/>
        <v>329.42000000000007</v>
      </c>
      <c r="P298" s="275">
        <f t="shared" si="37"/>
        <v>0.29240710823909533</v>
      </c>
      <c r="Q298" s="282">
        <f t="shared" si="44"/>
        <v>406</v>
      </c>
      <c r="R298" s="4" t="s">
        <v>266</v>
      </c>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row>
    <row r="299" spans="1:79" ht="15.75" customHeight="1">
      <c r="A299" s="29"/>
      <c r="B299" s="270" t="s">
        <v>132</v>
      </c>
      <c r="C299" s="271" t="str">
        <f ca="1">IFERROR(__xludf.DUMMYFUNCTION("GoogleFinance(B299,""name"")"),"MercadoLibre Inc")</f>
        <v>MercadoLibre Inc</v>
      </c>
      <c r="D299" s="272">
        <f ca="1">IFERROR(__xludf.DUMMYFUNCTION("GoogleFinance(B299,""marketcap"")/1000000"),125142.37341)</f>
        <v>125142.37341</v>
      </c>
      <c r="E299" s="273" t="s">
        <v>128</v>
      </c>
      <c r="F299" s="273" t="s">
        <v>289</v>
      </c>
      <c r="G299" s="274">
        <v>45603</v>
      </c>
      <c r="H299" s="381">
        <v>45632</v>
      </c>
      <c r="I299" s="276">
        <f t="shared" ca="1" si="33"/>
        <v>1.085073823351611E-2</v>
      </c>
      <c r="J299" s="277">
        <v>1961</v>
      </c>
      <c r="K299" s="278">
        <v>1812</v>
      </c>
      <c r="L299" s="279">
        <f>1500/K299</f>
        <v>0.82781456953642385</v>
      </c>
      <c r="M299" s="280">
        <f t="shared" si="45"/>
        <v>1500</v>
      </c>
      <c r="N299" s="281">
        <f t="shared" si="35"/>
        <v>1623.3443708609273</v>
      </c>
      <c r="O299" s="281">
        <f t="shared" si="36"/>
        <v>123.34437086092726</v>
      </c>
      <c r="P299" s="275">
        <f t="shared" si="37"/>
        <v>8.2229580573951466E-2</v>
      </c>
      <c r="Q299" s="282">
        <f t="shared" si="44"/>
        <v>29</v>
      </c>
      <c r="R299" s="4" t="s">
        <v>266</v>
      </c>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row>
    <row r="300" spans="1:79" ht="15.75" customHeight="1">
      <c r="A300" s="29"/>
      <c r="B300" s="270" t="s">
        <v>271</v>
      </c>
      <c r="C300" s="271" t="str">
        <f ca="1">IFERROR(__xludf.DUMMYFUNCTION("GoogleFinance(B300,""name"")"),"Globant SA")</f>
        <v>Globant SA</v>
      </c>
      <c r="D300" s="272">
        <f ca="1">IFERROR(__xludf.DUMMYFUNCTION("GoogleFinance(B300,""marketcap"")/1000000"),2555.082861)</f>
        <v>2555.0828609999999</v>
      </c>
      <c r="E300" s="273" t="s">
        <v>7</v>
      </c>
      <c r="F300" s="273" t="s">
        <v>272</v>
      </c>
      <c r="G300" s="274">
        <v>45372</v>
      </c>
      <c r="H300" s="381">
        <v>45632</v>
      </c>
      <c r="I300" s="276">
        <f t="shared" ca="1" si="33"/>
        <v>5.8162457968709861E-3</v>
      </c>
      <c r="J300" s="277">
        <f ca="1">IFERROR(__xludf.DUMMYFUNCTION("GOOGLEFINANCE(B300)"),58.01)</f>
        <v>58.01</v>
      </c>
      <c r="K300" s="278">
        <f>(201.9+205.7+203.2)/3</f>
        <v>203.6</v>
      </c>
      <c r="L300" s="279">
        <v>15</v>
      </c>
      <c r="M300" s="280">
        <f t="shared" si="45"/>
        <v>3054</v>
      </c>
      <c r="N300" s="281">
        <f t="shared" ca="1" si="35"/>
        <v>870.15</v>
      </c>
      <c r="O300" s="281">
        <f t="shared" ca="1" si="36"/>
        <v>-2183.85</v>
      </c>
      <c r="P300" s="275">
        <f t="shared" ca="1" si="37"/>
        <v>-0.71507858546168956</v>
      </c>
      <c r="Q300" s="282">
        <f t="shared" si="44"/>
        <v>260</v>
      </c>
      <c r="R300" s="4" t="s">
        <v>266</v>
      </c>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row>
    <row r="301" spans="1:79" ht="15.75" customHeight="1">
      <c r="A301" s="29"/>
      <c r="B301" s="270" t="s">
        <v>127</v>
      </c>
      <c r="C301" s="271" t="str">
        <f ca="1">IFERROR(__xludf.DUMMYFUNCTION("GoogleFinance(B301,""name"")"),"Tesla Inc")</f>
        <v>Tesla Inc</v>
      </c>
      <c r="D301" s="272">
        <f ca="1">IFERROR(__xludf.DUMMYFUNCTION("GoogleFinance(B301,""marketcap"")/1000000"),1379980.168874)</f>
        <v>1379980.168874</v>
      </c>
      <c r="E301" s="273" t="s">
        <v>128</v>
      </c>
      <c r="F301" s="273" t="s">
        <v>330</v>
      </c>
      <c r="G301" s="274">
        <v>45576</v>
      </c>
      <c r="H301" s="381">
        <v>45637</v>
      </c>
      <c r="I301" s="276">
        <f t="shared" ca="1" si="33"/>
        <v>1.9136828956434676E-2</v>
      </c>
      <c r="J301" s="277">
        <v>409</v>
      </c>
      <c r="K301" s="278">
        <v>215</v>
      </c>
      <c r="L301" s="279">
        <v>7</v>
      </c>
      <c r="M301" s="280">
        <f t="shared" si="45"/>
        <v>1505</v>
      </c>
      <c r="N301" s="281">
        <f t="shared" si="35"/>
        <v>2863</v>
      </c>
      <c r="O301" s="281">
        <f t="shared" si="36"/>
        <v>1358</v>
      </c>
      <c r="P301" s="275">
        <f t="shared" si="37"/>
        <v>0.9023255813953488</v>
      </c>
      <c r="Q301" s="282">
        <f t="shared" si="44"/>
        <v>61</v>
      </c>
      <c r="R301" s="4" t="s">
        <v>266</v>
      </c>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row>
    <row r="302" spans="1:79" ht="15.75" customHeight="1">
      <c r="A302" s="29"/>
      <c r="B302" s="270" t="s">
        <v>127</v>
      </c>
      <c r="C302" s="271" t="str">
        <f ca="1">IFERROR(__xludf.DUMMYFUNCTION("GoogleFinance(B302,""name"")"),"Tesla Inc")</f>
        <v>Tesla Inc</v>
      </c>
      <c r="D302" s="272">
        <f ca="1">IFERROR(__xludf.DUMMYFUNCTION("GoogleFinance(B302,""marketcap"")/1000000"),1379980.168874)</f>
        <v>1379980.168874</v>
      </c>
      <c r="E302" s="273" t="s">
        <v>128</v>
      </c>
      <c r="F302" s="273" t="s">
        <v>330</v>
      </c>
      <c r="G302" s="274">
        <v>45576</v>
      </c>
      <c r="H302" s="381">
        <v>45638</v>
      </c>
      <c r="I302" s="276">
        <f t="shared" ca="1" si="33"/>
        <v>1.9651511397805778E-2</v>
      </c>
      <c r="J302" s="277">
        <v>420</v>
      </c>
      <c r="K302" s="278">
        <v>215</v>
      </c>
      <c r="L302" s="279">
        <v>7</v>
      </c>
      <c r="M302" s="280">
        <f t="shared" si="45"/>
        <v>1505</v>
      </c>
      <c r="N302" s="281">
        <f t="shared" si="35"/>
        <v>2940</v>
      </c>
      <c r="O302" s="281">
        <f t="shared" si="36"/>
        <v>1435</v>
      </c>
      <c r="P302" s="275">
        <f t="shared" si="37"/>
        <v>0.95348837209302317</v>
      </c>
      <c r="Q302" s="282">
        <f t="shared" si="44"/>
        <v>62</v>
      </c>
      <c r="R302" s="4" t="s">
        <v>264</v>
      </c>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row>
    <row r="303" spans="1:79" ht="15.75" customHeight="1">
      <c r="A303" s="29"/>
      <c r="B303" s="389" t="s">
        <v>331</v>
      </c>
      <c r="C303" s="377" t="str">
        <f ca="1">IFERROR(__xludf.DUMMYFUNCTION("GoogleFinance(B303,""name"")"),"Bristol-Myers Squibb Co")</f>
        <v>Bristol-Myers Squibb Co</v>
      </c>
      <c r="D303" s="378">
        <f ca="1">IFERROR(__xludf.DUMMYFUNCTION("GoogleFinance(B303,""marketcap"")/1000000"),89803.390025)</f>
        <v>89803.390025000001</v>
      </c>
      <c r="E303" s="379" t="s">
        <v>17</v>
      </c>
      <c r="F303" s="379" t="s">
        <v>301</v>
      </c>
      <c r="G303" s="397">
        <v>45489</v>
      </c>
      <c r="H303" s="381">
        <v>45639</v>
      </c>
      <c r="I303" s="300">
        <f t="shared" ca="1" si="33"/>
        <v>2.2298449667714312E-2</v>
      </c>
      <c r="J303" s="382">
        <v>55.6</v>
      </c>
      <c r="K303" s="324">
        <v>43.07</v>
      </c>
      <c r="L303" s="383">
        <v>60</v>
      </c>
      <c r="M303" s="313">
        <f t="shared" si="45"/>
        <v>2584.1999999999998</v>
      </c>
      <c r="N303" s="384">
        <f t="shared" si="35"/>
        <v>3336</v>
      </c>
      <c r="O303" s="384">
        <f t="shared" si="36"/>
        <v>751.80000000000018</v>
      </c>
      <c r="P303" s="254">
        <f t="shared" si="37"/>
        <v>0.29092175528209885</v>
      </c>
      <c r="Q303" s="282">
        <f t="shared" si="44"/>
        <v>150</v>
      </c>
      <c r="R303" s="4" t="s">
        <v>264</v>
      </c>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row>
    <row r="304" spans="1:79" ht="15.75" customHeight="1">
      <c r="A304" s="29"/>
      <c r="B304" s="389" t="s">
        <v>182</v>
      </c>
      <c r="C304" s="377" t="str">
        <f ca="1">IFERROR(__xludf.DUMMYFUNCTION("GoogleFinance(B304,""name"")"),"UnitedHealth Group Inc")</f>
        <v>UnitedHealth Group Inc</v>
      </c>
      <c r="D304" s="378">
        <f ca="1">IFERROR(__xludf.DUMMYFUNCTION("GoogleFinance(B304,""marketcap"")/1000000"),311624.160126)</f>
        <v>311624.160126</v>
      </c>
      <c r="E304" s="379" t="s">
        <v>17</v>
      </c>
      <c r="F304" s="379" t="s">
        <v>272</v>
      </c>
      <c r="G304" s="397">
        <v>45497</v>
      </c>
      <c r="H304" s="381">
        <v>45642</v>
      </c>
      <c r="I304" s="300">
        <f t="shared" ca="1" si="33"/>
        <v>1.3635742602559113E-2</v>
      </c>
      <c r="J304" s="382">
        <v>510</v>
      </c>
      <c r="K304" s="324">
        <v>558</v>
      </c>
      <c r="L304" s="383">
        <f>8-2-2</f>
        <v>4</v>
      </c>
      <c r="M304" s="313">
        <f t="shared" si="45"/>
        <v>2232</v>
      </c>
      <c r="N304" s="384">
        <f t="shared" si="35"/>
        <v>2040</v>
      </c>
      <c r="O304" s="384">
        <f t="shared" si="36"/>
        <v>-192</v>
      </c>
      <c r="P304" s="254">
        <f t="shared" si="37"/>
        <v>-8.6021505376344121E-2</v>
      </c>
      <c r="Q304" s="282">
        <f t="shared" si="44"/>
        <v>145</v>
      </c>
      <c r="R304" s="29" t="s">
        <v>62</v>
      </c>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row>
    <row r="305" spans="1:79" ht="15.75" customHeight="1">
      <c r="A305" s="29"/>
      <c r="B305" s="545" t="s">
        <v>103</v>
      </c>
      <c r="C305" s="546" t="str">
        <f ca="1">IFERROR(__xludf.DUMMYFUNCTION("GoogleFinance(B305,""name"")"),"PepsiCo Inc")</f>
        <v>PepsiCo Inc</v>
      </c>
      <c r="D305" s="547">
        <f ca="1">IFERROR(__xludf.DUMMYFUNCTION("GoogleFinance(B305,""marketcap"")/1000000"),192273.2)</f>
        <v>192273.2</v>
      </c>
      <c r="E305" s="548" t="s">
        <v>18</v>
      </c>
      <c r="F305" s="548" t="s">
        <v>324</v>
      </c>
      <c r="G305" s="397">
        <v>45399</v>
      </c>
      <c r="H305" s="381">
        <v>45644</v>
      </c>
      <c r="I305" s="398">
        <f t="shared" ca="1" si="33"/>
        <v>2.9903257571306279E-2</v>
      </c>
      <c r="J305" s="399">
        <v>157</v>
      </c>
      <c r="K305" s="400">
        <v>168.45</v>
      </c>
      <c r="L305" s="401">
        <f>4800/K305</f>
        <v>28.495102404274267</v>
      </c>
      <c r="M305" s="402">
        <f t="shared" si="45"/>
        <v>4800</v>
      </c>
      <c r="N305" s="402">
        <f t="shared" si="35"/>
        <v>4473.7310774710595</v>
      </c>
      <c r="O305" s="402">
        <f t="shared" si="36"/>
        <v>-326.26892252894049</v>
      </c>
      <c r="P305" s="254">
        <f t="shared" si="37"/>
        <v>-6.7972692193529194E-2</v>
      </c>
      <c r="Q305" s="282">
        <f t="shared" si="44"/>
        <v>245</v>
      </c>
      <c r="R305" s="29" t="s">
        <v>62</v>
      </c>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row>
    <row r="306" spans="1:79" ht="15.75" customHeight="1">
      <c r="A306" s="29"/>
      <c r="B306" s="7" t="s">
        <v>27</v>
      </c>
      <c r="C306" s="377" t="str">
        <f ca="1">IFERROR(__xludf.DUMMYFUNCTION("GoogleFinance(B306,""name"")"),"Global X Silver Miners ETF")</f>
        <v>Global X Silver Miners ETF</v>
      </c>
      <c r="D306" s="378" t="str">
        <f ca="1">IFERROR(__xludf.DUMMYFUNCTION("GoogleFinance(B306,""marketcap"")/1000000"),"#N/A")</f>
        <v>#N/A</v>
      </c>
      <c r="E306" s="379" t="s">
        <v>12</v>
      </c>
      <c r="F306" s="379" t="s">
        <v>288</v>
      </c>
      <c r="G306" s="380">
        <v>45638</v>
      </c>
      <c r="H306" s="381">
        <v>45644</v>
      </c>
      <c r="I306" s="300">
        <f t="shared" ca="1" si="33"/>
        <v>1.5908366369652299E-2</v>
      </c>
      <c r="J306" s="382">
        <v>34</v>
      </c>
      <c r="K306" s="324">
        <v>37.96</v>
      </c>
      <c r="L306" s="383">
        <v>70</v>
      </c>
      <c r="M306" s="313">
        <f t="shared" si="45"/>
        <v>2657.2000000000003</v>
      </c>
      <c r="N306" s="384">
        <f t="shared" si="35"/>
        <v>2380</v>
      </c>
      <c r="O306" s="384">
        <f t="shared" si="36"/>
        <v>-277.20000000000027</v>
      </c>
      <c r="P306" s="254">
        <f t="shared" si="37"/>
        <v>-0.10432033719704958</v>
      </c>
      <c r="Q306" s="282">
        <f t="shared" si="44"/>
        <v>6</v>
      </c>
      <c r="R306" s="29" t="s">
        <v>62</v>
      </c>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row>
    <row r="307" spans="1:79" ht="15.75" customHeight="1">
      <c r="A307" s="29"/>
      <c r="B307" s="1" t="s">
        <v>290</v>
      </c>
      <c r="C307" s="438" t="str">
        <f ca="1">IFERROR(__xludf.DUMMYFUNCTION("GoogleFinance(B307,""name"")"),"Freeport-McMoRan Inc")</f>
        <v>Freeport-McMoRan Inc</v>
      </c>
      <c r="D307" s="234">
        <f ca="1">IFERROR(__xludf.DUMMYFUNCTION("GoogleFinance(B307,""marketcap"")/1000000"),51328.9205)</f>
        <v>51328.9205</v>
      </c>
      <c r="E307" s="229" t="s">
        <v>12</v>
      </c>
      <c r="F307" s="229" t="s">
        <v>291</v>
      </c>
      <c r="G307" s="235">
        <v>45602</v>
      </c>
      <c r="H307" s="381">
        <v>45645</v>
      </c>
      <c r="I307" s="10">
        <f t="shared" ca="1" si="33"/>
        <v>1.4337582295337889E-2</v>
      </c>
      <c r="J307" s="236">
        <v>39</v>
      </c>
      <c r="K307" s="237">
        <v>45.5</v>
      </c>
      <c r="L307" s="238">
        <v>55</v>
      </c>
      <c r="M307" s="239">
        <f t="shared" si="45"/>
        <v>2502.5</v>
      </c>
      <c r="N307" s="226">
        <f t="shared" si="35"/>
        <v>2145</v>
      </c>
      <c r="O307" s="406">
        <f t="shared" si="36"/>
        <v>-357.5</v>
      </c>
      <c r="P307" s="407">
        <f t="shared" si="37"/>
        <v>-0.1428571428571429</v>
      </c>
      <c r="Q307" s="282">
        <f t="shared" si="44"/>
        <v>43</v>
      </c>
      <c r="R307" s="29" t="s">
        <v>62</v>
      </c>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row>
    <row r="308" spans="1:79" ht="15.75" customHeight="1">
      <c r="A308" s="29"/>
      <c r="B308" s="389" t="s">
        <v>332</v>
      </c>
      <c r="C308" s="377" t="str">
        <f ca="1">IFERROR(__xludf.DUMMYFUNCTION("GoogleFinance(B308,""name"")"),"Align Technology Inc")</f>
        <v>Align Technology Inc</v>
      </c>
      <c r="D308" s="378">
        <f ca="1">IFERROR(__xludf.DUMMYFUNCTION("GoogleFinance(B308,""marketcap"")/1000000"),9147.055207)</f>
        <v>9147.0552069999994</v>
      </c>
      <c r="E308" s="379" t="s">
        <v>17</v>
      </c>
      <c r="F308" s="379" t="s">
        <v>333</v>
      </c>
      <c r="G308" s="397">
        <v>45489</v>
      </c>
      <c r="H308" s="381">
        <v>45656</v>
      </c>
      <c r="I308" s="300">
        <f t="shared" ca="1" si="33"/>
        <v>3.0513316167001151E-2</v>
      </c>
      <c r="J308" s="382">
        <v>207.5</v>
      </c>
      <c r="K308" s="324">
        <v>243.8</v>
      </c>
      <c r="L308" s="383">
        <v>22</v>
      </c>
      <c r="M308" s="313">
        <f t="shared" si="45"/>
        <v>5363.6</v>
      </c>
      <c r="N308" s="384">
        <f t="shared" si="35"/>
        <v>4565</v>
      </c>
      <c r="O308" s="384">
        <f t="shared" si="36"/>
        <v>-798.60000000000036</v>
      </c>
      <c r="P308" s="254">
        <f t="shared" si="37"/>
        <v>-0.14889253486464316</v>
      </c>
      <c r="Q308" s="282">
        <f t="shared" si="44"/>
        <v>167</v>
      </c>
      <c r="R308" s="4" t="s">
        <v>264</v>
      </c>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row>
    <row r="309" spans="1:79" ht="15.75" customHeight="1">
      <c r="A309" s="29"/>
      <c r="B309" s="7" t="s">
        <v>307</v>
      </c>
      <c r="C309" s="377" t="str">
        <f ca="1">IFERROR(__xludf.DUMMYFUNCTION("GoogleFinance(B309,""name"")"),"T-Mobile Us Inc")</f>
        <v>T-Mobile Us Inc</v>
      </c>
      <c r="D309" s="378">
        <f ca="1">IFERROR(__xludf.DUMMYFUNCTION("GoogleFinance(B309,""marketcap"")/1000000"),267253.251303)</f>
        <v>267253.25130300003</v>
      </c>
      <c r="E309" s="379" t="s">
        <v>13</v>
      </c>
      <c r="F309" s="379" t="s">
        <v>83</v>
      </c>
      <c r="G309" s="380">
        <v>45191</v>
      </c>
      <c r="H309" s="381">
        <v>45656</v>
      </c>
      <c r="I309" s="300">
        <f t="shared" ca="1" si="33"/>
        <v>7.9739530470716215E-3</v>
      </c>
      <c r="J309" s="382">
        <v>221.3</v>
      </c>
      <c r="K309" s="324">
        <v>139.5</v>
      </c>
      <c r="L309" s="383">
        <f>4100/K309-10-10-4</f>
        <v>5.3906810035842305</v>
      </c>
      <c r="M309" s="313">
        <f t="shared" si="45"/>
        <v>752.00000000000011</v>
      </c>
      <c r="N309" s="384">
        <f t="shared" si="35"/>
        <v>1192.9577060931904</v>
      </c>
      <c r="O309" s="384">
        <f t="shared" si="36"/>
        <v>440.95770609319027</v>
      </c>
      <c r="P309" s="254">
        <f t="shared" si="37"/>
        <v>0.5863799283154123</v>
      </c>
      <c r="Q309" s="282">
        <f t="shared" si="44"/>
        <v>465</v>
      </c>
      <c r="R309" s="4" t="s">
        <v>264</v>
      </c>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row>
    <row r="310" spans="1:79" ht="15.75" customHeight="1">
      <c r="A310" s="29"/>
      <c r="B310" s="1" t="s">
        <v>196</v>
      </c>
      <c r="C310" s="438" t="str">
        <f ca="1">IFERROR(__xludf.DUMMYFUNCTION("GoogleFinance(B310,""name"")"),"abrdn Physical Platinum Shares ETF")</f>
        <v>abrdn Physical Platinum Shares ETF</v>
      </c>
      <c r="D310" s="234" t="str">
        <f ca="1">IFERROR(__xludf.DUMMYFUNCTION("GoogleFinance(B310,""marketcap"")/1000000"),"#N/A")</f>
        <v>#N/A</v>
      </c>
      <c r="E310" s="229" t="s">
        <v>38</v>
      </c>
      <c r="F310" s="229" t="s">
        <v>197</v>
      </c>
      <c r="G310" s="235">
        <v>45587</v>
      </c>
      <c r="H310" s="381">
        <v>45656</v>
      </c>
      <c r="I310" s="10">
        <f t="shared" ca="1" si="33"/>
        <v>2.2084555666105541E-2</v>
      </c>
      <c r="J310" s="236">
        <v>82.6</v>
      </c>
      <c r="K310" s="237">
        <v>93.57</v>
      </c>
      <c r="L310" s="238">
        <v>40</v>
      </c>
      <c r="M310" s="239">
        <f t="shared" si="45"/>
        <v>3742.7999999999997</v>
      </c>
      <c r="N310" s="226">
        <f t="shared" si="35"/>
        <v>3304</v>
      </c>
      <c r="O310" s="406">
        <f t="shared" si="36"/>
        <v>-438.79999999999973</v>
      </c>
      <c r="P310" s="407">
        <f t="shared" si="37"/>
        <v>-0.11723843112108578</v>
      </c>
      <c r="Q310" s="282">
        <f t="shared" si="44"/>
        <v>69</v>
      </c>
      <c r="R310" s="29" t="s">
        <v>62</v>
      </c>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row>
    <row r="311" spans="1:79" ht="15.75" customHeight="1">
      <c r="B311" s="7"/>
      <c r="C311" s="377"/>
      <c r="D311" s="378"/>
      <c r="E311" s="379"/>
      <c r="F311" s="379"/>
      <c r="G311" s="380"/>
      <c r="H311" s="381"/>
      <c r="I311" s="300"/>
      <c r="J311" s="382"/>
      <c r="K311" s="324"/>
      <c r="L311" s="383"/>
      <c r="M311" s="313"/>
      <c r="N311" s="384"/>
      <c r="O311" s="384"/>
      <c r="P311" s="254"/>
      <c r="Q311" s="282"/>
      <c r="R311" s="29"/>
      <c r="S311" s="29"/>
      <c r="T311" s="29"/>
      <c r="U311" s="29"/>
      <c r="V311" s="29"/>
      <c r="W311" s="29"/>
      <c r="X311" s="29"/>
    </row>
    <row r="312" spans="1:79" ht="15.75" customHeight="1">
      <c r="B312" s="7"/>
      <c r="C312" s="377"/>
      <c r="D312" s="378"/>
      <c r="E312" s="379"/>
      <c r="F312" s="379"/>
      <c r="G312" s="380"/>
      <c r="H312" s="381"/>
      <c r="I312" s="300"/>
      <c r="J312" s="382"/>
      <c r="K312" s="324"/>
      <c r="L312" s="383"/>
      <c r="M312" s="313"/>
      <c r="N312" s="384"/>
      <c r="O312" s="384"/>
      <c r="P312" s="254"/>
      <c r="Q312" s="282"/>
      <c r="R312" s="29"/>
      <c r="S312" s="29"/>
      <c r="T312" s="29"/>
      <c r="U312" s="29"/>
      <c r="V312" s="29"/>
      <c r="W312" s="29"/>
      <c r="X312" s="29"/>
    </row>
    <row r="313" spans="1:79" ht="15.75" customHeight="1">
      <c r="S313" s="29"/>
      <c r="T313" s="29"/>
      <c r="U313" s="29"/>
      <c r="V313" s="29"/>
      <c r="W313" s="29"/>
      <c r="X313" s="29"/>
    </row>
    <row r="314" spans="1:79" ht="15.75" customHeight="1">
      <c r="S314" s="29"/>
      <c r="T314" s="29"/>
      <c r="U314" s="29"/>
      <c r="V314" s="29"/>
      <c r="W314" s="29"/>
      <c r="X314" s="29"/>
    </row>
    <row r="315" spans="1:79" ht="15.75" customHeight="1">
      <c r="C315" s="549"/>
    </row>
    <row r="316" spans="1:79" ht="15.75" customHeight="1">
      <c r="C316" s="549"/>
    </row>
    <row r="317" spans="1:79" ht="15.75" customHeight="1">
      <c r="C317" s="549"/>
    </row>
    <row r="318" spans="1:79" ht="15.75" customHeight="1">
      <c r="C318" s="549"/>
    </row>
    <row r="319" spans="1:79" ht="15.75" customHeight="1">
      <c r="C319" s="549"/>
    </row>
    <row r="320" spans="1:79" ht="15.75" customHeight="1">
      <c r="C320" s="549"/>
    </row>
    <row r="321" spans="3:3" ht="15.75" customHeight="1">
      <c r="C321" s="549"/>
    </row>
    <row r="322" spans="3:3" ht="15.75" customHeight="1">
      <c r="C322" s="549"/>
    </row>
    <row r="323" spans="3:3" ht="15.75" customHeight="1">
      <c r="C323" s="549"/>
    </row>
    <row r="324" spans="3:3" ht="15.75" customHeight="1">
      <c r="C324" s="549"/>
    </row>
    <row r="325" spans="3:3" ht="15.75" customHeight="1">
      <c r="C325" s="549"/>
    </row>
    <row r="326" spans="3:3" ht="15.75" customHeight="1">
      <c r="C326" s="549"/>
    </row>
    <row r="327" spans="3:3" ht="15.75" customHeight="1">
      <c r="C327" s="549"/>
    </row>
    <row r="328" spans="3:3" ht="15.75" customHeight="1">
      <c r="C328" s="549"/>
    </row>
    <row r="329" spans="3:3" ht="15.75" customHeight="1">
      <c r="C329" s="549"/>
    </row>
    <row r="330" spans="3:3" ht="15.75" customHeight="1">
      <c r="C330" s="549"/>
    </row>
    <row r="331" spans="3:3" ht="15.75" customHeight="1">
      <c r="C331" s="549"/>
    </row>
    <row r="332" spans="3:3" ht="15.75" customHeight="1">
      <c r="C332" s="549"/>
    </row>
    <row r="333" spans="3:3" ht="15.75" customHeight="1">
      <c r="C333" s="549"/>
    </row>
    <row r="334" spans="3:3" ht="15.75" customHeight="1">
      <c r="C334" s="549"/>
    </row>
    <row r="335" spans="3:3" ht="15.75" customHeight="1">
      <c r="C335" s="549"/>
    </row>
    <row r="336" spans="3:3" ht="15.75" customHeight="1">
      <c r="C336" s="549"/>
    </row>
    <row r="337" spans="3:3" ht="15.75" customHeight="1">
      <c r="C337" s="549"/>
    </row>
    <row r="338" spans="3:3" ht="15.75" customHeight="1">
      <c r="C338" s="549"/>
    </row>
    <row r="339" spans="3:3" ht="15.75" customHeight="1">
      <c r="C339" s="549"/>
    </row>
    <row r="340" spans="3:3" ht="15.75" customHeight="1">
      <c r="C340" s="549"/>
    </row>
    <row r="341" spans="3:3" ht="15.75" customHeight="1">
      <c r="C341" s="549"/>
    </row>
    <row r="342" spans="3:3" ht="15.75" customHeight="1">
      <c r="C342" s="549"/>
    </row>
    <row r="343" spans="3:3" ht="15.75" customHeight="1">
      <c r="C343" s="549"/>
    </row>
    <row r="344" spans="3:3" ht="15.75" customHeight="1">
      <c r="C344" s="549"/>
    </row>
    <row r="345" spans="3:3" ht="15.75" customHeight="1">
      <c r="C345" s="549"/>
    </row>
    <row r="346" spans="3:3" ht="15.75" customHeight="1">
      <c r="C346" s="549"/>
    </row>
    <row r="347" spans="3:3" ht="15.75" customHeight="1">
      <c r="C347" s="549"/>
    </row>
    <row r="348" spans="3:3" ht="15.75" customHeight="1">
      <c r="C348" s="549"/>
    </row>
    <row r="349" spans="3:3" ht="15.75" customHeight="1">
      <c r="C349" s="549"/>
    </row>
    <row r="350" spans="3:3" ht="15.75" customHeight="1">
      <c r="C350" s="549"/>
    </row>
    <row r="351" spans="3:3" ht="15.75" customHeight="1">
      <c r="C351" s="549"/>
    </row>
    <row r="352" spans="3:3" ht="15.75" customHeight="1">
      <c r="C352" s="549"/>
    </row>
    <row r="353" spans="3:3" ht="15.75" customHeight="1">
      <c r="C353" s="549"/>
    </row>
    <row r="354" spans="3:3" ht="15.75" customHeight="1">
      <c r="C354" s="549"/>
    </row>
    <row r="355" spans="3:3" ht="15.75" customHeight="1">
      <c r="C355" s="549"/>
    </row>
    <row r="356" spans="3:3" ht="15.75" customHeight="1">
      <c r="C356" s="549"/>
    </row>
    <row r="357" spans="3:3" ht="15.75" customHeight="1">
      <c r="C357" s="549"/>
    </row>
    <row r="358" spans="3:3" ht="15.75" customHeight="1">
      <c r="C358" s="549"/>
    </row>
    <row r="359" spans="3:3" ht="15.75" customHeight="1">
      <c r="C359" s="549"/>
    </row>
    <row r="360" spans="3:3" ht="15.75" customHeight="1">
      <c r="C360" s="549"/>
    </row>
    <row r="361" spans="3:3" ht="15.75" customHeight="1">
      <c r="C361" s="549"/>
    </row>
    <row r="362" spans="3:3" ht="15.75" customHeight="1">
      <c r="C362" s="549"/>
    </row>
    <row r="363" spans="3:3" ht="15.75" customHeight="1">
      <c r="C363" s="549"/>
    </row>
    <row r="364" spans="3:3" ht="15.75" customHeight="1">
      <c r="C364" s="549"/>
    </row>
    <row r="365" spans="3:3" ht="15.75" customHeight="1">
      <c r="C365" s="549"/>
    </row>
    <row r="366" spans="3:3" ht="15.75" customHeight="1">
      <c r="C366" s="549"/>
    </row>
    <row r="367" spans="3:3" ht="15.75" customHeight="1">
      <c r="C367" s="549"/>
    </row>
    <row r="368" spans="3:3" ht="15.75" customHeight="1">
      <c r="C368" s="549"/>
    </row>
    <row r="369" spans="3:3" ht="15.75" customHeight="1">
      <c r="C369" s="549"/>
    </row>
    <row r="370" spans="3:3" ht="15.75" customHeight="1">
      <c r="C370" s="549"/>
    </row>
    <row r="371" spans="3:3" ht="15.75" customHeight="1">
      <c r="C371" s="549"/>
    </row>
    <row r="372" spans="3:3" ht="15.75" customHeight="1">
      <c r="C372" s="549"/>
    </row>
    <row r="373" spans="3:3" ht="15.75" customHeight="1">
      <c r="C373" s="549"/>
    </row>
    <row r="374" spans="3:3" ht="15.75" customHeight="1">
      <c r="C374" s="549"/>
    </row>
    <row r="375" spans="3:3" ht="15.75" customHeight="1">
      <c r="C375" s="549"/>
    </row>
    <row r="376" spans="3:3" ht="15.75" customHeight="1">
      <c r="C376" s="549"/>
    </row>
    <row r="377" spans="3:3" ht="15.75" customHeight="1">
      <c r="C377" s="549"/>
    </row>
    <row r="378" spans="3:3" ht="15.75" customHeight="1">
      <c r="C378" s="549"/>
    </row>
    <row r="379" spans="3:3" ht="15.75" customHeight="1">
      <c r="C379" s="549"/>
    </row>
    <row r="380" spans="3:3" ht="15.75" customHeight="1">
      <c r="C380" s="549"/>
    </row>
    <row r="381" spans="3:3" ht="15.75" customHeight="1">
      <c r="C381" s="549"/>
    </row>
    <row r="382" spans="3:3" ht="15.75" customHeight="1">
      <c r="C382" s="549"/>
    </row>
    <row r="383" spans="3:3" ht="15.75" customHeight="1">
      <c r="C383" s="549"/>
    </row>
    <row r="384" spans="3:3" ht="15.75" customHeight="1">
      <c r="C384" s="549"/>
    </row>
    <row r="385" spans="3:3" ht="15.75" customHeight="1">
      <c r="C385" s="549"/>
    </row>
    <row r="386" spans="3:3" ht="15.75" customHeight="1">
      <c r="C386" s="549"/>
    </row>
    <row r="387" spans="3:3" ht="15.75" customHeight="1">
      <c r="C387" s="549"/>
    </row>
    <row r="388" spans="3:3" ht="15.75" customHeight="1">
      <c r="C388" s="549"/>
    </row>
    <row r="389" spans="3:3" ht="15.75" customHeight="1">
      <c r="C389" s="549"/>
    </row>
    <row r="390" spans="3:3" ht="15.75" customHeight="1">
      <c r="C390" s="549"/>
    </row>
    <row r="391" spans="3:3" ht="15.75" customHeight="1">
      <c r="C391" s="549"/>
    </row>
    <row r="392" spans="3:3" ht="15.75" customHeight="1">
      <c r="C392" s="549"/>
    </row>
    <row r="393" spans="3:3" ht="15.75" customHeight="1">
      <c r="C393" s="549"/>
    </row>
    <row r="394" spans="3:3" ht="15.75" customHeight="1">
      <c r="C394" s="549"/>
    </row>
    <row r="395" spans="3:3" ht="15.75" customHeight="1">
      <c r="C395" s="549"/>
    </row>
    <row r="396" spans="3:3" ht="15.75" customHeight="1">
      <c r="C396" s="549"/>
    </row>
    <row r="397" spans="3:3" ht="15.75" customHeight="1">
      <c r="C397" s="549"/>
    </row>
    <row r="398" spans="3:3" ht="15.75" customHeight="1">
      <c r="C398" s="549"/>
    </row>
    <row r="399" spans="3:3" ht="15.75" customHeight="1">
      <c r="C399" s="549"/>
    </row>
    <row r="400" spans="3:3" ht="15.75" customHeight="1">
      <c r="C400" s="549"/>
    </row>
    <row r="401" spans="3:3" ht="15.75" customHeight="1">
      <c r="C401" s="549"/>
    </row>
    <row r="402" spans="3:3" ht="15.75" customHeight="1">
      <c r="C402" s="549"/>
    </row>
    <row r="403" spans="3:3" ht="15.75" customHeight="1">
      <c r="C403" s="549"/>
    </row>
    <row r="404" spans="3:3" ht="15.75" customHeight="1">
      <c r="C404" s="549"/>
    </row>
    <row r="405" spans="3:3" ht="15.75" customHeight="1">
      <c r="C405" s="549"/>
    </row>
    <row r="406" spans="3:3" ht="15.75" customHeight="1">
      <c r="C406" s="549"/>
    </row>
    <row r="407" spans="3:3" ht="15.75" customHeight="1">
      <c r="C407" s="549"/>
    </row>
    <row r="408" spans="3:3" ht="15.75" customHeight="1">
      <c r="C408" s="549"/>
    </row>
    <row r="409" spans="3:3" ht="15.75" customHeight="1">
      <c r="C409" s="549"/>
    </row>
    <row r="410" spans="3:3" ht="15.75" customHeight="1">
      <c r="C410" s="549"/>
    </row>
    <row r="411" spans="3:3" ht="15.75" customHeight="1">
      <c r="C411" s="549"/>
    </row>
    <row r="412" spans="3:3" ht="15.75" customHeight="1">
      <c r="C412" s="549"/>
    </row>
    <row r="413" spans="3:3" ht="15.75" customHeight="1">
      <c r="C413" s="549"/>
    </row>
    <row r="414" spans="3:3" ht="15.75" customHeight="1">
      <c r="C414" s="549"/>
    </row>
    <row r="415" spans="3:3" ht="15.75" customHeight="1">
      <c r="C415" s="549"/>
    </row>
    <row r="416" spans="3:3" ht="15.75" customHeight="1">
      <c r="C416" s="549"/>
    </row>
    <row r="417" spans="3:3" ht="15.75" customHeight="1">
      <c r="C417" s="549"/>
    </row>
    <row r="418" spans="3:3" ht="15.75" customHeight="1">
      <c r="C418" s="549"/>
    </row>
    <row r="419" spans="3:3" ht="15.75" customHeight="1">
      <c r="C419" s="549"/>
    </row>
    <row r="420" spans="3:3" ht="15.75" customHeight="1">
      <c r="C420" s="549"/>
    </row>
    <row r="421" spans="3:3" ht="15.75" customHeight="1">
      <c r="C421" s="549"/>
    </row>
    <row r="422" spans="3:3" ht="15.75" customHeight="1">
      <c r="C422" s="549"/>
    </row>
    <row r="423" spans="3:3" ht="15.75" customHeight="1">
      <c r="C423" s="549"/>
    </row>
    <row r="424" spans="3:3" ht="15.75" customHeight="1">
      <c r="C424" s="549"/>
    </row>
    <row r="425" spans="3:3" ht="15.75" customHeight="1">
      <c r="C425" s="549"/>
    </row>
    <row r="426" spans="3:3" ht="15.75" customHeight="1">
      <c r="C426" s="549"/>
    </row>
    <row r="427" spans="3:3" ht="15.75" customHeight="1">
      <c r="C427" s="549"/>
    </row>
    <row r="428" spans="3:3" ht="15.75" customHeight="1">
      <c r="C428" s="549"/>
    </row>
    <row r="429" spans="3:3" ht="15.75" customHeight="1">
      <c r="C429" s="549"/>
    </row>
    <row r="430" spans="3:3" ht="15.75" customHeight="1">
      <c r="C430" s="549"/>
    </row>
    <row r="431" spans="3:3" ht="15.75" customHeight="1">
      <c r="C431" s="549"/>
    </row>
    <row r="432" spans="3:3" ht="15.75" customHeight="1">
      <c r="C432" s="549"/>
    </row>
    <row r="433" spans="3:3" ht="15.75" customHeight="1">
      <c r="C433" s="549"/>
    </row>
    <row r="434" spans="3:3" ht="15.75" customHeight="1">
      <c r="C434" s="549"/>
    </row>
    <row r="435" spans="3:3" ht="15.75" customHeight="1">
      <c r="C435" s="549"/>
    </row>
    <row r="436" spans="3:3" ht="15.75" customHeight="1">
      <c r="C436" s="549"/>
    </row>
    <row r="437" spans="3:3" ht="15.75" customHeight="1">
      <c r="C437" s="549"/>
    </row>
    <row r="438" spans="3:3" ht="15.75" customHeight="1">
      <c r="C438" s="549"/>
    </row>
    <row r="439" spans="3:3" ht="15.75" customHeight="1">
      <c r="C439" s="549"/>
    </row>
    <row r="440" spans="3:3" ht="15.75" customHeight="1">
      <c r="C440" s="549"/>
    </row>
    <row r="441" spans="3:3" ht="15.75" customHeight="1">
      <c r="C441" s="549"/>
    </row>
    <row r="442" spans="3:3" ht="15.75" customHeight="1">
      <c r="C442" s="549"/>
    </row>
    <row r="443" spans="3:3" ht="15.75" customHeight="1">
      <c r="C443" s="549"/>
    </row>
    <row r="444" spans="3:3" ht="15.75" customHeight="1">
      <c r="C444" s="549"/>
    </row>
    <row r="445" spans="3:3" ht="15.75" customHeight="1">
      <c r="C445" s="549"/>
    </row>
    <row r="446" spans="3:3" ht="15.75" customHeight="1">
      <c r="C446" s="549"/>
    </row>
    <row r="447" spans="3:3" ht="15.75" customHeight="1">
      <c r="C447" s="549"/>
    </row>
    <row r="448" spans="3:3" ht="15.75" customHeight="1">
      <c r="C448" s="549"/>
    </row>
    <row r="449" spans="3:3" ht="15.75" customHeight="1">
      <c r="C449" s="549"/>
    </row>
    <row r="450" spans="3:3" ht="15.75" customHeight="1">
      <c r="C450" s="549"/>
    </row>
    <row r="451" spans="3:3" ht="15.75" customHeight="1">
      <c r="C451" s="549"/>
    </row>
    <row r="452" spans="3:3" ht="15.75" customHeight="1">
      <c r="C452" s="549"/>
    </row>
    <row r="453" spans="3:3" ht="15.75" customHeight="1">
      <c r="C453" s="549"/>
    </row>
    <row r="454" spans="3:3" ht="15.75" customHeight="1">
      <c r="C454" s="549"/>
    </row>
    <row r="455" spans="3:3" ht="15.75" customHeight="1">
      <c r="C455" s="549"/>
    </row>
    <row r="456" spans="3:3" ht="15.75" customHeight="1">
      <c r="C456" s="549"/>
    </row>
    <row r="457" spans="3:3" ht="15.75" customHeight="1">
      <c r="C457" s="549"/>
    </row>
    <row r="458" spans="3:3" ht="15.75" customHeight="1">
      <c r="C458" s="549"/>
    </row>
    <row r="459" spans="3:3" ht="15.75" customHeight="1">
      <c r="C459" s="549"/>
    </row>
    <row r="460" spans="3:3" ht="15.75" customHeight="1">
      <c r="C460" s="549"/>
    </row>
    <row r="461" spans="3:3" ht="15.75" customHeight="1">
      <c r="C461" s="549"/>
    </row>
    <row r="462" spans="3:3" ht="15.75" customHeight="1">
      <c r="C462" s="549"/>
    </row>
    <row r="463" spans="3:3" ht="15.75" customHeight="1">
      <c r="C463" s="549"/>
    </row>
    <row r="464" spans="3:3" ht="15.75" customHeight="1">
      <c r="C464" s="549"/>
    </row>
    <row r="465" spans="3:3" ht="15.75" customHeight="1">
      <c r="C465" s="549"/>
    </row>
    <row r="466" spans="3:3" ht="15.75" customHeight="1">
      <c r="C466" s="549"/>
    </row>
    <row r="467" spans="3:3" ht="15.75" customHeight="1">
      <c r="C467" s="549"/>
    </row>
    <row r="468" spans="3:3" ht="15.75" customHeight="1">
      <c r="C468" s="549"/>
    </row>
    <row r="469" spans="3:3" ht="15.75" customHeight="1">
      <c r="C469" s="549"/>
    </row>
    <row r="470" spans="3:3" ht="15.75" customHeight="1">
      <c r="C470" s="549"/>
    </row>
    <row r="471" spans="3:3" ht="15.75" customHeight="1">
      <c r="C471" s="549"/>
    </row>
    <row r="472" spans="3:3" ht="15.75" customHeight="1">
      <c r="C472" s="549"/>
    </row>
    <row r="473" spans="3:3" ht="15.75" customHeight="1">
      <c r="C473" s="549"/>
    </row>
    <row r="474" spans="3:3" ht="15.75" customHeight="1">
      <c r="C474" s="549"/>
    </row>
    <row r="475" spans="3:3" ht="15.75" customHeight="1">
      <c r="C475" s="549"/>
    </row>
    <row r="476" spans="3:3" ht="15.75" customHeight="1">
      <c r="C476" s="549"/>
    </row>
    <row r="477" spans="3:3" ht="15.75" customHeight="1">
      <c r="C477" s="549"/>
    </row>
    <row r="478" spans="3:3" ht="15.75" customHeight="1">
      <c r="C478" s="549"/>
    </row>
    <row r="479" spans="3:3" ht="15.75" customHeight="1">
      <c r="C479" s="549"/>
    </row>
    <row r="480" spans="3:3" ht="15.75" customHeight="1">
      <c r="C480" s="549"/>
    </row>
    <row r="481" spans="3:3" ht="15.75" customHeight="1">
      <c r="C481" s="549"/>
    </row>
    <row r="482" spans="3:3" ht="15.75" customHeight="1">
      <c r="C482" s="549"/>
    </row>
    <row r="483" spans="3:3" ht="15.75" customHeight="1">
      <c r="C483" s="549"/>
    </row>
    <row r="484" spans="3:3" ht="15.75" customHeight="1">
      <c r="C484" s="549"/>
    </row>
    <row r="485" spans="3:3" ht="15.75" customHeight="1">
      <c r="C485" s="549"/>
    </row>
    <row r="486" spans="3:3" ht="15.75" customHeight="1">
      <c r="C486" s="549"/>
    </row>
    <row r="487" spans="3:3" ht="15.75" customHeight="1">
      <c r="C487" s="549"/>
    </row>
    <row r="488" spans="3:3" ht="15.75" customHeight="1">
      <c r="C488" s="549"/>
    </row>
    <row r="489" spans="3:3" ht="15.75" customHeight="1">
      <c r="C489" s="549"/>
    </row>
    <row r="490" spans="3:3" ht="15.75" customHeight="1">
      <c r="C490" s="549"/>
    </row>
    <row r="491" spans="3:3" ht="15.75" customHeight="1">
      <c r="C491" s="549"/>
    </row>
    <row r="492" spans="3:3" ht="15.75" customHeight="1">
      <c r="C492" s="549"/>
    </row>
    <row r="493" spans="3:3" ht="15.75" customHeight="1">
      <c r="C493" s="549"/>
    </row>
    <row r="494" spans="3:3" ht="15.75" customHeight="1">
      <c r="C494" s="549"/>
    </row>
    <row r="495" spans="3:3" ht="15.75" customHeight="1">
      <c r="C495" s="549"/>
    </row>
    <row r="496" spans="3:3" ht="15.75" customHeight="1">
      <c r="C496" s="549"/>
    </row>
    <row r="497" spans="3:3" ht="15.75" customHeight="1">
      <c r="C497" s="549"/>
    </row>
    <row r="498" spans="3:3" ht="15.75" customHeight="1">
      <c r="C498" s="549"/>
    </row>
    <row r="499" spans="3:3" ht="15.75" customHeight="1">
      <c r="C499" s="549"/>
    </row>
    <row r="500" spans="3:3" ht="15.75" customHeight="1">
      <c r="C500" s="549"/>
    </row>
    <row r="501" spans="3:3" ht="15.75" customHeight="1">
      <c r="C501" s="549"/>
    </row>
    <row r="502" spans="3:3" ht="15.75" customHeight="1">
      <c r="C502" s="549"/>
    </row>
    <row r="503" spans="3:3" ht="15.75" customHeight="1">
      <c r="C503" s="549"/>
    </row>
    <row r="504" spans="3:3" ht="15.75" customHeight="1">
      <c r="C504" s="549"/>
    </row>
    <row r="505" spans="3:3" ht="15.75" customHeight="1">
      <c r="C505" s="549"/>
    </row>
    <row r="506" spans="3:3" ht="15.75" customHeight="1">
      <c r="C506" s="549"/>
    </row>
    <row r="507" spans="3:3" ht="15.75" customHeight="1">
      <c r="C507" s="549"/>
    </row>
    <row r="508" spans="3:3" ht="15.75" customHeight="1">
      <c r="C508" s="549"/>
    </row>
    <row r="509" spans="3:3" ht="15.75" customHeight="1">
      <c r="C509" s="549"/>
    </row>
    <row r="510" spans="3:3" ht="15.75" customHeight="1">
      <c r="C510" s="549"/>
    </row>
    <row r="511" spans="3:3" ht="15.75" customHeight="1">
      <c r="C511" s="549"/>
    </row>
    <row r="512" spans="3:3" ht="15.75" customHeight="1">
      <c r="C512" s="549"/>
    </row>
    <row r="513" spans="3:3" ht="15.75" customHeight="1">
      <c r="C513" s="549"/>
    </row>
    <row r="514" spans="3:3" ht="15.75" customHeight="1">
      <c r="C514" s="549"/>
    </row>
    <row r="515" spans="3:3" ht="15.75" customHeight="1">
      <c r="C515" s="549"/>
    </row>
    <row r="516" spans="3:3" ht="15.75" customHeight="1">
      <c r="C516" s="549"/>
    </row>
    <row r="517" spans="3:3" ht="15.75" customHeight="1">
      <c r="C517" s="549"/>
    </row>
    <row r="518" spans="3:3" ht="15.75" customHeight="1">
      <c r="C518" s="549"/>
    </row>
    <row r="519" spans="3:3" ht="15.75" customHeight="1">
      <c r="C519" s="549"/>
    </row>
    <row r="520" spans="3:3" ht="15.75" customHeight="1">
      <c r="C520" s="549"/>
    </row>
    <row r="521" spans="3:3" ht="15.75" customHeight="1">
      <c r="C521" s="549"/>
    </row>
    <row r="522" spans="3:3" ht="15.75" customHeight="1">
      <c r="C522" s="549"/>
    </row>
    <row r="523" spans="3:3" ht="15.75" customHeight="1">
      <c r="C523" s="549"/>
    </row>
    <row r="524" spans="3:3" ht="15.75" customHeight="1">
      <c r="C524" s="549"/>
    </row>
    <row r="525" spans="3:3" ht="15.75" customHeight="1">
      <c r="C525" s="549"/>
    </row>
    <row r="526" spans="3:3" ht="15.75" customHeight="1">
      <c r="C526" s="549"/>
    </row>
    <row r="527" spans="3:3" ht="15.75" customHeight="1">
      <c r="C527" s="549"/>
    </row>
    <row r="528" spans="3:3" ht="15.75" customHeight="1">
      <c r="C528" s="549"/>
    </row>
    <row r="529" spans="3:3" ht="15.75" customHeight="1">
      <c r="C529" s="549"/>
    </row>
    <row r="530" spans="3:3" ht="15.75" customHeight="1">
      <c r="C530" s="549"/>
    </row>
    <row r="531" spans="3:3" ht="15.75" customHeight="1">
      <c r="C531" s="549"/>
    </row>
    <row r="532" spans="3:3" ht="15.75" customHeight="1">
      <c r="C532" s="549"/>
    </row>
    <row r="533" spans="3:3" ht="15.75" customHeight="1">
      <c r="C533" s="549"/>
    </row>
    <row r="534" spans="3:3" ht="15.75" customHeight="1">
      <c r="C534" s="549"/>
    </row>
    <row r="535" spans="3:3" ht="15.75" customHeight="1">
      <c r="C535" s="549"/>
    </row>
    <row r="536" spans="3:3" ht="15.75" customHeight="1">
      <c r="C536" s="549"/>
    </row>
    <row r="537" spans="3:3" ht="15.75" customHeight="1">
      <c r="C537" s="549"/>
    </row>
    <row r="538" spans="3:3" ht="15.75" customHeight="1">
      <c r="C538" s="549"/>
    </row>
    <row r="539" spans="3:3" ht="15.75" customHeight="1">
      <c r="C539" s="549"/>
    </row>
    <row r="540" spans="3:3" ht="15.75" customHeight="1">
      <c r="C540" s="549"/>
    </row>
    <row r="541" spans="3:3" ht="15.75" customHeight="1">
      <c r="C541" s="549"/>
    </row>
    <row r="542" spans="3:3" ht="15.75" customHeight="1">
      <c r="C542" s="549"/>
    </row>
    <row r="543" spans="3:3" ht="15.75" customHeight="1">
      <c r="C543" s="549"/>
    </row>
    <row r="544" spans="3:3" ht="15.75" customHeight="1">
      <c r="C544" s="549"/>
    </row>
    <row r="545" spans="3:3" ht="15.75" customHeight="1">
      <c r="C545" s="549"/>
    </row>
    <row r="546" spans="3:3" ht="15.75" customHeight="1">
      <c r="C546" s="549"/>
    </row>
    <row r="547" spans="3:3" ht="15.75" customHeight="1">
      <c r="C547" s="549"/>
    </row>
    <row r="548" spans="3:3" ht="15.75" customHeight="1">
      <c r="C548" s="549"/>
    </row>
    <row r="549" spans="3:3" ht="15.75" customHeight="1">
      <c r="C549" s="549"/>
    </row>
    <row r="550" spans="3:3" ht="15.75" customHeight="1">
      <c r="C550" s="549"/>
    </row>
    <row r="551" spans="3:3" ht="15.75" customHeight="1">
      <c r="C551" s="549"/>
    </row>
    <row r="552" spans="3:3" ht="15.75" customHeight="1">
      <c r="C552" s="549"/>
    </row>
    <row r="553" spans="3:3" ht="15.75" customHeight="1">
      <c r="C553" s="549"/>
    </row>
    <row r="554" spans="3:3" ht="15.75" customHeight="1">
      <c r="C554" s="549"/>
    </row>
    <row r="555" spans="3:3" ht="15.75" customHeight="1">
      <c r="C555" s="549"/>
    </row>
    <row r="556" spans="3:3" ht="15.75" customHeight="1">
      <c r="C556" s="549"/>
    </row>
    <row r="557" spans="3:3" ht="15.75" customHeight="1">
      <c r="C557" s="549"/>
    </row>
    <row r="558" spans="3:3" ht="15.75" customHeight="1">
      <c r="C558" s="549"/>
    </row>
    <row r="559" spans="3:3" ht="15.75" customHeight="1">
      <c r="C559" s="549"/>
    </row>
    <row r="560" spans="3:3" ht="15.75" customHeight="1">
      <c r="C560" s="549"/>
    </row>
    <row r="561" spans="3:3" ht="15.75" customHeight="1">
      <c r="C561" s="549"/>
    </row>
    <row r="562" spans="3:3" ht="15.75" customHeight="1">
      <c r="C562" s="549"/>
    </row>
    <row r="563" spans="3:3" ht="15.75" customHeight="1">
      <c r="C563" s="549"/>
    </row>
    <row r="564" spans="3:3" ht="15.75" customHeight="1">
      <c r="C564" s="549"/>
    </row>
    <row r="565" spans="3:3" ht="15.75" customHeight="1">
      <c r="C565" s="549"/>
    </row>
    <row r="566" spans="3:3" ht="15.75" customHeight="1">
      <c r="C566" s="549"/>
    </row>
    <row r="567" spans="3:3" ht="15.75" customHeight="1">
      <c r="C567" s="549"/>
    </row>
    <row r="568" spans="3:3" ht="15.75" customHeight="1">
      <c r="C568" s="549"/>
    </row>
    <row r="569" spans="3:3" ht="15.75" customHeight="1">
      <c r="C569" s="549"/>
    </row>
    <row r="570" spans="3:3" ht="15.75" customHeight="1">
      <c r="C570" s="549"/>
    </row>
    <row r="571" spans="3:3" ht="15.75" customHeight="1">
      <c r="C571" s="549"/>
    </row>
    <row r="572" spans="3:3" ht="15.75" customHeight="1">
      <c r="C572" s="549"/>
    </row>
    <row r="573" spans="3:3" ht="15.75" customHeight="1">
      <c r="C573" s="549"/>
    </row>
    <row r="574" spans="3:3" ht="15.75" customHeight="1">
      <c r="C574" s="549"/>
    </row>
    <row r="575" spans="3:3" ht="15.75" customHeight="1">
      <c r="C575" s="549"/>
    </row>
    <row r="576" spans="3:3" ht="15.75" customHeight="1">
      <c r="C576" s="549"/>
    </row>
    <row r="577" spans="3:3" ht="15.75" customHeight="1">
      <c r="C577" s="549"/>
    </row>
    <row r="578" spans="3:3" ht="15.75" customHeight="1">
      <c r="C578" s="549"/>
    </row>
    <row r="579" spans="3:3" ht="15.75" customHeight="1">
      <c r="C579" s="549"/>
    </row>
    <row r="580" spans="3:3" ht="15.75" customHeight="1">
      <c r="C580" s="549"/>
    </row>
    <row r="581" spans="3:3" ht="15.75" customHeight="1">
      <c r="C581" s="549"/>
    </row>
    <row r="582" spans="3:3" ht="15.75" customHeight="1">
      <c r="C582" s="549"/>
    </row>
    <row r="583" spans="3:3" ht="15.75" customHeight="1">
      <c r="C583" s="549"/>
    </row>
    <row r="584" spans="3:3" ht="15.75" customHeight="1">
      <c r="C584" s="549"/>
    </row>
    <row r="585" spans="3:3" ht="15.75" customHeight="1">
      <c r="C585" s="549"/>
    </row>
    <row r="586" spans="3:3" ht="15.75" customHeight="1">
      <c r="C586" s="549"/>
    </row>
    <row r="587" spans="3:3" ht="15.75" customHeight="1">
      <c r="C587" s="549"/>
    </row>
    <row r="588" spans="3:3" ht="15.75" customHeight="1">
      <c r="C588" s="549"/>
    </row>
    <row r="589" spans="3:3" ht="15.75" customHeight="1">
      <c r="C589" s="549"/>
    </row>
    <row r="590" spans="3:3" ht="15.75" customHeight="1">
      <c r="C590" s="549"/>
    </row>
    <row r="591" spans="3:3" ht="15.75" customHeight="1">
      <c r="C591" s="549"/>
    </row>
    <row r="592" spans="3:3" ht="15.75" customHeight="1">
      <c r="C592" s="549"/>
    </row>
    <row r="593" spans="3:3" ht="15.75" customHeight="1">
      <c r="C593" s="549"/>
    </row>
    <row r="594" spans="3:3" ht="15.75" customHeight="1">
      <c r="C594" s="549"/>
    </row>
    <row r="595" spans="3:3" ht="15.75" customHeight="1">
      <c r="C595" s="549"/>
    </row>
    <row r="596" spans="3:3" ht="15.75" customHeight="1">
      <c r="C596" s="549"/>
    </row>
    <row r="597" spans="3:3" ht="15.75" customHeight="1">
      <c r="C597" s="549"/>
    </row>
    <row r="598" spans="3:3" ht="15.75" customHeight="1">
      <c r="C598" s="549"/>
    </row>
    <row r="599" spans="3:3" ht="15.75" customHeight="1">
      <c r="C599" s="549"/>
    </row>
    <row r="600" spans="3:3" ht="15.75" customHeight="1">
      <c r="C600" s="549"/>
    </row>
    <row r="601" spans="3:3" ht="15.75" customHeight="1">
      <c r="C601" s="549"/>
    </row>
    <row r="602" spans="3:3" ht="15.75" customHeight="1">
      <c r="C602" s="549"/>
    </row>
    <row r="603" spans="3:3" ht="15.75" customHeight="1">
      <c r="C603" s="549"/>
    </row>
    <row r="604" spans="3:3" ht="15.75" customHeight="1">
      <c r="C604" s="549"/>
    </row>
    <row r="605" spans="3:3" ht="15.75" customHeight="1">
      <c r="C605" s="549"/>
    </row>
    <row r="606" spans="3:3" ht="15.75" customHeight="1">
      <c r="C606" s="549"/>
    </row>
    <row r="607" spans="3:3" ht="15.75" customHeight="1">
      <c r="C607" s="549"/>
    </row>
    <row r="608" spans="3:3" ht="15.75" customHeight="1">
      <c r="C608" s="549"/>
    </row>
    <row r="609" spans="3:3" ht="15.75" customHeight="1">
      <c r="C609" s="549"/>
    </row>
    <row r="610" spans="3:3" ht="15.75" customHeight="1">
      <c r="C610" s="549"/>
    </row>
    <row r="611" spans="3:3" ht="15.75" customHeight="1">
      <c r="C611" s="549"/>
    </row>
    <row r="612" spans="3:3" ht="15.75" customHeight="1">
      <c r="C612" s="549"/>
    </row>
    <row r="613" spans="3:3" ht="15.75" customHeight="1">
      <c r="C613" s="549"/>
    </row>
    <row r="614" spans="3:3" ht="15.75" customHeight="1">
      <c r="C614" s="549"/>
    </row>
    <row r="615" spans="3:3" ht="15.75" customHeight="1">
      <c r="C615" s="549"/>
    </row>
    <row r="616" spans="3:3" ht="15.75" customHeight="1">
      <c r="C616" s="549"/>
    </row>
    <row r="617" spans="3:3" ht="15.75" customHeight="1">
      <c r="C617" s="549"/>
    </row>
    <row r="618" spans="3:3" ht="15.75" customHeight="1">
      <c r="C618" s="549"/>
    </row>
    <row r="619" spans="3:3" ht="15.75" customHeight="1">
      <c r="C619" s="549"/>
    </row>
    <row r="620" spans="3:3" ht="15.75" customHeight="1">
      <c r="C620" s="549"/>
    </row>
    <row r="621" spans="3:3" ht="15.75" customHeight="1">
      <c r="C621" s="549"/>
    </row>
    <row r="622" spans="3:3" ht="15.75" customHeight="1">
      <c r="C622" s="549"/>
    </row>
    <row r="623" spans="3:3" ht="15.75" customHeight="1">
      <c r="C623" s="549"/>
    </row>
    <row r="624" spans="3:3" ht="15.75" customHeight="1">
      <c r="C624" s="549"/>
    </row>
    <row r="625" spans="3:3" ht="15.75" customHeight="1">
      <c r="C625" s="549"/>
    </row>
    <row r="626" spans="3:3" ht="15.75" customHeight="1">
      <c r="C626" s="549"/>
    </row>
    <row r="627" spans="3:3" ht="15.75" customHeight="1">
      <c r="C627" s="549"/>
    </row>
    <row r="628" spans="3:3" ht="15.75" customHeight="1">
      <c r="C628" s="549"/>
    </row>
    <row r="629" spans="3:3" ht="15.75" customHeight="1">
      <c r="C629" s="549"/>
    </row>
    <row r="630" spans="3:3" ht="15.75" customHeight="1">
      <c r="C630" s="549"/>
    </row>
    <row r="631" spans="3:3" ht="15.75" customHeight="1">
      <c r="C631" s="549"/>
    </row>
    <row r="632" spans="3:3" ht="15.75" customHeight="1">
      <c r="C632" s="549"/>
    </row>
    <row r="633" spans="3:3" ht="15.75" customHeight="1">
      <c r="C633" s="549"/>
    </row>
    <row r="634" spans="3:3" ht="15.75" customHeight="1">
      <c r="C634" s="549"/>
    </row>
    <row r="635" spans="3:3" ht="15.75" customHeight="1">
      <c r="C635" s="549"/>
    </row>
    <row r="636" spans="3:3" ht="15.75" customHeight="1">
      <c r="C636" s="549"/>
    </row>
    <row r="637" spans="3:3" ht="15.75" customHeight="1">
      <c r="C637" s="549"/>
    </row>
    <row r="638" spans="3:3" ht="15.75" customHeight="1">
      <c r="C638" s="549"/>
    </row>
    <row r="639" spans="3:3" ht="15.75" customHeight="1">
      <c r="C639" s="549"/>
    </row>
    <row r="640" spans="3:3" ht="15.75" customHeight="1">
      <c r="C640" s="549"/>
    </row>
    <row r="641" spans="3:3" ht="15.75" customHeight="1">
      <c r="C641" s="549"/>
    </row>
    <row r="642" spans="3:3" ht="15.75" customHeight="1">
      <c r="C642" s="549"/>
    </row>
    <row r="643" spans="3:3" ht="15.75" customHeight="1">
      <c r="C643" s="549"/>
    </row>
    <row r="644" spans="3:3" ht="15.75" customHeight="1">
      <c r="C644" s="549"/>
    </row>
    <row r="645" spans="3:3" ht="15.75" customHeight="1">
      <c r="C645" s="549"/>
    </row>
    <row r="646" spans="3:3" ht="15.75" customHeight="1">
      <c r="C646" s="549"/>
    </row>
    <row r="647" spans="3:3" ht="15.75" customHeight="1">
      <c r="C647" s="549"/>
    </row>
    <row r="648" spans="3:3" ht="15.75" customHeight="1">
      <c r="C648" s="549"/>
    </row>
    <row r="649" spans="3:3" ht="15.75" customHeight="1">
      <c r="C649" s="549"/>
    </row>
    <row r="650" spans="3:3" ht="15.75" customHeight="1">
      <c r="C650" s="549"/>
    </row>
    <row r="651" spans="3:3" ht="15.75" customHeight="1">
      <c r="C651" s="549"/>
    </row>
    <row r="652" spans="3:3" ht="15.75" customHeight="1">
      <c r="C652" s="549"/>
    </row>
    <row r="653" spans="3:3" ht="15.75" customHeight="1">
      <c r="C653" s="549"/>
    </row>
    <row r="654" spans="3:3" ht="15.75" customHeight="1">
      <c r="C654" s="549"/>
    </row>
    <row r="655" spans="3:3" ht="15.75" customHeight="1">
      <c r="C655" s="549"/>
    </row>
    <row r="656" spans="3:3" ht="15.75" customHeight="1">
      <c r="C656" s="549"/>
    </row>
    <row r="657" spans="3:3" ht="15.75" customHeight="1">
      <c r="C657" s="549"/>
    </row>
    <row r="658" spans="3:3" ht="15.75" customHeight="1">
      <c r="C658" s="549"/>
    </row>
    <row r="659" spans="3:3" ht="15.75" customHeight="1">
      <c r="C659" s="549"/>
    </row>
    <row r="660" spans="3:3" ht="15.75" customHeight="1">
      <c r="C660" s="549"/>
    </row>
    <row r="661" spans="3:3" ht="15.75" customHeight="1">
      <c r="C661" s="549"/>
    </row>
    <row r="662" spans="3:3" ht="15.75" customHeight="1">
      <c r="C662" s="549"/>
    </row>
    <row r="663" spans="3:3" ht="15.75" customHeight="1">
      <c r="C663" s="549"/>
    </row>
    <row r="664" spans="3:3" ht="15.75" customHeight="1">
      <c r="C664" s="549"/>
    </row>
    <row r="665" spans="3:3" ht="15.75" customHeight="1">
      <c r="C665" s="549"/>
    </row>
    <row r="666" spans="3:3" ht="15.75" customHeight="1">
      <c r="C666" s="549"/>
    </row>
    <row r="667" spans="3:3" ht="15.75" customHeight="1">
      <c r="C667" s="549"/>
    </row>
    <row r="668" spans="3:3" ht="15.75" customHeight="1">
      <c r="C668" s="549"/>
    </row>
    <row r="669" spans="3:3" ht="15.75" customHeight="1">
      <c r="C669" s="549"/>
    </row>
    <row r="670" spans="3:3" ht="15.75" customHeight="1">
      <c r="C670" s="549"/>
    </row>
    <row r="671" spans="3:3" ht="15.75" customHeight="1">
      <c r="C671" s="549"/>
    </row>
    <row r="672" spans="3:3" ht="15.75" customHeight="1">
      <c r="C672" s="549"/>
    </row>
    <row r="673" spans="3:3" ht="15.75" customHeight="1">
      <c r="C673" s="549"/>
    </row>
    <row r="674" spans="3:3" ht="15.75" customHeight="1">
      <c r="C674" s="549"/>
    </row>
    <row r="675" spans="3:3" ht="15.75" customHeight="1">
      <c r="C675" s="549"/>
    </row>
    <row r="676" spans="3:3" ht="15.75" customHeight="1">
      <c r="C676" s="549"/>
    </row>
    <row r="677" spans="3:3" ht="15.75" customHeight="1">
      <c r="C677" s="549"/>
    </row>
    <row r="678" spans="3:3" ht="15.75" customHeight="1">
      <c r="C678" s="549"/>
    </row>
    <row r="679" spans="3:3" ht="15.75" customHeight="1">
      <c r="C679" s="549"/>
    </row>
    <row r="680" spans="3:3" ht="15.75" customHeight="1">
      <c r="C680" s="549"/>
    </row>
    <row r="681" spans="3:3" ht="15.75" customHeight="1">
      <c r="C681" s="549"/>
    </row>
    <row r="682" spans="3:3" ht="15.75" customHeight="1">
      <c r="C682" s="549"/>
    </row>
    <row r="683" spans="3:3" ht="15.75" customHeight="1">
      <c r="C683" s="549"/>
    </row>
    <row r="684" spans="3:3" ht="15.75" customHeight="1">
      <c r="C684" s="549"/>
    </row>
    <row r="685" spans="3:3" ht="15.75" customHeight="1">
      <c r="C685" s="549"/>
    </row>
    <row r="686" spans="3:3" ht="15.75" customHeight="1">
      <c r="C686" s="549"/>
    </row>
    <row r="687" spans="3:3" ht="15.75" customHeight="1">
      <c r="C687" s="549"/>
    </row>
    <row r="688" spans="3:3" ht="15.75" customHeight="1">
      <c r="C688" s="549"/>
    </row>
    <row r="689" spans="3:3" ht="15.75" customHeight="1">
      <c r="C689" s="549"/>
    </row>
    <row r="690" spans="3:3" ht="15.75" customHeight="1">
      <c r="C690" s="549"/>
    </row>
    <row r="691" spans="3:3" ht="15.75" customHeight="1">
      <c r="C691" s="549"/>
    </row>
    <row r="692" spans="3:3" ht="15.75" customHeight="1">
      <c r="C692" s="549"/>
    </row>
    <row r="693" spans="3:3" ht="15.75" customHeight="1">
      <c r="C693" s="549"/>
    </row>
    <row r="694" spans="3:3" ht="15.75" customHeight="1">
      <c r="C694" s="549"/>
    </row>
    <row r="695" spans="3:3" ht="15.75" customHeight="1">
      <c r="C695" s="549"/>
    </row>
    <row r="696" spans="3:3" ht="15.75" customHeight="1">
      <c r="C696" s="549"/>
    </row>
    <row r="697" spans="3:3" ht="15.75" customHeight="1">
      <c r="C697" s="549"/>
    </row>
    <row r="698" spans="3:3" ht="15.75" customHeight="1">
      <c r="C698" s="549"/>
    </row>
    <row r="699" spans="3:3" ht="15.75" customHeight="1">
      <c r="C699" s="549"/>
    </row>
    <row r="700" spans="3:3" ht="15.75" customHeight="1">
      <c r="C700" s="549"/>
    </row>
    <row r="701" spans="3:3" ht="15.75" customHeight="1">
      <c r="C701" s="549"/>
    </row>
    <row r="702" spans="3:3" ht="15.75" customHeight="1">
      <c r="C702" s="549"/>
    </row>
    <row r="703" spans="3:3" ht="15.75" customHeight="1">
      <c r="C703" s="549"/>
    </row>
    <row r="704" spans="3:3" ht="15.75" customHeight="1">
      <c r="C704" s="549"/>
    </row>
    <row r="705" spans="3:3" ht="15.75" customHeight="1">
      <c r="C705" s="549"/>
    </row>
    <row r="706" spans="3:3" ht="15.75" customHeight="1">
      <c r="C706" s="549"/>
    </row>
    <row r="707" spans="3:3" ht="15.75" customHeight="1">
      <c r="C707" s="549"/>
    </row>
    <row r="708" spans="3:3" ht="15.75" customHeight="1">
      <c r="C708" s="549"/>
    </row>
    <row r="709" spans="3:3" ht="15.75" customHeight="1">
      <c r="C709" s="549"/>
    </row>
    <row r="710" spans="3:3" ht="15.75" customHeight="1">
      <c r="C710" s="549"/>
    </row>
    <row r="711" spans="3:3" ht="15.75" customHeight="1">
      <c r="C711" s="549"/>
    </row>
    <row r="712" spans="3:3" ht="15.75" customHeight="1">
      <c r="C712" s="549"/>
    </row>
    <row r="713" spans="3:3" ht="15.75" customHeight="1">
      <c r="C713" s="549"/>
    </row>
    <row r="714" spans="3:3" ht="15.75" customHeight="1">
      <c r="C714" s="549"/>
    </row>
    <row r="715" spans="3:3" ht="15.75" customHeight="1">
      <c r="C715" s="549"/>
    </row>
    <row r="716" spans="3:3" ht="15.75" customHeight="1">
      <c r="C716" s="549"/>
    </row>
    <row r="717" spans="3:3" ht="15.75" customHeight="1">
      <c r="C717" s="549"/>
    </row>
    <row r="718" spans="3:3" ht="15.75" customHeight="1">
      <c r="C718" s="549"/>
    </row>
    <row r="719" spans="3:3" ht="15.75" customHeight="1">
      <c r="C719" s="549"/>
    </row>
    <row r="720" spans="3:3" ht="15.75" customHeight="1">
      <c r="C720" s="549"/>
    </row>
    <row r="721" spans="3:3" ht="15.75" customHeight="1">
      <c r="C721" s="549"/>
    </row>
    <row r="722" spans="3:3" ht="15.75" customHeight="1">
      <c r="C722" s="549"/>
    </row>
    <row r="723" spans="3:3" ht="15.75" customHeight="1">
      <c r="C723" s="549"/>
    </row>
    <row r="724" spans="3:3" ht="15.75" customHeight="1">
      <c r="C724" s="549"/>
    </row>
    <row r="725" spans="3:3" ht="15.75" customHeight="1">
      <c r="C725" s="549"/>
    </row>
    <row r="726" spans="3:3" ht="15.75" customHeight="1">
      <c r="C726" s="549"/>
    </row>
    <row r="727" spans="3:3" ht="15.75" customHeight="1">
      <c r="C727" s="549"/>
    </row>
    <row r="728" spans="3:3" ht="15.75" customHeight="1">
      <c r="C728" s="549"/>
    </row>
    <row r="729" spans="3:3" ht="15.75" customHeight="1">
      <c r="C729" s="549"/>
    </row>
    <row r="730" spans="3:3" ht="15.75" customHeight="1">
      <c r="C730" s="549"/>
    </row>
    <row r="731" spans="3:3" ht="15.75" customHeight="1">
      <c r="C731" s="549"/>
    </row>
    <row r="732" spans="3:3" ht="15.75" customHeight="1">
      <c r="C732" s="549"/>
    </row>
    <row r="733" spans="3:3" ht="15.75" customHeight="1">
      <c r="C733" s="549"/>
    </row>
    <row r="734" spans="3:3" ht="15.75" customHeight="1">
      <c r="C734" s="549"/>
    </row>
    <row r="735" spans="3:3" ht="15.75" customHeight="1">
      <c r="C735" s="549"/>
    </row>
    <row r="736" spans="3:3" ht="15.75" customHeight="1">
      <c r="C736" s="549"/>
    </row>
    <row r="737" spans="3:3" ht="15.75" customHeight="1">
      <c r="C737" s="549"/>
    </row>
    <row r="738" spans="3:3" ht="15.75" customHeight="1">
      <c r="C738" s="549"/>
    </row>
    <row r="739" spans="3:3" ht="15.75" customHeight="1">
      <c r="C739" s="549"/>
    </row>
    <row r="740" spans="3:3" ht="15.75" customHeight="1">
      <c r="C740" s="549"/>
    </row>
    <row r="741" spans="3:3" ht="15.75" customHeight="1">
      <c r="C741" s="549"/>
    </row>
    <row r="742" spans="3:3" ht="15.75" customHeight="1">
      <c r="C742" s="549"/>
    </row>
    <row r="743" spans="3:3" ht="15.75" customHeight="1">
      <c r="C743" s="549"/>
    </row>
    <row r="744" spans="3:3" ht="15.75" customHeight="1">
      <c r="C744" s="549"/>
    </row>
    <row r="745" spans="3:3" ht="15.75" customHeight="1">
      <c r="C745" s="549"/>
    </row>
    <row r="746" spans="3:3" ht="15.75" customHeight="1">
      <c r="C746" s="549"/>
    </row>
    <row r="747" spans="3:3" ht="15.75" customHeight="1">
      <c r="C747" s="549"/>
    </row>
    <row r="748" spans="3:3" ht="15.75" customHeight="1">
      <c r="C748" s="549"/>
    </row>
    <row r="749" spans="3:3" ht="15.75" customHeight="1">
      <c r="C749" s="549"/>
    </row>
    <row r="750" spans="3:3" ht="15.75" customHeight="1">
      <c r="C750" s="549"/>
    </row>
    <row r="751" spans="3:3" ht="15.75" customHeight="1">
      <c r="C751" s="549"/>
    </row>
    <row r="752" spans="3:3" ht="15.75" customHeight="1">
      <c r="C752" s="549"/>
    </row>
    <row r="753" spans="3:3" ht="15.75" customHeight="1">
      <c r="C753" s="549"/>
    </row>
    <row r="754" spans="3:3" ht="15.75" customHeight="1">
      <c r="C754" s="549"/>
    </row>
    <row r="755" spans="3:3" ht="15.75" customHeight="1">
      <c r="C755" s="549"/>
    </row>
    <row r="756" spans="3:3" ht="15.75" customHeight="1">
      <c r="C756" s="549"/>
    </row>
    <row r="757" spans="3:3" ht="15.75" customHeight="1">
      <c r="C757" s="549"/>
    </row>
    <row r="758" spans="3:3" ht="15.75" customHeight="1">
      <c r="C758" s="549"/>
    </row>
    <row r="759" spans="3:3" ht="15.75" customHeight="1">
      <c r="C759" s="549"/>
    </row>
    <row r="760" spans="3:3" ht="15.75" customHeight="1">
      <c r="C760" s="549"/>
    </row>
    <row r="761" spans="3:3" ht="15.75" customHeight="1">
      <c r="C761" s="549"/>
    </row>
    <row r="762" spans="3:3" ht="15.75" customHeight="1">
      <c r="C762" s="549"/>
    </row>
    <row r="763" spans="3:3" ht="15.75" customHeight="1">
      <c r="C763" s="549"/>
    </row>
    <row r="764" spans="3:3" ht="15.75" customHeight="1">
      <c r="C764" s="549"/>
    </row>
    <row r="765" spans="3:3" ht="15.75" customHeight="1">
      <c r="C765" s="549"/>
    </row>
    <row r="766" spans="3:3" ht="15.75" customHeight="1">
      <c r="C766" s="549"/>
    </row>
    <row r="767" spans="3:3" ht="15.75" customHeight="1">
      <c r="C767" s="549"/>
    </row>
    <row r="768" spans="3:3" ht="15.75" customHeight="1">
      <c r="C768" s="549"/>
    </row>
    <row r="769" spans="3:3" ht="15.75" customHeight="1">
      <c r="C769" s="549"/>
    </row>
    <row r="770" spans="3:3" ht="15.75" customHeight="1">
      <c r="C770" s="549"/>
    </row>
    <row r="771" spans="3:3" ht="15.75" customHeight="1">
      <c r="C771" s="549"/>
    </row>
    <row r="772" spans="3:3" ht="15.75" customHeight="1">
      <c r="C772" s="549"/>
    </row>
    <row r="773" spans="3:3" ht="15.75" customHeight="1">
      <c r="C773" s="549"/>
    </row>
    <row r="774" spans="3:3" ht="15.75" customHeight="1">
      <c r="C774" s="549"/>
    </row>
    <row r="775" spans="3:3" ht="15.75" customHeight="1">
      <c r="C775" s="549"/>
    </row>
    <row r="776" spans="3:3" ht="15.75" customHeight="1">
      <c r="C776" s="549"/>
    </row>
    <row r="777" spans="3:3" ht="15.75" customHeight="1">
      <c r="C777" s="549"/>
    </row>
    <row r="778" spans="3:3" ht="15.75" customHeight="1">
      <c r="C778" s="549"/>
    </row>
    <row r="779" spans="3:3" ht="15.75" customHeight="1">
      <c r="C779" s="549"/>
    </row>
    <row r="780" spans="3:3" ht="15.75" customHeight="1">
      <c r="C780" s="549"/>
    </row>
    <row r="781" spans="3:3" ht="15.75" customHeight="1">
      <c r="C781" s="549"/>
    </row>
    <row r="782" spans="3:3" ht="15.75" customHeight="1">
      <c r="C782" s="549"/>
    </row>
    <row r="783" spans="3:3" ht="15.75" customHeight="1">
      <c r="C783" s="549"/>
    </row>
    <row r="784" spans="3:3" ht="15.75" customHeight="1">
      <c r="C784" s="549"/>
    </row>
    <row r="785" spans="3:3" ht="15.75" customHeight="1">
      <c r="C785" s="549"/>
    </row>
    <row r="786" spans="3:3" ht="15.75" customHeight="1">
      <c r="C786" s="549"/>
    </row>
    <row r="787" spans="3:3" ht="15.75" customHeight="1">
      <c r="C787" s="549"/>
    </row>
    <row r="788" spans="3:3" ht="15.75" customHeight="1">
      <c r="C788" s="549"/>
    </row>
    <row r="789" spans="3:3" ht="15.75" customHeight="1">
      <c r="C789" s="549"/>
    </row>
    <row r="790" spans="3:3" ht="15.75" customHeight="1">
      <c r="C790" s="549"/>
    </row>
    <row r="791" spans="3:3" ht="15.75" customHeight="1">
      <c r="C791" s="549"/>
    </row>
    <row r="792" spans="3:3" ht="15.75" customHeight="1">
      <c r="C792" s="549"/>
    </row>
    <row r="793" spans="3:3" ht="15.75" customHeight="1">
      <c r="C793" s="549"/>
    </row>
    <row r="794" spans="3:3" ht="15.75" customHeight="1">
      <c r="C794" s="549"/>
    </row>
    <row r="795" spans="3:3" ht="15.75" customHeight="1">
      <c r="C795" s="549"/>
    </row>
    <row r="796" spans="3:3" ht="15.75" customHeight="1">
      <c r="C796" s="549"/>
    </row>
    <row r="797" spans="3:3" ht="15.75" customHeight="1">
      <c r="C797" s="549"/>
    </row>
    <row r="798" spans="3:3" ht="15.75" customHeight="1">
      <c r="C798" s="549"/>
    </row>
    <row r="799" spans="3:3" ht="15.75" customHeight="1">
      <c r="C799" s="549"/>
    </row>
    <row r="800" spans="3:3" ht="15.75" customHeight="1">
      <c r="C800" s="549"/>
    </row>
    <row r="801" spans="3:3" ht="15.75" customHeight="1">
      <c r="C801" s="549"/>
    </row>
    <row r="802" spans="3:3" ht="15.75" customHeight="1">
      <c r="C802" s="549"/>
    </row>
    <row r="803" spans="3:3" ht="15.75" customHeight="1">
      <c r="C803" s="549"/>
    </row>
    <row r="804" spans="3:3" ht="15.75" customHeight="1">
      <c r="C804" s="549"/>
    </row>
    <row r="805" spans="3:3" ht="15.75" customHeight="1">
      <c r="C805" s="549"/>
    </row>
    <row r="806" spans="3:3" ht="15.75" customHeight="1">
      <c r="C806" s="549"/>
    </row>
    <row r="807" spans="3:3" ht="15.75" customHeight="1">
      <c r="C807" s="549"/>
    </row>
    <row r="808" spans="3:3" ht="15.75" customHeight="1">
      <c r="C808" s="549"/>
    </row>
    <row r="809" spans="3:3" ht="15.75" customHeight="1">
      <c r="C809" s="549"/>
    </row>
    <row r="810" spans="3:3" ht="15.75" customHeight="1">
      <c r="C810" s="549"/>
    </row>
    <row r="811" spans="3:3" ht="15.75" customHeight="1">
      <c r="C811" s="549"/>
    </row>
    <row r="812" spans="3:3" ht="15.75" customHeight="1">
      <c r="C812" s="549"/>
    </row>
    <row r="813" spans="3:3" ht="15.75" customHeight="1">
      <c r="C813" s="549"/>
    </row>
    <row r="814" spans="3:3" ht="15.75" customHeight="1">
      <c r="C814" s="549"/>
    </row>
    <row r="815" spans="3:3" ht="15.75" customHeight="1">
      <c r="C815" s="549"/>
    </row>
    <row r="816" spans="3:3" ht="15.75" customHeight="1">
      <c r="C816" s="549"/>
    </row>
    <row r="817" spans="3:3" ht="15.75" customHeight="1">
      <c r="C817" s="549"/>
    </row>
    <row r="818" spans="3:3" ht="15.75" customHeight="1">
      <c r="C818" s="549"/>
    </row>
    <row r="819" spans="3:3" ht="15.75" customHeight="1">
      <c r="C819" s="549"/>
    </row>
    <row r="820" spans="3:3" ht="15.75" customHeight="1">
      <c r="C820" s="549"/>
    </row>
    <row r="821" spans="3:3" ht="15.75" customHeight="1">
      <c r="C821" s="549"/>
    </row>
    <row r="822" spans="3:3" ht="15.75" customHeight="1">
      <c r="C822" s="549"/>
    </row>
    <row r="823" spans="3:3" ht="15.75" customHeight="1">
      <c r="C823" s="549"/>
    </row>
    <row r="824" spans="3:3" ht="15.75" customHeight="1">
      <c r="C824" s="549"/>
    </row>
    <row r="825" spans="3:3" ht="15.75" customHeight="1">
      <c r="C825" s="549"/>
    </row>
    <row r="826" spans="3:3" ht="15.75" customHeight="1">
      <c r="C826" s="549"/>
    </row>
    <row r="827" spans="3:3" ht="15.75" customHeight="1">
      <c r="C827" s="549"/>
    </row>
    <row r="828" spans="3:3" ht="15.75" customHeight="1">
      <c r="C828" s="549"/>
    </row>
    <row r="829" spans="3:3" ht="15.75" customHeight="1">
      <c r="C829" s="549"/>
    </row>
    <row r="830" spans="3:3" ht="15.75" customHeight="1">
      <c r="C830" s="549"/>
    </row>
    <row r="831" spans="3:3" ht="15.75" customHeight="1">
      <c r="C831" s="549"/>
    </row>
    <row r="832" spans="3:3" ht="15.75" customHeight="1">
      <c r="C832" s="549"/>
    </row>
    <row r="833" spans="3:3" ht="15.75" customHeight="1">
      <c r="C833" s="549"/>
    </row>
    <row r="834" spans="3:3" ht="15.75" customHeight="1">
      <c r="C834" s="549"/>
    </row>
    <row r="835" spans="3:3" ht="15.75" customHeight="1">
      <c r="C835" s="549"/>
    </row>
    <row r="836" spans="3:3" ht="15.75" customHeight="1">
      <c r="C836" s="549"/>
    </row>
    <row r="837" spans="3:3" ht="15.75" customHeight="1">
      <c r="C837" s="549"/>
    </row>
    <row r="838" spans="3:3" ht="15.75" customHeight="1">
      <c r="C838" s="549"/>
    </row>
    <row r="839" spans="3:3" ht="15.75" customHeight="1">
      <c r="C839" s="549"/>
    </row>
    <row r="840" spans="3:3" ht="15.75" customHeight="1">
      <c r="C840" s="549"/>
    </row>
    <row r="841" spans="3:3" ht="15.75" customHeight="1">
      <c r="C841" s="549"/>
    </row>
    <row r="842" spans="3:3" ht="15.75" customHeight="1">
      <c r="C842" s="549"/>
    </row>
    <row r="843" spans="3:3" ht="15.75" customHeight="1">
      <c r="C843" s="549"/>
    </row>
    <row r="844" spans="3:3" ht="15.75" customHeight="1">
      <c r="C844" s="549"/>
    </row>
    <row r="845" spans="3:3" ht="15.75" customHeight="1">
      <c r="C845" s="549"/>
    </row>
    <row r="846" spans="3:3" ht="15.75" customHeight="1">
      <c r="C846" s="549"/>
    </row>
    <row r="847" spans="3:3" ht="15.75" customHeight="1">
      <c r="C847" s="549"/>
    </row>
    <row r="848" spans="3:3" ht="15.75" customHeight="1">
      <c r="C848" s="549"/>
    </row>
    <row r="849" spans="3:3" ht="15.75" customHeight="1">
      <c r="C849" s="549"/>
    </row>
    <row r="850" spans="3:3" ht="15.75" customHeight="1">
      <c r="C850" s="549"/>
    </row>
    <row r="851" spans="3:3" ht="15.75" customHeight="1">
      <c r="C851" s="549"/>
    </row>
    <row r="852" spans="3:3" ht="15.75" customHeight="1">
      <c r="C852" s="549"/>
    </row>
    <row r="853" spans="3:3" ht="15.75" customHeight="1">
      <c r="C853" s="549"/>
    </row>
    <row r="854" spans="3:3" ht="15.75" customHeight="1">
      <c r="C854" s="549"/>
    </row>
    <row r="855" spans="3:3" ht="15.75" customHeight="1">
      <c r="C855" s="549"/>
    </row>
    <row r="856" spans="3:3" ht="15.75" customHeight="1">
      <c r="C856" s="549"/>
    </row>
    <row r="857" spans="3:3" ht="15.75" customHeight="1">
      <c r="C857" s="549"/>
    </row>
    <row r="858" spans="3:3" ht="15.75" customHeight="1">
      <c r="C858" s="549"/>
    </row>
    <row r="859" spans="3:3" ht="15.75" customHeight="1">
      <c r="C859" s="549"/>
    </row>
    <row r="860" spans="3:3" ht="15.75" customHeight="1">
      <c r="C860" s="549"/>
    </row>
    <row r="861" spans="3:3" ht="15.75" customHeight="1">
      <c r="C861" s="549"/>
    </row>
    <row r="862" spans="3:3" ht="15.75" customHeight="1">
      <c r="C862" s="549"/>
    </row>
    <row r="863" spans="3:3" ht="15.75" customHeight="1">
      <c r="C863" s="549"/>
    </row>
    <row r="864" spans="3:3" ht="15.75" customHeight="1">
      <c r="C864" s="549"/>
    </row>
    <row r="865" spans="3:3" ht="15.75" customHeight="1">
      <c r="C865" s="549"/>
    </row>
    <row r="866" spans="3:3" ht="15.75" customHeight="1">
      <c r="C866" s="549"/>
    </row>
    <row r="867" spans="3:3" ht="15.75" customHeight="1">
      <c r="C867" s="549"/>
    </row>
    <row r="868" spans="3:3" ht="15.75" customHeight="1">
      <c r="C868" s="549"/>
    </row>
    <row r="869" spans="3:3" ht="15.75" customHeight="1">
      <c r="C869" s="549"/>
    </row>
    <row r="870" spans="3:3" ht="15.75" customHeight="1">
      <c r="C870" s="549"/>
    </row>
    <row r="871" spans="3:3" ht="15.75" customHeight="1">
      <c r="C871" s="549"/>
    </row>
    <row r="872" spans="3:3" ht="15.75" customHeight="1">
      <c r="C872" s="549"/>
    </row>
    <row r="873" spans="3:3" ht="15.75" customHeight="1">
      <c r="C873" s="549"/>
    </row>
    <row r="874" spans="3:3" ht="15.75" customHeight="1">
      <c r="C874" s="549"/>
    </row>
    <row r="875" spans="3:3" ht="15.75" customHeight="1">
      <c r="C875" s="549"/>
    </row>
    <row r="876" spans="3:3" ht="15.75" customHeight="1">
      <c r="C876" s="549"/>
    </row>
    <row r="877" spans="3:3" ht="15.75" customHeight="1">
      <c r="C877" s="549"/>
    </row>
    <row r="878" spans="3:3" ht="15.75" customHeight="1">
      <c r="C878" s="549"/>
    </row>
    <row r="879" spans="3:3" ht="15.75" customHeight="1">
      <c r="C879" s="549"/>
    </row>
    <row r="880" spans="3:3" ht="15.75" customHeight="1">
      <c r="C880" s="549"/>
    </row>
    <row r="881" spans="3:3" ht="15.75" customHeight="1">
      <c r="C881" s="549"/>
    </row>
    <row r="882" spans="3:3" ht="15.75" customHeight="1">
      <c r="C882" s="549"/>
    </row>
    <row r="883" spans="3:3" ht="15.75" customHeight="1">
      <c r="C883" s="549"/>
    </row>
    <row r="884" spans="3:3" ht="15.75" customHeight="1">
      <c r="C884" s="549"/>
    </row>
    <row r="885" spans="3:3" ht="15.75" customHeight="1">
      <c r="C885" s="549"/>
    </row>
    <row r="886" spans="3:3" ht="15.75" customHeight="1">
      <c r="C886" s="549"/>
    </row>
    <row r="887" spans="3:3" ht="15.75" customHeight="1">
      <c r="C887" s="549"/>
    </row>
    <row r="888" spans="3:3" ht="15.75" customHeight="1">
      <c r="C888" s="549"/>
    </row>
    <row r="889" spans="3:3" ht="15.75" customHeight="1">
      <c r="C889" s="549"/>
    </row>
    <row r="890" spans="3:3" ht="15.75" customHeight="1">
      <c r="C890" s="549"/>
    </row>
    <row r="891" spans="3:3" ht="15.75" customHeight="1">
      <c r="C891" s="549"/>
    </row>
    <row r="892" spans="3:3" ht="15.75" customHeight="1">
      <c r="C892" s="549"/>
    </row>
    <row r="893" spans="3:3" ht="15.75" customHeight="1">
      <c r="C893" s="549"/>
    </row>
    <row r="894" spans="3:3" ht="15.75" customHeight="1">
      <c r="C894" s="549"/>
    </row>
    <row r="895" spans="3:3" ht="15.75" customHeight="1">
      <c r="C895" s="549"/>
    </row>
    <row r="896" spans="3:3" ht="15.75" customHeight="1">
      <c r="C896" s="549"/>
    </row>
    <row r="897" spans="3:3" ht="15.75" customHeight="1">
      <c r="C897" s="549"/>
    </row>
    <row r="898" spans="3:3" ht="15.75" customHeight="1">
      <c r="C898" s="549"/>
    </row>
    <row r="899" spans="3:3" ht="15.75" customHeight="1">
      <c r="C899" s="549"/>
    </row>
    <row r="900" spans="3:3" ht="15.75" customHeight="1">
      <c r="C900" s="549"/>
    </row>
    <row r="901" spans="3:3" ht="15.75" customHeight="1">
      <c r="C901" s="549"/>
    </row>
    <row r="902" spans="3:3" ht="15.75" customHeight="1">
      <c r="C902" s="549"/>
    </row>
    <row r="903" spans="3:3" ht="15.75" customHeight="1">
      <c r="C903" s="549"/>
    </row>
    <row r="904" spans="3:3" ht="15.75" customHeight="1">
      <c r="C904" s="549"/>
    </row>
    <row r="905" spans="3:3" ht="15.75" customHeight="1">
      <c r="C905" s="549"/>
    </row>
    <row r="906" spans="3:3" ht="15.75" customHeight="1">
      <c r="C906" s="549"/>
    </row>
    <row r="907" spans="3:3" ht="15.75" customHeight="1">
      <c r="C907" s="549"/>
    </row>
    <row r="908" spans="3:3" ht="15.75" customHeight="1">
      <c r="C908" s="549"/>
    </row>
    <row r="909" spans="3:3" ht="15.75" customHeight="1">
      <c r="C909" s="549"/>
    </row>
    <row r="910" spans="3:3" ht="15.75" customHeight="1">
      <c r="C910" s="549"/>
    </row>
    <row r="911" spans="3:3" ht="15.75" customHeight="1">
      <c r="C911" s="549"/>
    </row>
    <row r="912" spans="3:3" ht="15.75" customHeight="1">
      <c r="C912" s="549"/>
    </row>
    <row r="913" spans="3:3" ht="15.75" customHeight="1">
      <c r="C913" s="549"/>
    </row>
    <row r="914" spans="3:3" ht="15.75" customHeight="1">
      <c r="C914" s="549"/>
    </row>
    <row r="915" spans="3:3" ht="15.75" customHeight="1">
      <c r="C915" s="549"/>
    </row>
    <row r="916" spans="3:3" ht="15.75" customHeight="1">
      <c r="C916" s="549"/>
    </row>
    <row r="917" spans="3:3" ht="15.75" customHeight="1">
      <c r="C917" s="549"/>
    </row>
    <row r="918" spans="3:3" ht="15.75" customHeight="1">
      <c r="C918" s="549"/>
    </row>
    <row r="919" spans="3:3" ht="15.75" customHeight="1">
      <c r="C919" s="549"/>
    </row>
    <row r="920" spans="3:3" ht="15.75" customHeight="1">
      <c r="C920" s="549"/>
    </row>
    <row r="921" spans="3:3" ht="15.75" customHeight="1">
      <c r="C921" s="549"/>
    </row>
    <row r="922" spans="3:3" ht="15.75" customHeight="1">
      <c r="C922" s="549"/>
    </row>
    <row r="923" spans="3:3" ht="15.75" customHeight="1">
      <c r="C923" s="549"/>
    </row>
    <row r="924" spans="3:3" ht="15.75" customHeight="1">
      <c r="C924" s="549"/>
    </row>
    <row r="925" spans="3:3" ht="15.75" customHeight="1">
      <c r="C925" s="549"/>
    </row>
    <row r="926" spans="3:3" ht="15.75" customHeight="1">
      <c r="C926" s="549"/>
    </row>
    <row r="927" spans="3:3" ht="15.75" customHeight="1">
      <c r="C927" s="549"/>
    </row>
    <row r="928" spans="3:3" ht="15.75" customHeight="1">
      <c r="C928" s="549"/>
    </row>
    <row r="929" spans="3:3" ht="15.75" customHeight="1">
      <c r="C929" s="549"/>
    </row>
    <row r="930" spans="3:3" ht="15.75" customHeight="1">
      <c r="C930" s="549"/>
    </row>
    <row r="931" spans="3:3" ht="15.75" customHeight="1">
      <c r="C931" s="549"/>
    </row>
    <row r="932" spans="3:3" ht="15.75" customHeight="1">
      <c r="C932" s="549"/>
    </row>
    <row r="933" spans="3:3" ht="15.75" customHeight="1">
      <c r="C933" s="549"/>
    </row>
    <row r="934" spans="3:3" ht="15.75" customHeight="1">
      <c r="C934" s="549"/>
    </row>
    <row r="935" spans="3:3" ht="15.75" customHeight="1">
      <c r="C935" s="549"/>
    </row>
    <row r="936" spans="3:3" ht="15.75" customHeight="1">
      <c r="C936" s="549"/>
    </row>
    <row r="937" spans="3:3" ht="15.75" customHeight="1">
      <c r="C937" s="549"/>
    </row>
    <row r="938" spans="3:3" ht="15.75" customHeight="1">
      <c r="C938" s="549"/>
    </row>
    <row r="939" spans="3:3" ht="15.75" customHeight="1">
      <c r="C939" s="549"/>
    </row>
    <row r="940" spans="3:3" ht="15.75" customHeight="1">
      <c r="C940" s="549"/>
    </row>
    <row r="941" spans="3:3" ht="15.75" customHeight="1">
      <c r="C941" s="549"/>
    </row>
    <row r="942" spans="3:3" ht="15.75" customHeight="1">
      <c r="C942" s="549"/>
    </row>
    <row r="943" spans="3:3" ht="15.75" customHeight="1">
      <c r="C943" s="549"/>
    </row>
    <row r="944" spans="3:3" ht="15.75" customHeight="1">
      <c r="C944" s="549"/>
    </row>
    <row r="945" spans="3:3" ht="15.75" customHeight="1">
      <c r="C945" s="549"/>
    </row>
    <row r="946" spans="3:3" ht="15.75" customHeight="1">
      <c r="C946" s="549"/>
    </row>
    <row r="947" spans="3:3" ht="15.75" customHeight="1">
      <c r="C947" s="549"/>
    </row>
    <row r="948" spans="3:3" ht="15.75" customHeight="1">
      <c r="C948" s="549"/>
    </row>
    <row r="949" spans="3:3" ht="15.75" customHeight="1">
      <c r="C949" s="549"/>
    </row>
    <row r="950" spans="3:3" ht="15.75" customHeight="1">
      <c r="C950" s="549"/>
    </row>
    <row r="951" spans="3:3" ht="15.75" customHeight="1">
      <c r="C951" s="549"/>
    </row>
    <row r="952" spans="3:3" ht="15.75" customHeight="1">
      <c r="C952" s="549"/>
    </row>
    <row r="953" spans="3:3" ht="15.75" customHeight="1">
      <c r="C953" s="549"/>
    </row>
    <row r="954" spans="3:3" ht="15.75" customHeight="1">
      <c r="C954" s="549"/>
    </row>
    <row r="955" spans="3:3" ht="15.75" customHeight="1">
      <c r="C955" s="549"/>
    </row>
    <row r="956" spans="3:3" ht="15.75" customHeight="1">
      <c r="C956" s="549"/>
    </row>
    <row r="957" spans="3:3" ht="15.75" customHeight="1">
      <c r="C957" s="549"/>
    </row>
    <row r="958" spans="3:3" ht="15.75" customHeight="1">
      <c r="C958" s="549"/>
    </row>
    <row r="959" spans="3:3" ht="15.75" customHeight="1">
      <c r="C959" s="549"/>
    </row>
    <row r="960" spans="3:3" ht="15.75" customHeight="1">
      <c r="C960" s="549"/>
    </row>
    <row r="961" spans="3:3" ht="15.75" customHeight="1">
      <c r="C961" s="549"/>
    </row>
    <row r="962" spans="3:3" ht="15.75" customHeight="1">
      <c r="C962" s="549"/>
    </row>
    <row r="963" spans="3:3" ht="15.75" customHeight="1">
      <c r="C963" s="549"/>
    </row>
    <row r="964" spans="3:3" ht="15.75" customHeight="1">
      <c r="C964" s="549"/>
    </row>
    <row r="965" spans="3:3" ht="15.75" customHeight="1">
      <c r="C965" s="549"/>
    </row>
    <row r="966" spans="3:3" ht="15.75" customHeight="1">
      <c r="C966" s="549"/>
    </row>
    <row r="967" spans="3:3" ht="15.75" customHeight="1">
      <c r="C967" s="549"/>
    </row>
    <row r="968" spans="3:3" ht="15.75" customHeight="1">
      <c r="C968" s="549"/>
    </row>
    <row r="969" spans="3:3" ht="15.75" customHeight="1">
      <c r="C969" s="549"/>
    </row>
    <row r="970" spans="3:3" ht="15.75" customHeight="1">
      <c r="C970" s="549"/>
    </row>
    <row r="971" spans="3:3" ht="15.75" customHeight="1">
      <c r="C971" s="549"/>
    </row>
    <row r="972" spans="3:3" ht="15.75" customHeight="1">
      <c r="C972" s="549"/>
    </row>
    <row r="973" spans="3:3" ht="15.75" customHeight="1">
      <c r="C973" s="549"/>
    </row>
    <row r="974" spans="3:3" ht="15.75" customHeight="1">
      <c r="C974" s="549"/>
    </row>
    <row r="975" spans="3:3" ht="15.75" customHeight="1">
      <c r="C975" s="549"/>
    </row>
    <row r="976" spans="3:3" ht="15.75" customHeight="1">
      <c r="C976" s="549"/>
    </row>
    <row r="977" spans="3:3" ht="15.75" customHeight="1">
      <c r="C977" s="549"/>
    </row>
    <row r="978" spans="3:3" ht="15.75" customHeight="1">
      <c r="C978" s="549"/>
    </row>
    <row r="979" spans="3:3" ht="15.75" customHeight="1">
      <c r="C979" s="549"/>
    </row>
    <row r="980" spans="3:3" ht="15.75" customHeight="1">
      <c r="C980" s="549"/>
    </row>
    <row r="981" spans="3:3" ht="15.75" customHeight="1">
      <c r="C981" s="549"/>
    </row>
    <row r="982" spans="3:3" ht="15.75" customHeight="1">
      <c r="C982" s="549"/>
    </row>
    <row r="983" spans="3:3" ht="15.75" customHeight="1">
      <c r="C983" s="549"/>
    </row>
    <row r="984" spans="3:3" ht="15.75" customHeight="1">
      <c r="C984" s="549"/>
    </row>
    <row r="985" spans="3:3" ht="15.75" customHeight="1">
      <c r="C985" s="549"/>
    </row>
    <row r="986" spans="3:3" ht="15.75" customHeight="1">
      <c r="C986" s="549"/>
    </row>
    <row r="987" spans="3:3" ht="15.75" customHeight="1">
      <c r="C987" s="549"/>
    </row>
    <row r="988" spans="3:3" ht="15.75" customHeight="1">
      <c r="C988" s="549"/>
    </row>
    <row r="989" spans="3:3" ht="15.75" customHeight="1">
      <c r="C989" s="549"/>
    </row>
    <row r="990" spans="3:3" ht="15.75" customHeight="1">
      <c r="C990" s="549"/>
    </row>
    <row r="991" spans="3:3" ht="15.75" customHeight="1">
      <c r="C991" s="549"/>
    </row>
    <row r="992" spans="3:3" ht="15.75" customHeight="1">
      <c r="C992" s="549"/>
    </row>
    <row r="993" spans="3:3" ht="15.75" customHeight="1">
      <c r="C993" s="549"/>
    </row>
    <row r="994" spans="3:3" ht="15.75" customHeight="1">
      <c r="C994" s="549"/>
    </row>
    <row r="995" spans="3:3" ht="15.75" customHeight="1">
      <c r="C995" s="549"/>
    </row>
    <row r="996" spans="3:3" ht="15.75" customHeight="1">
      <c r="C996" s="549"/>
    </row>
    <row r="997" spans="3:3" ht="15.75" customHeight="1">
      <c r="C997" s="549"/>
    </row>
    <row r="998" spans="3:3" ht="15.75" customHeight="1">
      <c r="C998" s="549"/>
    </row>
    <row r="999" spans="3:3" ht="15.75" customHeight="1">
      <c r="C999" s="549"/>
    </row>
    <row r="1000" spans="3:3" ht="15.75" customHeight="1">
      <c r="C1000" s="549"/>
    </row>
    <row r="1001" spans="3:3" ht="15.75" customHeight="1">
      <c r="C1001" s="549"/>
    </row>
    <row r="1002" spans="3:3" ht="15.75" customHeight="1">
      <c r="C1002" s="549"/>
    </row>
    <row r="1003" spans="3:3" ht="15.75" customHeight="1">
      <c r="C1003" s="549"/>
    </row>
    <row r="1004" spans="3:3" ht="15.75" customHeight="1">
      <c r="C1004" s="549"/>
    </row>
    <row r="1005" spans="3:3" ht="15.75" customHeight="1">
      <c r="C1005" s="549"/>
    </row>
    <row r="1006" spans="3:3" ht="15.75" customHeight="1">
      <c r="C1006" s="549"/>
    </row>
    <row r="1007" spans="3:3" ht="15.75" customHeight="1">
      <c r="C1007" s="549"/>
    </row>
    <row r="1008" spans="3:3" ht="15.75" customHeight="1">
      <c r="C1008" s="549"/>
    </row>
    <row r="1009" spans="3:3" ht="15.75" customHeight="1">
      <c r="C1009" s="549"/>
    </row>
    <row r="1010" spans="3:3" ht="15.75" customHeight="1">
      <c r="C1010" s="549"/>
    </row>
    <row r="1011" spans="3:3" ht="15.75" customHeight="1">
      <c r="C1011" s="549"/>
    </row>
    <row r="1012" spans="3:3" ht="15.75" customHeight="1">
      <c r="C1012" s="549"/>
    </row>
    <row r="1013" spans="3:3" ht="15.75" customHeight="1">
      <c r="C1013" s="549"/>
    </row>
    <row r="1014" spans="3:3" ht="15.75" customHeight="1">
      <c r="C1014" s="549"/>
    </row>
    <row r="1015" spans="3:3" ht="15.75" customHeight="1">
      <c r="C1015" s="549"/>
    </row>
    <row r="1016" spans="3:3" ht="15.75" customHeight="1">
      <c r="C1016" s="549"/>
    </row>
    <row r="1017" spans="3:3" ht="15.75" customHeight="1">
      <c r="C1017" s="549"/>
    </row>
    <row r="1018" spans="3:3" ht="15.75" customHeight="1">
      <c r="C1018" s="549"/>
    </row>
    <row r="1019" spans="3:3" ht="15.75" customHeight="1">
      <c r="C1019" s="549"/>
    </row>
    <row r="1020" spans="3:3" ht="15.75" customHeight="1">
      <c r="C1020" s="549"/>
    </row>
    <row r="1021" spans="3:3" ht="15.75" customHeight="1">
      <c r="C1021" s="549"/>
    </row>
    <row r="1022" spans="3:3" ht="15.75" customHeight="1">
      <c r="C1022" s="549"/>
    </row>
    <row r="1023" spans="3:3" ht="15.75" customHeight="1">
      <c r="C1023" s="549"/>
    </row>
    <row r="1024" spans="3:3" ht="15.75" customHeight="1">
      <c r="C1024" s="549"/>
    </row>
    <row r="1025" spans="3:3" ht="15.75" customHeight="1">
      <c r="C1025" s="549"/>
    </row>
    <row r="1026" spans="3:3" ht="15.75" customHeight="1">
      <c r="C1026" s="549"/>
    </row>
    <row r="1027" spans="3:3" ht="15.75" customHeight="1">
      <c r="C1027" s="549"/>
    </row>
    <row r="1028" spans="3:3" ht="15.75" customHeight="1">
      <c r="C1028" s="549"/>
    </row>
    <row r="1029" spans="3:3" ht="15.75" customHeight="1">
      <c r="C1029" s="549"/>
    </row>
    <row r="1030" spans="3:3" ht="15.75" customHeight="1">
      <c r="C1030" s="549"/>
    </row>
    <row r="1031" spans="3:3" ht="15.75" customHeight="1">
      <c r="C1031" s="549"/>
    </row>
    <row r="1032" spans="3:3" ht="15.75" customHeight="1">
      <c r="C1032" s="549"/>
    </row>
    <row r="1033" spans="3:3" ht="15.75" customHeight="1">
      <c r="C1033" s="549"/>
    </row>
    <row r="1034" spans="3:3" ht="15.75" customHeight="1">
      <c r="C1034" s="549"/>
    </row>
    <row r="1035" spans="3:3" ht="15.75" customHeight="1">
      <c r="C1035" s="549"/>
    </row>
    <row r="1036" spans="3:3" ht="15.75" customHeight="1">
      <c r="C1036" s="549"/>
    </row>
    <row r="1037" spans="3:3" ht="15.75" customHeight="1">
      <c r="C1037" s="549"/>
    </row>
    <row r="1038" spans="3:3" ht="15.75" customHeight="1">
      <c r="C1038" s="549"/>
    </row>
    <row r="1039" spans="3:3" ht="15.75" customHeight="1">
      <c r="C1039" s="549"/>
    </row>
    <row r="1040" spans="3:3" ht="15.75" customHeight="1">
      <c r="C1040" s="549"/>
    </row>
  </sheetData>
  <mergeCells count="11">
    <mergeCell ref="AB1:AD1"/>
    <mergeCell ref="AC86:AF86"/>
    <mergeCell ref="J107:X107"/>
    <mergeCell ref="R108:X108"/>
    <mergeCell ref="C107:I107"/>
    <mergeCell ref="C217:I217"/>
    <mergeCell ref="J217:X217"/>
    <mergeCell ref="R218:X218"/>
    <mergeCell ref="C1:I1"/>
    <mergeCell ref="J1:U1"/>
    <mergeCell ref="V1:AA1"/>
  </mergeCells>
  <conditionalFormatting sqref="D88:T90">
    <cfRule type="cellIs" dxfId="63" priority="34" operator="greaterThan">
      <formula>0</formula>
    </cfRule>
    <cfRule type="cellIs" dxfId="62" priority="35" operator="lessThan">
      <formula>0</formula>
    </cfRule>
  </conditionalFormatting>
  <conditionalFormatting sqref="O3:O80 O105:O106 O108:O216 O218:O304 O306 O308:O309 O311:O314">
    <cfRule type="cellIs" dxfId="61" priority="9" operator="lessThanOrEqual">
      <formula>0</formula>
    </cfRule>
  </conditionalFormatting>
  <conditionalFormatting sqref="O3:O80 O105:O106 O108:O216 O219:O271 O273:O304 O306 O308:O309 O311:O314">
    <cfRule type="cellIs" dxfId="60" priority="8" operator="greaterThan">
      <formula>0</formula>
    </cfRule>
  </conditionalFormatting>
  <conditionalFormatting sqref="O17 O19 O21 O23 O25 O27 O29 O31 O33 O35:O79 O105:O106 O108:O216 O218:O304 O306 O308:O309 O311:O314">
    <cfRule type="cellIs" dxfId="59" priority="28" operator="greaterThan">
      <formula>0</formula>
    </cfRule>
  </conditionalFormatting>
  <conditionalFormatting sqref="P3:P80 P105:P106 P108:P216 P218:P306 P308:P309 P311:P314">
    <cfRule type="cellIs" dxfId="58" priority="6" operator="lessThan">
      <formula>0</formula>
    </cfRule>
    <cfRule type="cellIs" dxfId="57" priority="7" operator="greaterThan">
      <formula>0</formula>
    </cfRule>
  </conditionalFormatting>
  <conditionalFormatting sqref="S3:S80 U3:U34 U39:U68 S228">
    <cfRule type="colorScale" priority="30">
      <colorScale>
        <cfvo type="min"/>
        <cfvo type="percentile" val="50"/>
        <cfvo type="max"/>
        <color rgb="FF57BB8A"/>
        <color rgb="FFFFFFFF"/>
        <color rgb="FFE67C73"/>
      </colorScale>
    </cfRule>
  </conditionalFormatting>
  <conditionalFormatting sqref="U3:U80">
    <cfRule type="colorScale" priority="31">
      <colorScale>
        <cfvo type="min"/>
        <cfvo type="max"/>
        <color rgb="FFE67C73"/>
        <color rgb="FFFFFFFF"/>
      </colorScale>
    </cfRule>
  </conditionalFormatting>
  <conditionalFormatting sqref="V3:AA79 D89">
    <cfRule type="cellIs" dxfId="56" priority="37" operator="lessThanOrEqual">
      <formula>0</formula>
    </cfRule>
    <cfRule type="cellIs" dxfId="55" priority="36" operator="greaterThan">
      <formula>0</formula>
    </cfRule>
  </conditionalFormatting>
  <conditionalFormatting sqref="AB3:AB77">
    <cfRule type="cellIs" dxfId="54" priority="26" operator="equal">
      <formula>"Esperar"</formula>
    </cfRule>
    <cfRule type="cellIs" dxfId="53" priority="25" operator="equal">
      <formula>"Neutral"</formula>
    </cfRule>
    <cfRule type="cellIs" dxfId="52" priority="24" operator="equal">
      <formula>"Atractivo"</formula>
    </cfRule>
  </conditionalFormatting>
  <conditionalFormatting sqref="AC3:AD80">
    <cfRule type="cellIs" dxfId="51" priority="10" operator="equal">
      <formula>"Alcista"</formula>
    </cfRule>
    <cfRule type="cellIs" dxfId="50" priority="11" operator="equal">
      <formula>"Neutral"</formula>
    </cfRule>
    <cfRule type="cellIs" dxfId="49" priority="12" operator="equal">
      <formula>"Bajista"</formula>
    </cfRule>
  </conditionalFormatting>
  <conditionalFormatting sqref="AD31 AD29 AD33 AD35:AD38 AD57:AD69 AD71 AD73:AD79">
    <cfRule type="colorScale" priority="27">
      <colorScale>
        <cfvo type="min"/>
        <cfvo type="percentile" val="50"/>
        <cfvo type="max"/>
        <color rgb="FF57BB8A"/>
        <color rgb="FFFFFFFF"/>
        <color rgb="FFE67C73"/>
      </colorScale>
    </cfRule>
  </conditionalFormatting>
  <conditionalFormatting sqref="AE3:AE80">
    <cfRule type="cellIs" dxfId="48" priority="19" operator="equal">
      <formula>"Atractiva MP"</formula>
    </cfRule>
    <cfRule type="cellIs" dxfId="47" priority="20" operator="equal">
      <formula>"Alternativo"</formula>
    </cfRule>
    <cfRule type="cellIs" dxfId="46" priority="21" operator="equal">
      <formula>"Alta Calidad"</formula>
    </cfRule>
    <cfRule type="cellIs" dxfId="45" priority="16" operator="equal">
      <formula>"Futuro líder"</formula>
    </cfRule>
    <cfRule type="cellIs" dxfId="44" priority="17" operator="equal">
      <formula>"Oportunidad CP"</formula>
    </cfRule>
    <cfRule type="cellIs" dxfId="43" priority="18" operator="equal">
      <formula>"Líder global"</formula>
    </cfRule>
  </conditionalFormatting>
  <conditionalFormatting sqref="AE88:AE103">
    <cfRule type="colorScale" priority="32">
      <colorScale>
        <cfvo type="min"/>
        <cfvo type="percentile" val="50"/>
        <cfvo type="max"/>
        <color rgb="FFE67C73"/>
        <color rgb="FFFFFFFF"/>
        <color rgb="FF57BB8A"/>
      </colorScale>
    </cfRule>
  </conditionalFormatting>
  <conditionalFormatting sqref="AF88:AF102">
    <cfRule type="colorScale" priority="33">
      <colorScale>
        <cfvo type="min"/>
        <cfvo type="percentile" val="50"/>
        <cfvo type="max"/>
        <color rgb="FFE67C73"/>
        <color rgb="FFFFFFFF"/>
        <color rgb="FF57BB8A"/>
      </colorScale>
    </cfRule>
  </conditionalFormatting>
  <conditionalFormatting sqref="AF3:AG80">
    <cfRule type="cellIs" dxfId="42" priority="22" operator="equal">
      <formula>"Core"</formula>
    </cfRule>
    <cfRule type="cellIs" dxfId="41" priority="23" operator="equal">
      <formula>"Satellite"</formula>
    </cfRule>
  </conditionalFormatting>
  <conditionalFormatting sqref="AG3:AG80">
    <cfRule type="cellIs" dxfId="40" priority="14" operator="equal">
      <formula>"Media"</formula>
    </cfRule>
    <cfRule type="cellIs" dxfId="39" priority="13" operator="equal">
      <formula>"Baja"</formula>
    </cfRule>
    <cfRule type="cellIs" dxfId="38" priority="15" operator="equal">
      <formula>"Alta"</formula>
    </cfRule>
  </conditionalFormatting>
  <conditionalFormatting sqref="AI13 AI21 AI39:AI41 AI43 AI45:AI49 AI51 AI53 AI55 AI57 AI59 AI65 AI67 U239">
    <cfRule type="containsText" dxfId="37" priority="3" operator="containsText" text="Baja">
      <formula>NOT(ISERROR(SEARCH(("Baja"),(AI13))))</formula>
    </cfRule>
    <cfRule type="containsText" dxfId="36" priority="2" operator="containsText" text="Media">
      <formula>NOT(ISERROR(SEARCH(("Media"),(AI13))))</formula>
    </cfRule>
    <cfRule type="containsText" dxfId="35" priority="1" operator="containsText" text="Alta">
      <formula>NOT(ISERROR(SEARCH(("Alta"),(AI13))))</formula>
    </cfRule>
  </conditionalFormatting>
  <conditionalFormatting sqref="AZ92:BA241">
    <cfRule type="cellIs" dxfId="34" priority="5" operator="greaterThan">
      <formula>0</formula>
    </cfRule>
    <cfRule type="cellIs" dxfId="33" priority="4" operator="lessThan">
      <formula>0</formula>
    </cfRule>
  </conditionalFormatting>
  <pageMargins left="0.7" right="0.7" top="0.75" bottom="0.75" header="0" footer="0"/>
  <pageSetup orientation="landscape"/>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D1182"/>
  <sheetViews>
    <sheetView workbookViewId="0">
      <pane ySplit="2" topLeftCell="A69" activePane="bottomLeft" state="frozen"/>
      <selection pane="bottomLeft" activeCell="F84" sqref="F84"/>
    </sheetView>
  </sheetViews>
  <sheetFormatPr baseColWidth="10" defaultColWidth="12.6640625" defaultRowHeight="15" customHeight="1"/>
  <cols>
    <col min="1" max="1" width="4.109375" customWidth="1"/>
    <col min="2" max="2" width="10.109375" customWidth="1"/>
    <col min="3" max="3" width="23.6640625" customWidth="1"/>
    <col min="4" max="4" width="8.77734375" customWidth="1"/>
    <col min="5" max="5" width="15.109375" customWidth="1"/>
    <col min="6" max="6" width="17.109375" customWidth="1"/>
    <col min="7" max="7" width="10.6640625" customWidth="1"/>
    <col min="8" max="14" width="7.88671875" hidden="1" customWidth="1"/>
    <col min="15" max="15" width="7.88671875" customWidth="1"/>
    <col min="16" max="16" width="9" customWidth="1"/>
    <col min="17" max="18" width="7.109375" customWidth="1"/>
    <col min="19" max="19" width="7.6640625" customWidth="1"/>
    <col min="20" max="20" width="8.77734375" customWidth="1"/>
    <col min="21" max="21" width="6.88671875" customWidth="1"/>
    <col min="22" max="22" width="8.109375" customWidth="1"/>
    <col min="23" max="23" width="10.109375" customWidth="1"/>
    <col min="24" max="26" width="9" customWidth="1"/>
    <col min="28" max="28" width="8.33203125" customWidth="1"/>
    <col min="29" max="29" width="9.44140625" customWidth="1"/>
    <col min="31" max="31" width="59.109375" customWidth="1"/>
    <col min="32" max="32" width="6.33203125" customWidth="1"/>
    <col min="33" max="33" width="8" customWidth="1"/>
    <col min="34" max="34" width="14.44140625" customWidth="1"/>
    <col min="35" max="60" width="8" customWidth="1"/>
  </cols>
  <sheetData>
    <row r="1" spans="1:82" ht="15.75" customHeight="1">
      <c r="A1" s="29"/>
      <c r="B1" s="29"/>
      <c r="C1" s="864" t="s">
        <v>45</v>
      </c>
      <c r="D1" s="862"/>
      <c r="E1" s="862"/>
      <c r="F1" s="862"/>
      <c r="G1" s="863"/>
      <c r="H1" s="871" t="s">
        <v>46</v>
      </c>
      <c r="I1" s="862"/>
      <c r="J1" s="862"/>
      <c r="K1" s="862"/>
      <c r="L1" s="862"/>
      <c r="M1" s="862"/>
      <c r="N1" s="862"/>
      <c r="O1" s="862"/>
      <c r="P1" s="862"/>
      <c r="Q1" s="862"/>
      <c r="R1" s="862"/>
      <c r="S1" s="862"/>
      <c r="T1" s="863"/>
      <c r="U1" s="864" t="s">
        <v>47</v>
      </c>
      <c r="V1" s="862"/>
      <c r="W1" s="862"/>
      <c r="X1" s="862"/>
      <c r="Y1" s="862"/>
      <c r="Z1" s="863"/>
      <c r="AA1" s="872" t="s">
        <v>48</v>
      </c>
      <c r="AB1" s="873"/>
      <c r="AC1" s="874"/>
      <c r="AD1" s="33"/>
      <c r="AE1" s="35"/>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row>
    <row r="2" spans="1:82" ht="48">
      <c r="A2" s="36"/>
      <c r="B2" s="37" t="s">
        <v>0</v>
      </c>
      <c r="C2" s="38" t="s">
        <v>1</v>
      </c>
      <c r="D2" s="37" t="s">
        <v>50</v>
      </c>
      <c r="E2" s="37" t="s">
        <v>2</v>
      </c>
      <c r="F2" s="37" t="s">
        <v>51</v>
      </c>
      <c r="G2" s="37" t="s">
        <v>52</v>
      </c>
      <c r="H2" s="39" t="s">
        <v>3</v>
      </c>
      <c r="I2" s="39" t="s">
        <v>55</v>
      </c>
      <c r="J2" s="39" t="s">
        <v>56</v>
      </c>
      <c r="K2" s="39" t="s">
        <v>57</v>
      </c>
      <c r="L2" s="39" t="s">
        <v>334</v>
      </c>
      <c r="M2" s="39" t="s">
        <v>58</v>
      </c>
      <c r="N2" s="39" t="s">
        <v>59</v>
      </c>
      <c r="O2" s="39" t="s">
        <v>60</v>
      </c>
      <c r="P2" s="39" t="s">
        <v>61</v>
      </c>
      <c r="Q2" s="39" t="s">
        <v>62</v>
      </c>
      <c r="R2" s="40" t="s">
        <v>63</v>
      </c>
      <c r="S2" s="40" t="s">
        <v>64</v>
      </c>
      <c r="T2" s="40" t="s">
        <v>65</v>
      </c>
      <c r="U2" s="41" t="s">
        <v>4</v>
      </c>
      <c r="V2" s="37" t="s">
        <v>66</v>
      </c>
      <c r="W2" s="37" t="s">
        <v>67</v>
      </c>
      <c r="X2" s="37" t="s">
        <v>68</v>
      </c>
      <c r="Y2" s="37" t="s">
        <v>69</v>
      </c>
      <c r="Z2" s="37" t="s">
        <v>70</v>
      </c>
      <c r="AA2" s="42" t="s">
        <v>71</v>
      </c>
      <c r="AB2" s="42" t="s">
        <v>335</v>
      </c>
      <c r="AC2" s="42" t="s">
        <v>336</v>
      </c>
      <c r="AD2" s="42" t="s">
        <v>76</v>
      </c>
      <c r="AE2" s="43" t="s">
        <v>78</v>
      </c>
      <c r="AF2" s="44"/>
      <c r="AG2" s="44"/>
      <c r="AH2" s="44"/>
      <c r="AI2" s="44"/>
      <c r="AJ2" s="44"/>
      <c r="AK2" s="44"/>
      <c r="AL2" s="44"/>
      <c r="AM2" s="44"/>
      <c r="AN2" s="44"/>
      <c r="AO2" s="44"/>
      <c r="AP2" s="44"/>
      <c r="AQ2" s="44"/>
      <c r="AR2" s="44"/>
      <c r="AS2" s="44"/>
      <c r="AT2" s="44"/>
      <c r="AU2" s="44"/>
      <c r="AV2" s="44"/>
      <c r="AW2" s="44"/>
      <c r="AX2" s="44"/>
      <c r="AY2" s="44"/>
      <c r="AZ2" s="44"/>
      <c r="BA2" s="44"/>
      <c r="BB2" s="36"/>
      <c r="BC2" s="36"/>
      <c r="BD2" s="36"/>
      <c r="BE2" s="36"/>
      <c r="BF2" s="36"/>
      <c r="BG2" s="36"/>
      <c r="BH2" s="36"/>
      <c r="BI2" s="36"/>
      <c r="BJ2" s="36"/>
      <c r="BK2" s="36"/>
      <c r="BL2" s="36"/>
      <c r="BM2" s="36"/>
      <c r="BN2" s="36"/>
    </row>
    <row r="3" spans="1:82" ht="14.25" customHeight="1">
      <c r="A3" s="256"/>
      <c r="B3" s="550" t="s">
        <v>337</v>
      </c>
      <c r="C3" s="551"/>
      <c r="D3" s="552"/>
      <c r="E3" s="553"/>
      <c r="F3" s="553"/>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242"/>
      <c r="AG3" s="242"/>
      <c r="AH3" s="242"/>
      <c r="AI3" s="242"/>
      <c r="AJ3" s="29"/>
      <c r="AK3" s="242"/>
      <c r="AL3" s="29"/>
      <c r="AM3" s="242"/>
      <c r="AN3" s="29"/>
      <c r="AO3" s="242"/>
      <c r="AP3" s="29"/>
      <c r="AQ3" s="242"/>
      <c r="AR3" s="29"/>
      <c r="AS3" s="24"/>
      <c r="AT3" s="24"/>
      <c r="AU3" s="24"/>
      <c r="AV3" s="24"/>
      <c r="AY3" s="24"/>
      <c r="BE3" s="24"/>
      <c r="BF3" s="24"/>
      <c r="BG3" s="24"/>
      <c r="BH3" s="24"/>
      <c r="BI3" s="24"/>
      <c r="BJ3" s="24"/>
      <c r="BK3" s="24"/>
      <c r="BL3" s="24"/>
      <c r="BM3" s="24"/>
      <c r="BN3" s="24"/>
    </row>
    <row r="4" spans="1:82" ht="13.2">
      <c r="A4" s="555">
        <v>1</v>
      </c>
      <c r="B4" s="556" t="s">
        <v>338</v>
      </c>
      <c r="C4" s="557" t="str">
        <f ca="1">IFERROR(__xludf.DUMMYFUNCTION("GoogleFinance(B4,""name"")"),"Nano Nuclear Energy Inc")</f>
        <v>Nano Nuclear Energy Inc</v>
      </c>
      <c r="D4" s="558">
        <f ca="1">IFERROR(__xludf.DUMMYFUNCTION("GoogleFinance(B4,""marketcap"")/1000000"),1633.704562)</f>
        <v>1633.7045619999999</v>
      </c>
      <c r="E4" s="559" t="s">
        <v>11</v>
      </c>
      <c r="F4" s="559" t="s">
        <v>339</v>
      </c>
      <c r="G4" s="560">
        <v>45679</v>
      </c>
      <c r="H4" s="561">
        <v>39.29</v>
      </c>
      <c r="I4" s="562">
        <v>33.619999999999997</v>
      </c>
      <c r="J4" s="563">
        <v>29.744199881023203</v>
      </c>
      <c r="K4" s="564">
        <v>1000</v>
      </c>
      <c r="L4" s="564">
        <v>1000</v>
      </c>
      <c r="M4" s="564">
        <v>1168.6496133254016</v>
      </c>
      <c r="N4" s="564">
        <v>168.64961332540156</v>
      </c>
      <c r="O4" s="565">
        <v>0.16864961332540157</v>
      </c>
      <c r="P4" s="566">
        <v>250</v>
      </c>
      <c r="Q4" s="561">
        <v>12</v>
      </c>
      <c r="R4" s="567">
        <v>-0.69457877322473904</v>
      </c>
      <c r="S4" s="568">
        <v>110</v>
      </c>
      <c r="T4" s="565">
        <v>1.7996945787732246</v>
      </c>
      <c r="U4" s="569">
        <v>-5.0999999999999997E-2</v>
      </c>
      <c r="V4" s="570">
        <v>-0.15158713020945802</v>
      </c>
      <c r="W4" s="567">
        <v>0.20743700061462822</v>
      </c>
      <c r="X4" s="567">
        <v>0.13917077413743106</v>
      </c>
      <c r="Y4" s="567">
        <v>0.48488284202569898</v>
      </c>
      <c r="Z4" s="567">
        <v>0.57791164658634542</v>
      </c>
      <c r="AA4" s="571" t="s">
        <v>84</v>
      </c>
      <c r="AB4" s="572" t="s">
        <v>85</v>
      </c>
      <c r="AC4" s="573" t="s">
        <v>85</v>
      </c>
      <c r="AD4" s="573" t="s">
        <v>100</v>
      </c>
      <c r="AE4" s="574"/>
      <c r="AF4" s="565"/>
      <c r="AG4" s="565"/>
      <c r="AH4" s="565"/>
      <c r="AI4" s="575" t="str">
        <f ca="1">IFERROR(__xludf.DUMMYFUNCTION("GoogleFinance(B4,""price"",DATE(2025,9,19))"),"Date")</f>
        <v>Date</v>
      </c>
      <c r="AJ4" s="576" t="str">
        <f ca="1">IFERROR(__xludf.DUMMYFUNCTION("""COMPUTED_VALUE"""),"Close")</f>
        <v>Close</v>
      </c>
      <c r="AK4" s="575" t="str">
        <f ca="1">IFERROR(__xludf.DUMMYFUNCTION("GoogleFinance(B4,""price"",DATE(2025,8,29))"),"Date")</f>
        <v>Date</v>
      </c>
      <c r="AL4" s="576" t="str">
        <f ca="1">IFERROR(__xludf.DUMMYFUNCTION("""COMPUTED_VALUE"""),"Close")</f>
        <v>Close</v>
      </c>
      <c r="AM4" s="575" t="str">
        <f ca="1">IFERROR(__xludf.DUMMYFUNCTION("GoogleFinance(B4,""price"",today()-93)"),"#N/A")</f>
        <v>#N/A</v>
      </c>
      <c r="AN4" s="576"/>
      <c r="AO4" s="575" t="str">
        <f ca="1">IFERROR(__xludf.DUMMYFUNCTION("GoogleFinance(B4,""price"",today()-183)"),"#N/A")</f>
        <v>#N/A</v>
      </c>
      <c r="AP4" s="576"/>
      <c r="AQ4" s="575" t="str">
        <f ca="1">IFERROR(__xludf.DUMMYFUNCTION("GoogleFinance(B4,""price"",DATE(2024,12,31))"),"Date")</f>
        <v>Date</v>
      </c>
      <c r="AR4" s="576" t="str">
        <f ca="1">IFERROR(__xludf.DUMMYFUNCTION("""COMPUTED_VALUE"""),"Close")</f>
        <v>Close</v>
      </c>
      <c r="AS4" s="565"/>
      <c r="AT4" s="576"/>
      <c r="AU4" s="577"/>
      <c r="AV4" s="577"/>
      <c r="AW4" s="577"/>
      <c r="AX4" s="577"/>
      <c r="AY4" s="578"/>
      <c r="AZ4" s="578"/>
      <c r="BA4" s="577"/>
      <c r="BB4" s="578"/>
      <c r="BC4" s="578"/>
      <c r="BD4" s="578"/>
      <c r="BE4" s="578"/>
      <c r="BF4" s="578"/>
      <c r="BG4" s="577"/>
      <c r="BH4" s="577"/>
      <c r="BI4" s="577"/>
      <c r="BJ4" s="577"/>
      <c r="BK4" s="577"/>
      <c r="BL4" s="577"/>
      <c r="BM4" s="577"/>
      <c r="BN4" s="577"/>
      <c r="BO4" s="577"/>
      <c r="BP4" s="577"/>
      <c r="BQ4" s="578"/>
      <c r="BR4" s="578"/>
      <c r="BS4" s="578"/>
      <c r="BT4" s="578"/>
      <c r="BU4" s="578"/>
      <c r="BV4" s="578"/>
      <c r="BW4" s="578"/>
      <c r="BX4" s="578"/>
      <c r="BY4" s="578"/>
      <c r="BZ4" s="578"/>
      <c r="CA4" s="578"/>
      <c r="CB4" s="578"/>
      <c r="CC4" s="578"/>
      <c r="CD4" s="578"/>
    </row>
    <row r="5" spans="1:82" ht="13.2" hidden="1">
      <c r="A5" s="294" t="e">
        <f>#REF!+1</f>
        <v>#REF!</v>
      </c>
      <c r="B5" s="579"/>
      <c r="C5" s="580"/>
      <c r="D5" s="579"/>
      <c r="E5" s="579"/>
      <c r="F5" s="579"/>
      <c r="G5" s="579"/>
      <c r="H5" s="581"/>
      <c r="I5" s="581"/>
      <c r="J5" s="581"/>
      <c r="K5" s="581"/>
      <c r="L5" s="581"/>
      <c r="M5" s="581"/>
      <c r="N5" s="226"/>
      <c r="O5" s="582"/>
      <c r="P5" s="581"/>
      <c r="Q5" s="581"/>
      <c r="R5" s="583"/>
      <c r="S5" s="583"/>
      <c r="T5" s="583"/>
      <c r="U5" s="584"/>
      <c r="V5" s="579"/>
      <c r="W5" s="579"/>
      <c r="X5" s="579"/>
      <c r="Y5" s="579"/>
      <c r="Z5" s="579"/>
      <c r="AA5" s="571" t="s">
        <v>93</v>
      </c>
      <c r="AB5" s="63" t="s">
        <v>93</v>
      </c>
      <c r="AC5" s="585"/>
      <c r="AD5" s="585"/>
      <c r="AE5" s="586"/>
      <c r="AF5" s="242"/>
      <c r="AG5" s="242"/>
      <c r="AH5" s="242"/>
      <c r="AI5" s="235">
        <f ca="1">IFERROR(__xludf.DUMMYFUNCTION("""COMPUTED_VALUE"""),45919.6666666666)</f>
        <v>45919.666666666599</v>
      </c>
      <c r="AJ5" s="29">
        <f ca="1">IFERROR(__xludf.DUMMYFUNCTION("""COMPUTED_VALUE"""),46.31)</f>
        <v>46.31</v>
      </c>
      <c r="AK5" s="235">
        <f ca="1">IFERROR(__xludf.DUMMYFUNCTION("""COMPUTED_VALUE"""),45898.6666666666)</f>
        <v>45898.666666666599</v>
      </c>
      <c r="AL5" s="29">
        <f ca="1">IFERROR(__xludf.DUMMYFUNCTION("""COMPUTED_VALUE"""),32.54)</f>
        <v>32.54</v>
      </c>
      <c r="AM5" s="235"/>
      <c r="AN5" s="29"/>
      <c r="AO5" s="235"/>
      <c r="AP5" s="29"/>
      <c r="AQ5" s="235">
        <f ca="1">IFERROR(__xludf.DUMMYFUNCTION("""COMPUTED_VALUE"""),45657.6666666666)</f>
        <v>45657.666666666599</v>
      </c>
      <c r="AR5" s="29">
        <f ca="1">IFERROR(__xludf.DUMMYFUNCTION("""COMPUTED_VALUE"""),24.9)</f>
        <v>24.9</v>
      </c>
      <c r="AS5" s="24"/>
      <c r="AT5" s="24"/>
      <c r="AU5" s="24"/>
      <c r="AV5" s="24"/>
      <c r="AW5" s="587"/>
      <c r="AX5" s="587"/>
      <c r="AY5" s="24"/>
      <c r="AZ5" s="587"/>
      <c r="BA5" s="587"/>
      <c r="BB5" s="587"/>
      <c r="BC5" s="587"/>
      <c r="BD5" s="587"/>
      <c r="BE5" s="24"/>
      <c r="BF5" s="24"/>
      <c r="BG5" s="24"/>
      <c r="BH5" s="24"/>
      <c r="BI5" s="24"/>
      <c r="BJ5" s="24"/>
      <c r="BK5" s="24"/>
      <c r="BL5" s="24"/>
      <c r="BM5" s="24"/>
      <c r="BN5" s="24"/>
      <c r="BO5" s="587"/>
      <c r="BP5" s="587"/>
      <c r="BQ5" s="587"/>
      <c r="BR5" s="587"/>
      <c r="BS5" s="587"/>
      <c r="BT5" s="587"/>
      <c r="BU5" s="587"/>
      <c r="BV5" s="587"/>
      <c r="BW5" s="587"/>
      <c r="BX5" s="587"/>
      <c r="BY5" s="587"/>
      <c r="BZ5" s="587"/>
      <c r="CA5" s="587"/>
      <c r="CB5" s="587"/>
      <c r="CC5" s="587"/>
      <c r="CD5" s="587"/>
    </row>
    <row r="6" spans="1:82" ht="13.2">
      <c r="A6" s="294">
        <f t="shared" ref="A6:A12" si="0">A4+1</f>
        <v>2</v>
      </c>
      <c r="B6" s="7" t="s">
        <v>340</v>
      </c>
      <c r="C6" s="377" t="str">
        <f ca="1">IFERROR(__xludf.DUMMYFUNCTION("GoogleFinance(B6,""name"")"),"Ardmore Shipping Corp")</f>
        <v>Ardmore Shipping Corp</v>
      </c>
      <c r="D6" s="378">
        <f ca="1">IFERROR(__xludf.DUMMYFUNCTION("GoogleFinance(B6,""marketcap"")/1000000"),507.051477)</f>
        <v>507.05147699999998</v>
      </c>
      <c r="E6" s="246" t="s">
        <v>11</v>
      </c>
      <c r="F6" s="246" t="s">
        <v>341</v>
      </c>
      <c r="G6" s="266">
        <v>45887</v>
      </c>
      <c r="H6" s="588">
        <v>12.46</v>
      </c>
      <c r="I6" s="490">
        <v>10.82</v>
      </c>
      <c r="J6" s="589">
        <v>277.26432532347502</v>
      </c>
      <c r="K6" s="395">
        <v>3000</v>
      </c>
      <c r="L6" s="395">
        <v>3000</v>
      </c>
      <c r="M6" s="395">
        <v>3454.7134935304989</v>
      </c>
      <c r="N6" s="395">
        <v>454.71349353049891</v>
      </c>
      <c r="O6" s="396">
        <v>0.15157116451016631</v>
      </c>
      <c r="P6" s="571">
        <v>42</v>
      </c>
      <c r="Q6" s="588">
        <v>9.1</v>
      </c>
      <c r="R6" s="394">
        <v>-0.26966292134831471</v>
      </c>
      <c r="S6" s="393">
        <v>14</v>
      </c>
      <c r="T6" s="396">
        <v>0.12359550561797739</v>
      </c>
      <c r="U6" s="299">
        <v>-5.6000000000000008E-3</v>
      </c>
      <c r="V6" s="590">
        <v>-1.9669551534225005E-2</v>
      </c>
      <c r="W6" s="394">
        <v>7.2289156626506257E-2</v>
      </c>
      <c r="X6" s="394">
        <v>0.29791666666666683</v>
      </c>
      <c r="Y6" s="394">
        <v>0.27272727272727293</v>
      </c>
      <c r="Z6" s="394">
        <v>2.551440329218102E-2</v>
      </c>
      <c r="AA6" s="571" t="s">
        <v>84</v>
      </c>
      <c r="AB6" s="63" t="s">
        <v>85</v>
      </c>
      <c r="AC6" s="591" t="s">
        <v>85</v>
      </c>
      <c r="AD6" s="591" t="s">
        <v>100</v>
      </c>
      <c r="AE6" s="592"/>
      <c r="AF6" s="396"/>
      <c r="AG6" s="396"/>
      <c r="AH6" s="396"/>
      <c r="AI6" s="575" t="str">
        <f ca="1">IFERROR(__xludf.DUMMYFUNCTION("GoogleFinance(B6,""price"",DATE(2025,9,19))"),"Date")</f>
        <v>Date</v>
      </c>
      <c r="AJ6" s="576" t="str">
        <f ca="1">IFERROR(__xludf.DUMMYFUNCTION("""COMPUTED_VALUE"""),"Close")</f>
        <v>Close</v>
      </c>
      <c r="AK6" s="575" t="str">
        <f ca="1">IFERROR(__xludf.DUMMYFUNCTION("GoogleFinance(B6,""price"",DATE(2025,8,29))"),"Date")</f>
        <v>Date</v>
      </c>
      <c r="AL6" s="576" t="str">
        <f ca="1">IFERROR(__xludf.DUMMYFUNCTION("""COMPUTED_VALUE"""),"Close")</f>
        <v>Close</v>
      </c>
      <c r="AM6" s="575" t="str">
        <f ca="1">IFERROR(__xludf.DUMMYFUNCTION("GoogleFinance(B6,""price"",today()-93)"),"#N/A")</f>
        <v>#N/A</v>
      </c>
      <c r="AN6" s="576"/>
      <c r="AO6" s="575" t="str">
        <f ca="1">IFERROR(__xludf.DUMMYFUNCTION("GoogleFinance(B6,""price"",today()-183)"),"#N/A")</f>
        <v>#N/A</v>
      </c>
      <c r="AP6" s="576"/>
      <c r="AQ6" s="575" t="str">
        <f ca="1">IFERROR(__xludf.DUMMYFUNCTION("GoogleFinance(B6,""price"",DATE(2024,12,31))"),"Date")</f>
        <v>Date</v>
      </c>
      <c r="AR6" s="576" t="str">
        <f ca="1">IFERROR(__xludf.DUMMYFUNCTION("""COMPUTED_VALUE"""),"Close")</f>
        <v>Close</v>
      </c>
      <c r="AS6" s="396"/>
      <c r="AT6" s="389"/>
      <c r="AU6" s="257"/>
      <c r="AV6" s="257"/>
      <c r="AW6" s="257"/>
      <c r="AX6" s="257"/>
      <c r="AY6" s="268"/>
      <c r="AZ6" s="268"/>
      <c r="BA6" s="257"/>
      <c r="BB6" s="268"/>
      <c r="BC6" s="268"/>
      <c r="BD6" s="268"/>
      <c r="BE6" s="268"/>
      <c r="BF6" s="268"/>
      <c r="BG6" s="257"/>
      <c r="BH6" s="257"/>
      <c r="BI6" s="257"/>
      <c r="BJ6" s="257"/>
      <c r="BK6" s="257"/>
      <c r="BL6" s="257"/>
      <c r="BM6" s="257"/>
      <c r="BN6" s="257"/>
      <c r="BO6" s="257"/>
      <c r="BP6" s="257"/>
      <c r="BQ6" s="268"/>
      <c r="BR6" s="268"/>
      <c r="BS6" s="268"/>
      <c r="BT6" s="268"/>
      <c r="BU6" s="268"/>
      <c r="BV6" s="268"/>
      <c r="BW6" s="268"/>
      <c r="BX6" s="268"/>
      <c r="BY6" s="268"/>
      <c r="BZ6" s="268"/>
      <c r="CA6" s="268"/>
      <c r="CB6" s="268"/>
      <c r="CC6" s="268"/>
      <c r="CD6" s="268"/>
    </row>
    <row r="7" spans="1:82" ht="13.2" hidden="1">
      <c r="A7" s="294" t="e">
        <f t="shared" si="0"/>
        <v>#REF!</v>
      </c>
      <c r="B7" s="579"/>
      <c r="C7" s="580"/>
      <c r="D7" s="579"/>
      <c r="E7" s="579"/>
      <c r="F7" s="579"/>
      <c r="G7" s="579"/>
      <c r="H7" s="581"/>
      <c r="I7" s="581"/>
      <c r="J7" s="581"/>
      <c r="K7" s="581"/>
      <c r="L7" s="581"/>
      <c r="M7" s="581"/>
      <c r="N7" s="226"/>
      <c r="O7" s="582"/>
      <c r="P7" s="581"/>
      <c r="Q7" s="581"/>
      <c r="R7" s="583"/>
      <c r="S7" s="583"/>
      <c r="T7" s="583"/>
      <c r="U7" s="584"/>
      <c r="V7" s="579"/>
      <c r="W7" s="579"/>
      <c r="X7" s="579"/>
      <c r="Y7" s="579"/>
      <c r="Z7" s="579"/>
      <c r="AA7" s="571" t="s">
        <v>93</v>
      </c>
      <c r="AB7" s="63" t="s">
        <v>93</v>
      </c>
      <c r="AC7" s="585"/>
      <c r="AD7" s="585"/>
      <c r="AE7" s="586"/>
      <c r="AF7" s="242"/>
      <c r="AG7" s="242"/>
      <c r="AH7" s="242"/>
      <c r="AI7" s="235">
        <f ca="1">IFERROR(__xludf.DUMMYFUNCTION("""COMPUTED_VALUE"""),45919.6666666666)</f>
        <v>45919.666666666599</v>
      </c>
      <c r="AJ7" s="29">
        <f ca="1">IFERROR(__xludf.DUMMYFUNCTION("""COMPUTED_VALUE"""),12.71)</f>
        <v>12.71</v>
      </c>
      <c r="AK7" s="235">
        <f ca="1">IFERROR(__xludf.DUMMYFUNCTION("""COMPUTED_VALUE"""),45898.6666666666)</f>
        <v>45898.666666666599</v>
      </c>
      <c r="AL7" s="29">
        <f ca="1">IFERROR(__xludf.DUMMYFUNCTION("""COMPUTED_VALUE"""),11.62)</f>
        <v>11.62</v>
      </c>
      <c r="AM7" s="235"/>
      <c r="AN7" s="29"/>
      <c r="AO7" s="235"/>
      <c r="AP7" s="29"/>
      <c r="AQ7" s="235">
        <f ca="1">IFERROR(__xludf.DUMMYFUNCTION("""COMPUTED_VALUE"""),45657.6666666666)</f>
        <v>45657.666666666599</v>
      </c>
      <c r="AR7" s="29">
        <f ca="1">IFERROR(__xludf.DUMMYFUNCTION("""COMPUTED_VALUE"""),12.15)</f>
        <v>12.15</v>
      </c>
      <c r="AS7" s="24"/>
      <c r="AT7" s="24"/>
      <c r="AU7" s="24"/>
      <c r="AV7" s="24"/>
      <c r="AW7" s="587"/>
      <c r="AX7" s="587"/>
      <c r="AY7" s="24"/>
      <c r="AZ7" s="587"/>
      <c r="BA7" s="587"/>
      <c r="BB7" s="587"/>
      <c r="BC7" s="587"/>
      <c r="BD7" s="587"/>
      <c r="BE7" s="24"/>
      <c r="BF7" s="24"/>
      <c r="BG7" s="24"/>
      <c r="BH7" s="24"/>
      <c r="BI7" s="24"/>
      <c r="BJ7" s="24"/>
      <c r="BK7" s="24"/>
      <c r="BL7" s="24"/>
      <c r="BM7" s="24"/>
      <c r="BN7" s="24"/>
      <c r="BO7" s="587"/>
      <c r="BP7" s="587"/>
      <c r="BQ7" s="587"/>
      <c r="BR7" s="587"/>
      <c r="BS7" s="587"/>
      <c r="BT7" s="587"/>
      <c r="BU7" s="587"/>
      <c r="BV7" s="587"/>
      <c r="BW7" s="587"/>
      <c r="BX7" s="587"/>
      <c r="BY7" s="587"/>
      <c r="BZ7" s="587"/>
      <c r="CA7" s="587"/>
      <c r="CB7" s="587"/>
      <c r="CC7" s="587"/>
      <c r="CD7" s="587"/>
    </row>
    <row r="8" spans="1:82" ht="13.2">
      <c r="A8" s="294">
        <f t="shared" si="0"/>
        <v>3</v>
      </c>
      <c r="B8" s="7" t="s">
        <v>342</v>
      </c>
      <c r="C8" s="377" t="str">
        <f ca="1">IFERROR(__xludf.DUMMYFUNCTION("GoogleFinance(B8,""name"")"),"FLEX LNG Ltd")</f>
        <v>FLEX LNG Ltd</v>
      </c>
      <c r="D8" s="378">
        <f ca="1">IFERROR(__xludf.DUMMYFUNCTION("GoogleFinance(B8,""marketcap"")/1000000"),1382.635348)</f>
        <v>1382.635348</v>
      </c>
      <c r="E8" s="246" t="s">
        <v>11</v>
      </c>
      <c r="F8" s="246" t="s">
        <v>341</v>
      </c>
      <c r="G8" s="266">
        <v>45894</v>
      </c>
      <c r="H8" s="588">
        <v>25.36</v>
      </c>
      <c r="I8" s="490">
        <v>27.2</v>
      </c>
      <c r="J8" s="589">
        <v>73.529411764705884</v>
      </c>
      <c r="K8" s="395">
        <v>2000</v>
      </c>
      <c r="L8" s="395">
        <v>2000</v>
      </c>
      <c r="M8" s="395">
        <v>1864.7058823529412</v>
      </c>
      <c r="N8" s="395">
        <v>-135.29411764705878</v>
      </c>
      <c r="O8" s="396">
        <v>-6.7647058823529393E-2</v>
      </c>
      <c r="P8" s="571">
        <v>35</v>
      </c>
      <c r="Q8" s="588">
        <v>22</v>
      </c>
      <c r="R8" s="394">
        <v>-0.13249211356466872</v>
      </c>
      <c r="S8" s="393">
        <v>44</v>
      </c>
      <c r="T8" s="396">
        <v>0.73501577287066255</v>
      </c>
      <c r="U8" s="299">
        <v>4.7999999999999996E-3</v>
      </c>
      <c r="V8" s="590">
        <v>1.5618742490989268E-2</v>
      </c>
      <c r="W8" s="394">
        <v>-6.9357798165137652E-2</v>
      </c>
      <c r="X8" s="394">
        <v>0.15377616014558693</v>
      </c>
      <c r="Y8" s="394">
        <v>0.10308829926054819</v>
      </c>
      <c r="Z8" s="394">
        <v>0.10549258936355699</v>
      </c>
      <c r="AA8" s="571" t="s">
        <v>84</v>
      </c>
      <c r="AB8" s="63" t="s">
        <v>85</v>
      </c>
      <c r="AC8" s="591" t="s">
        <v>85</v>
      </c>
      <c r="AD8" s="591" t="s">
        <v>100</v>
      </c>
      <c r="AE8" s="592"/>
      <c r="AF8" s="396"/>
      <c r="AG8" s="396"/>
      <c r="AH8" s="396"/>
      <c r="AI8" s="575" t="str">
        <f ca="1">IFERROR(__xludf.DUMMYFUNCTION("GoogleFinance(B8,""price"",DATE(2025,9,19))"),"Date")</f>
        <v>Date</v>
      </c>
      <c r="AJ8" s="576" t="str">
        <f ca="1">IFERROR(__xludf.DUMMYFUNCTION("""COMPUTED_VALUE"""),"Close")</f>
        <v>Close</v>
      </c>
      <c r="AK8" s="575" t="str">
        <f ca="1">IFERROR(__xludf.DUMMYFUNCTION("GoogleFinance(B8,""price"",DATE(2025,8,29))"),"Date")</f>
        <v>Date</v>
      </c>
      <c r="AL8" s="576" t="str">
        <f ca="1">IFERROR(__xludf.DUMMYFUNCTION("""COMPUTED_VALUE"""),"Close")</f>
        <v>Close</v>
      </c>
      <c r="AM8" s="575" t="str">
        <f ca="1">IFERROR(__xludf.DUMMYFUNCTION("GoogleFinance(B8,""price"",today()-93)"),"#N/A")</f>
        <v>#N/A</v>
      </c>
      <c r="AN8" s="576"/>
      <c r="AO8" s="575" t="str">
        <f ca="1">IFERROR(__xludf.DUMMYFUNCTION("GoogleFinance(B8,""price"",today()-183)"),"#N/A")</f>
        <v>#N/A</v>
      </c>
      <c r="AP8" s="576"/>
      <c r="AQ8" s="575" t="str">
        <f ca="1">IFERROR(__xludf.DUMMYFUNCTION("GoogleFinance(B8,""price"",DATE(2024,12,31))"),"Date")</f>
        <v>Date</v>
      </c>
      <c r="AR8" s="576" t="str">
        <f ca="1">IFERROR(__xludf.DUMMYFUNCTION("""COMPUTED_VALUE"""),"Close")</f>
        <v>Close</v>
      </c>
      <c r="AS8" s="396"/>
      <c r="AT8" s="389"/>
      <c r="AU8" s="257"/>
      <c r="AV8" s="257"/>
      <c r="AW8" s="257"/>
      <c r="AX8" s="257"/>
      <c r="AY8" s="268"/>
      <c r="AZ8" s="268"/>
      <c r="BA8" s="257"/>
      <c r="BB8" s="268"/>
      <c r="BC8" s="268"/>
      <c r="BD8" s="268"/>
      <c r="BE8" s="268"/>
      <c r="BF8" s="268"/>
      <c r="BG8" s="257"/>
      <c r="BH8" s="257"/>
      <c r="BI8" s="257"/>
      <c r="BJ8" s="257"/>
      <c r="BK8" s="257"/>
      <c r="BL8" s="257"/>
      <c r="BM8" s="257"/>
      <c r="BN8" s="257"/>
      <c r="BO8" s="257"/>
      <c r="BP8" s="257"/>
      <c r="BQ8" s="268"/>
      <c r="BR8" s="268"/>
      <c r="BS8" s="268"/>
      <c r="BT8" s="268"/>
      <c r="BU8" s="268"/>
      <c r="BV8" s="268"/>
      <c r="BW8" s="268"/>
      <c r="BX8" s="268"/>
      <c r="BY8" s="268"/>
      <c r="BZ8" s="268"/>
      <c r="CA8" s="268"/>
      <c r="CB8" s="268"/>
      <c r="CC8" s="268"/>
      <c r="CD8" s="268"/>
    </row>
    <row r="9" spans="1:82" ht="13.2" hidden="1">
      <c r="A9" s="593" t="e">
        <f t="shared" si="0"/>
        <v>#REF!</v>
      </c>
      <c r="B9" s="594"/>
      <c r="C9" s="595"/>
      <c r="D9" s="594"/>
      <c r="E9" s="594"/>
      <c r="F9" s="594"/>
      <c r="G9" s="594"/>
      <c r="H9" s="596"/>
      <c r="I9" s="596"/>
      <c r="J9" s="596"/>
      <c r="K9" s="596"/>
      <c r="L9" s="596"/>
      <c r="M9" s="596"/>
      <c r="N9" s="517"/>
      <c r="O9" s="597"/>
      <c r="P9" s="596"/>
      <c r="Q9" s="596"/>
      <c r="R9" s="598"/>
      <c r="S9" s="598"/>
      <c r="T9" s="598"/>
      <c r="U9" s="599"/>
      <c r="V9" s="594"/>
      <c r="W9" s="594"/>
      <c r="X9" s="594"/>
      <c r="Y9" s="594"/>
      <c r="Z9" s="594"/>
      <c r="AA9" s="600" t="s">
        <v>93</v>
      </c>
      <c r="AB9" s="601" t="s">
        <v>93</v>
      </c>
      <c r="AC9" s="602"/>
      <c r="AD9" s="602"/>
      <c r="AE9" s="603"/>
      <c r="AF9" s="604"/>
      <c r="AG9" s="604"/>
      <c r="AH9" s="604"/>
      <c r="AI9" s="381">
        <f ca="1">IFERROR(__xludf.DUMMYFUNCTION("""COMPUTED_VALUE"""),45919.6666666666)</f>
        <v>45919.666666666599</v>
      </c>
      <c r="AJ9" s="457">
        <f ca="1">IFERROR(__xludf.DUMMYFUNCTION("""COMPUTED_VALUE"""),24.97)</f>
        <v>24.97</v>
      </c>
      <c r="AK9" s="381">
        <f ca="1">IFERROR(__xludf.DUMMYFUNCTION("""COMPUTED_VALUE"""),45898.6666666666)</f>
        <v>45898.666666666599</v>
      </c>
      <c r="AL9" s="457">
        <f ca="1">IFERROR(__xludf.DUMMYFUNCTION("""COMPUTED_VALUE"""),27.25)</f>
        <v>27.25</v>
      </c>
      <c r="AM9" s="381"/>
      <c r="AN9" s="457"/>
      <c r="AO9" s="381"/>
      <c r="AP9" s="457"/>
      <c r="AQ9" s="381">
        <f ca="1">IFERROR(__xludf.DUMMYFUNCTION("""COMPUTED_VALUE"""),45657.6666666666)</f>
        <v>45657.666666666599</v>
      </c>
      <c r="AR9" s="457">
        <f ca="1">IFERROR(__xludf.DUMMYFUNCTION("""COMPUTED_VALUE"""),22.94)</f>
        <v>22.94</v>
      </c>
      <c r="AS9" s="409"/>
      <c r="AT9" s="409"/>
      <c r="AU9" s="409"/>
      <c r="AV9" s="409"/>
      <c r="AW9" s="605"/>
      <c r="AX9" s="605"/>
      <c r="AY9" s="409"/>
      <c r="AZ9" s="605"/>
      <c r="BA9" s="605"/>
      <c r="BB9" s="605"/>
      <c r="BC9" s="605"/>
      <c r="BD9" s="605"/>
      <c r="BE9" s="409"/>
      <c r="BF9" s="409"/>
      <c r="BG9" s="409"/>
      <c r="BH9" s="409"/>
      <c r="BI9" s="409"/>
      <c r="BJ9" s="409"/>
      <c r="BK9" s="409"/>
      <c r="BL9" s="409"/>
      <c r="BM9" s="409"/>
      <c r="BN9" s="409"/>
      <c r="BO9" s="605"/>
      <c r="BP9" s="605"/>
      <c r="BQ9" s="605"/>
      <c r="BR9" s="605"/>
      <c r="BS9" s="605"/>
      <c r="BT9" s="605"/>
      <c r="BU9" s="605"/>
      <c r="BV9" s="605"/>
      <c r="BW9" s="605"/>
      <c r="BX9" s="605"/>
      <c r="BY9" s="605"/>
      <c r="BZ9" s="605"/>
      <c r="CA9" s="605"/>
      <c r="CB9" s="605"/>
      <c r="CC9" s="605"/>
      <c r="CD9" s="605"/>
    </row>
    <row r="10" spans="1:82" ht="13.2">
      <c r="A10" s="294">
        <f t="shared" si="0"/>
        <v>4</v>
      </c>
      <c r="B10" s="7" t="s">
        <v>343</v>
      </c>
      <c r="C10" s="377" t="str">
        <f ca="1">IFERROR(__xludf.DUMMYFUNCTION("GoogleFinance(B10,""name"")"),"Seanergy Maritime Holdings Corp")</f>
        <v>Seanergy Maritime Holdings Corp</v>
      </c>
      <c r="D10" s="378">
        <f ca="1">IFERROR(__xludf.DUMMYFUNCTION("GoogleFinance(B10,""marketcap"")/1000000"),182.6369)</f>
        <v>182.6369</v>
      </c>
      <c r="E10" s="246" t="s">
        <v>11</v>
      </c>
      <c r="F10" s="246" t="s">
        <v>341</v>
      </c>
      <c r="G10" s="266">
        <v>45917</v>
      </c>
      <c r="H10" s="588">
        <v>8.65</v>
      </c>
      <c r="I10" s="490">
        <v>8.92</v>
      </c>
      <c r="J10" s="589">
        <v>224.2152466367713</v>
      </c>
      <c r="K10" s="395">
        <v>2000</v>
      </c>
      <c r="L10" s="395">
        <v>2000</v>
      </c>
      <c r="M10" s="395">
        <v>1939.4618834080718</v>
      </c>
      <c r="N10" s="395">
        <v>-60.538116591928201</v>
      </c>
      <c r="O10" s="396">
        <v>-3.0269058295964102E-2</v>
      </c>
      <c r="P10" s="571">
        <v>12</v>
      </c>
      <c r="Q10" s="588">
        <v>6</v>
      </c>
      <c r="R10" s="394">
        <v>-0.30635838150289019</v>
      </c>
      <c r="S10" s="393">
        <v>14</v>
      </c>
      <c r="T10" s="396">
        <v>0.61849710982658945</v>
      </c>
      <c r="U10" s="299">
        <v>-1.4800000000000001E-2</v>
      </c>
      <c r="V10" s="590">
        <v>-1.36830102622576E-2</v>
      </c>
      <c r="W10" s="394">
        <v>0.11039794608472397</v>
      </c>
      <c r="X10" s="394">
        <v>0.37083993660855796</v>
      </c>
      <c r="Y10" s="394">
        <v>0.3515625</v>
      </c>
      <c r="Z10" s="394">
        <v>0.24460431654676262</v>
      </c>
      <c r="AA10" s="571" t="s">
        <v>84</v>
      </c>
      <c r="AB10" s="63" t="s">
        <v>85</v>
      </c>
      <c r="AC10" s="591" t="s">
        <v>85</v>
      </c>
      <c r="AD10" s="591" t="s">
        <v>100</v>
      </c>
      <c r="AE10" s="592"/>
      <c r="AF10" s="396"/>
      <c r="AG10" s="396"/>
      <c r="AH10" s="396"/>
      <c r="AI10" s="575" t="str">
        <f ca="1">IFERROR(__xludf.DUMMYFUNCTION("GoogleFinance(B10,""price"",DATE(2025,9,19))"),"Date")</f>
        <v>Date</v>
      </c>
      <c r="AJ10" s="576" t="str">
        <f ca="1">IFERROR(__xludf.DUMMYFUNCTION("""COMPUTED_VALUE"""),"Close")</f>
        <v>Close</v>
      </c>
      <c r="AK10" s="575" t="str">
        <f ca="1">IFERROR(__xludf.DUMMYFUNCTION("GoogleFinance(B10,""price"",DATE(2025,8,29))"),"Date")</f>
        <v>Date</v>
      </c>
      <c r="AL10" s="576" t="str">
        <f ca="1">IFERROR(__xludf.DUMMYFUNCTION("""COMPUTED_VALUE"""),"Close")</f>
        <v>Close</v>
      </c>
      <c r="AM10" s="575" t="str">
        <f ca="1">IFERROR(__xludf.DUMMYFUNCTION("GoogleFinance(B10,""price"",today()-93)"),"#N/A")</f>
        <v>#N/A</v>
      </c>
      <c r="AN10" s="576"/>
      <c r="AO10" s="575" t="str">
        <f ca="1">IFERROR(__xludf.DUMMYFUNCTION("GoogleFinance(B10,""price"",today()-183)"),"#N/A")</f>
        <v>#N/A</v>
      </c>
      <c r="AP10" s="576"/>
      <c r="AQ10" s="575" t="str">
        <f ca="1">IFERROR(__xludf.DUMMYFUNCTION("GoogleFinance(B10,""price"",DATE(2024,12,31))"),"Date")</f>
        <v>Date</v>
      </c>
      <c r="AR10" s="576" t="str">
        <f ca="1">IFERROR(__xludf.DUMMYFUNCTION("""COMPUTED_VALUE"""),"Close")</f>
        <v>Close</v>
      </c>
      <c r="AS10" s="396"/>
      <c r="AT10" s="389"/>
      <c r="AU10" s="257"/>
      <c r="AV10" s="257"/>
      <c r="AW10" s="257"/>
      <c r="AX10" s="257"/>
      <c r="AY10" s="268"/>
      <c r="AZ10" s="268"/>
      <c r="BA10" s="257"/>
      <c r="BB10" s="268"/>
      <c r="BC10" s="268"/>
      <c r="BD10" s="268"/>
      <c r="BE10" s="268"/>
      <c r="BF10" s="268"/>
      <c r="BG10" s="257"/>
      <c r="BH10" s="257"/>
      <c r="BI10" s="257"/>
      <c r="BJ10" s="257"/>
      <c r="BK10" s="257"/>
      <c r="BL10" s="257"/>
      <c r="BM10" s="257"/>
      <c r="BN10" s="257"/>
      <c r="BO10" s="257"/>
      <c r="BP10" s="257"/>
      <c r="BQ10" s="268"/>
      <c r="BR10" s="268"/>
      <c r="BS10" s="268"/>
      <c r="BT10" s="268"/>
      <c r="BU10" s="268"/>
      <c r="BV10" s="268"/>
      <c r="BW10" s="268"/>
      <c r="BX10" s="268"/>
      <c r="BY10" s="268"/>
      <c r="BZ10" s="268"/>
      <c r="CA10" s="268"/>
      <c r="CB10" s="268"/>
      <c r="CC10" s="268"/>
      <c r="CD10" s="268"/>
    </row>
    <row r="11" spans="1:82" ht="13.2" hidden="1">
      <c r="A11" s="294" t="e">
        <f t="shared" si="0"/>
        <v>#REF!</v>
      </c>
      <c r="B11" s="579"/>
      <c r="C11" s="580"/>
      <c r="D11" s="579"/>
      <c r="E11" s="579"/>
      <c r="F11" s="579"/>
      <c r="G11" s="579"/>
      <c r="H11" s="581"/>
      <c r="I11" s="581"/>
      <c r="J11" s="581"/>
      <c r="K11" s="581"/>
      <c r="L11" s="581"/>
      <c r="M11" s="581"/>
      <c r="N11" s="226"/>
      <c r="O11" s="582"/>
      <c r="P11" s="581"/>
      <c r="Q11" s="581"/>
      <c r="R11" s="583"/>
      <c r="S11" s="583"/>
      <c r="T11" s="583"/>
      <c r="U11" s="584"/>
      <c r="V11" s="579"/>
      <c r="W11" s="579"/>
      <c r="X11" s="579"/>
      <c r="Y11" s="579"/>
      <c r="Z11" s="579"/>
      <c r="AA11" s="571" t="s">
        <v>93</v>
      </c>
      <c r="AB11" s="63" t="s">
        <v>93</v>
      </c>
      <c r="AC11" s="585"/>
      <c r="AD11" s="585"/>
      <c r="AE11" s="586"/>
      <c r="AF11" s="242"/>
      <c r="AG11" s="242"/>
      <c r="AH11" s="242"/>
      <c r="AI11" s="235">
        <f ca="1">IFERROR(__xludf.DUMMYFUNCTION("""COMPUTED_VALUE"""),45919.6666666666)</f>
        <v>45919.666666666599</v>
      </c>
      <c r="AJ11" s="29">
        <f ca="1">IFERROR(__xludf.DUMMYFUNCTION("""COMPUTED_VALUE"""),8.77)</f>
        <v>8.77</v>
      </c>
      <c r="AK11" s="235">
        <f ca="1">IFERROR(__xludf.DUMMYFUNCTION("""COMPUTED_VALUE"""),45898.6666666666)</f>
        <v>45898.666666666599</v>
      </c>
      <c r="AL11" s="29">
        <f ca="1">IFERROR(__xludf.DUMMYFUNCTION("""COMPUTED_VALUE"""),7.79)</f>
        <v>7.79</v>
      </c>
      <c r="AM11" s="235"/>
      <c r="AN11" s="29"/>
      <c r="AO11" s="235"/>
      <c r="AP11" s="29"/>
      <c r="AQ11" s="235">
        <f ca="1">IFERROR(__xludf.DUMMYFUNCTION("""COMPUTED_VALUE"""),45657.6666666666)</f>
        <v>45657.666666666599</v>
      </c>
      <c r="AR11" s="29">
        <f ca="1">IFERROR(__xludf.DUMMYFUNCTION("""COMPUTED_VALUE"""),6.95)</f>
        <v>6.95</v>
      </c>
      <c r="AS11" s="24"/>
      <c r="AT11" s="24"/>
      <c r="AU11" s="24"/>
      <c r="AV11" s="24"/>
      <c r="AW11" s="587"/>
      <c r="AX11" s="587"/>
      <c r="AY11" s="24"/>
      <c r="AZ11" s="587"/>
      <c r="BA11" s="587"/>
      <c r="BB11" s="587"/>
      <c r="BC11" s="587"/>
      <c r="BD11" s="587"/>
      <c r="BE11" s="24"/>
      <c r="BF11" s="24"/>
      <c r="BG11" s="24"/>
      <c r="BH11" s="24"/>
      <c r="BI11" s="24"/>
      <c r="BJ11" s="24"/>
      <c r="BK11" s="24"/>
      <c r="BL11" s="24"/>
      <c r="BM11" s="24"/>
      <c r="BN11" s="24"/>
      <c r="BO11" s="587"/>
      <c r="BP11" s="587"/>
      <c r="BQ11" s="587"/>
      <c r="BR11" s="587"/>
      <c r="BS11" s="587"/>
      <c r="BT11" s="587"/>
      <c r="BU11" s="587"/>
      <c r="BV11" s="587"/>
      <c r="BW11" s="587"/>
      <c r="BX11" s="587"/>
      <c r="BY11" s="587"/>
      <c r="BZ11" s="587"/>
      <c r="CA11" s="587"/>
      <c r="CB11" s="587"/>
      <c r="CC11" s="587"/>
      <c r="CD11" s="587"/>
    </row>
    <row r="12" spans="1:82" ht="13.2">
      <c r="A12" s="294">
        <f t="shared" si="0"/>
        <v>5</v>
      </c>
      <c r="B12" s="7" t="s">
        <v>344</v>
      </c>
      <c r="C12" s="377" t="str">
        <f ca="1">IFERROR(__xludf.DUMMYFUNCTION("GoogleFinance(B12,""name"")"),"SM Energy Co")</f>
        <v>SM Energy Co</v>
      </c>
      <c r="D12" s="378">
        <f ca="1">IFERROR(__xludf.DUMMYFUNCTION("GoogleFinance(B12,""marketcap"")/1000000"),3170.428553)</f>
        <v>3170.4285530000002</v>
      </c>
      <c r="E12" s="246" t="s">
        <v>15</v>
      </c>
      <c r="F12" s="246" t="s">
        <v>345</v>
      </c>
      <c r="G12" s="266">
        <v>45917</v>
      </c>
      <c r="H12" s="588">
        <v>27.58</v>
      </c>
      <c r="I12" s="490">
        <v>27.54</v>
      </c>
      <c r="J12" s="589">
        <v>72.621641249092235</v>
      </c>
      <c r="K12" s="395">
        <v>2000</v>
      </c>
      <c r="L12" s="395">
        <v>2000</v>
      </c>
      <c r="M12" s="395">
        <v>2002.9048656499638</v>
      </c>
      <c r="N12" s="395">
        <v>2.9048656499637673</v>
      </c>
      <c r="O12" s="396">
        <v>1.4524328249818836E-3</v>
      </c>
      <c r="P12" s="571">
        <v>12</v>
      </c>
      <c r="Q12" s="588">
        <v>24</v>
      </c>
      <c r="R12" s="394">
        <v>-0.1298042059463379</v>
      </c>
      <c r="S12" s="393">
        <v>44</v>
      </c>
      <c r="T12" s="396">
        <v>0.59535895576504716</v>
      </c>
      <c r="U12" s="299">
        <v>9.8999999999999991E-3</v>
      </c>
      <c r="V12" s="590">
        <v>7.4824629773967199E-2</v>
      </c>
      <c r="W12" s="394">
        <v>-3.3975481611208447E-2</v>
      </c>
      <c r="X12" s="394">
        <v>0.11614730878186963</v>
      </c>
      <c r="Y12" s="394">
        <v>-7.9131886477462499E-2</v>
      </c>
      <c r="Z12" s="394">
        <v>-0.28844169246646023</v>
      </c>
      <c r="AA12" s="571" t="s">
        <v>84</v>
      </c>
      <c r="AB12" s="63" t="s">
        <v>85</v>
      </c>
      <c r="AC12" s="591" t="s">
        <v>85</v>
      </c>
      <c r="AD12" s="591" t="s">
        <v>100</v>
      </c>
      <c r="AE12" s="592"/>
      <c r="AF12" s="396"/>
      <c r="AG12" s="396"/>
      <c r="AH12" s="396"/>
      <c r="AI12" s="575" t="str">
        <f ca="1">IFERROR(__xludf.DUMMYFUNCTION("GoogleFinance(B12,""price"",DATE(2025,9,19))"),"Date")</f>
        <v>Date</v>
      </c>
      <c r="AJ12" s="576" t="str">
        <f ca="1">IFERROR(__xludf.DUMMYFUNCTION("""COMPUTED_VALUE"""),"Close")</f>
        <v>Close</v>
      </c>
      <c r="AK12" s="575" t="str">
        <f ca="1">IFERROR(__xludf.DUMMYFUNCTION("GoogleFinance(B12,""price"",DATE(2025,8,29))"),"Date")</f>
        <v>Date</v>
      </c>
      <c r="AL12" s="576" t="str">
        <f ca="1">IFERROR(__xludf.DUMMYFUNCTION("""COMPUTED_VALUE"""),"Close")</f>
        <v>Close</v>
      </c>
      <c r="AM12" s="575" t="str">
        <f ca="1">IFERROR(__xludf.DUMMYFUNCTION("GoogleFinance(B12,""price"",today()-93)"),"#N/A")</f>
        <v>#N/A</v>
      </c>
      <c r="AN12" s="576"/>
      <c r="AO12" s="575" t="str">
        <f ca="1">IFERROR(__xludf.DUMMYFUNCTION("GoogleFinance(B12,""price"",today()-183)"),"#N/A")</f>
        <v>#N/A</v>
      </c>
      <c r="AP12" s="576"/>
      <c r="AQ12" s="575" t="str">
        <f ca="1">IFERROR(__xludf.DUMMYFUNCTION("GoogleFinance(B12,""price"",DATE(2024,12,31))"),"Date")</f>
        <v>Date</v>
      </c>
      <c r="AR12" s="576" t="str">
        <f ca="1">IFERROR(__xludf.DUMMYFUNCTION("""COMPUTED_VALUE"""),"Close")</f>
        <v>Close</v>
      </c>
      <c r="AS12" s="396"/>
      <c r="AT12" s="389"/>
      <c r="AU12" s="257"/>
      <c r="AV12" s="257"/>
      <c r="AW12" s="257"/>
      <c r="AX12" s="257"/>
      <c r="AY12" s="268"/>
      <c r="AZ12" s="268"/>
      <c r="BA12" s="257"/>
      <c r="BB12" s="268"/>
      <c r="BC12" s="268"/>
      <c r="BD12" s="268"/>
      <c r="BE12" s="268"/>
      <c r="BF12" s="268"/>
      <c r="BG12" s="257"/>
      <c r="BH12" s="257"/>
      <c r="BI12" s="257"/>
      <c r="BJ12" s="257"/>
      <c r="BK12" s="257"/>
      <c r="BL12" s="257"/>
      <c r="BM12" s="257"/>
      <c r="BN12" s="257"/>
      <c r="BO12" s="257"/>
      <c r="BP12" s="257"/>
      <c r="BQ12" s="268"/>
      <c r="BR12" s="268"/>
      <c r="BS12" s="268"/>
      <c r="BT12" s="268"/>
      <c r="BU12" s="268"/>
      <c r="BV12" s="268"/>
      <c r="BW12" s="268"/>
      <c r="BX12" s="268"/>
      <c r="BY12" s="268"/>
      <c r="BZ12" s="268"/>
      <c r="CA12" s="268"/>
      <c r="CB12" s="268"/>
      <c r="CC12" s="268"/>
      <c r="CD12" s="268"/>
    </row>
    <row r="13" spans="1:82" ht="13.2" hidden="1">
      <c r="A13" s="294" t="e">
        <f>A9+1</f>
        <v>#REF!</v>
      </c>
      <c r="B13" s="579"/>
      <c r="C13" s="580"/>
      <c r="D13" s="579"/>
      <c r="E13" s="579"/>
      <c r="F13" s="579"/>
      <c r="G13" s="579"/>
      <c r="H13" s="581"/>
      <c r="I13" s="581"/>
      <c r="J13" s="581"/>
      <c r="K13" s="581"/>
      <c r="L13" s="581"/>
      <c r="M13" s="581"/>
      <c r="N13" s="226"/>
      <c r="O13" s="582"/>
      <c r="P13" s="581"/>
      <c r="Q13" s="581"/>
      <c r="R13" s="583"/>
      <c r="S13" s="583"/>
      <c r="T13" s="583"/>
      <c r="U13" s="584"/>
      <c r="V13" s="579"/>
      <c r="W13" s="579"/>
      <c r="X13" s="579"/>
      <c r="Y13" s="579"/>
      <c r="Z13" s="579"/>
      <c r="AA13" s="571" t="s">
        <v>93</v>
      </c>
      <c r="AB13" s="63" t="s">
        <v>93</v>
      </c>
      <c r="AC13" s="585"/>
      <c r="AD13" s="585"/>
      <c r="AE13" s="586"/>
      <c r="AF13" s="242"/>
      <c r="AG13" s="242"/>
      <c r="AH13" s="242"/>
      <c r="AI13" s="235">
        <f ca="1">IFERROR(__xludf.DUMMYFUNCTION("""COMPUTED_VALUE"""),45919.6666666666)</f>
        <v>45919.666666666599</v>
      </c>
      <c r="AJ13" s="29">
        <f ca="1">IFERROR(__xludf.DUMMYFUNCTION("""COMPUTED_VALUE"""),25.66)</f>
        <v>25.66</v>
      </c>
      <c r="AK13" s="235">
        <f ca="1">IFERROR(__xludf.DUMMYFUNCTION("""COMPUTED_VALUE"""),45898.6666666666)</f>
        <v>45898.666666666599</v>
      </c>
      <c r="AL13" s="29">
        <f ca="1">IFERROR(__xludf.DUMMYFUNCTION("""COMPUTED_VALUE"""),28.55)</f>
        <v>28.55</v>
      </c>
      <c r="AM13" s="235"/>
      <c r="AN13" s="29"/>
      <c r="AO13" s="235"/>
      <c r="AP13" s="29"/>
      <c r="AQ13" s="235">
        <f ca="1">IFERROR(__xludf.DUMMYFUNCTION("""COMPUTED_VALUE"""),45657.6666666666)</f>
        <v>45657.666666666599</v>
      </c>
      <c r="AR13" s="29">
        <f ca="1">IFERROR(__xludf.DUMMYFUNCTION("""COMPUTED_VALUE"""),38.76)</f>
        <v>38.76</v>
      </c>
      <c r="AS13" s="24"/>
      <c r="AT13" s="24"/>
      <c r="AU13" s="24"/>
      <c r="AV13" s="24"/>
      <c r="AW13" s="587"/>
      <c r="AX13" s="587"/>
      <c r="AY13" s="24"/>
      <c r="AZ13" s="587"/>
      <c r="BA13" s="587"/>
      <c r="BB13" s="587"/>
      <c r="BC13" s="587"/>
      <c r="BD13" s="587"/>
      <c r="BE13" s="24"/>
      <c r="BF13" s="24"/>
      <c r="BG13" s="24"/>
      <c r="BH13" s="24"/>
      <c r="BI13" s="24"/>
      <c r="BJ13" s="24"/>
      <c r="BK13" s="24"/>
      <c r="BL13" s="24"/>
      <c r="BM13" s="24"/>
      <c r="BN13" s="24"/>
      <c r="BO13" s="587"/>
      <c r="BP13" s="587"/>
      <c r="BQ13" s="587"/>
      <c r="BR13" s="587"/>
      <c r="BS13" s="587"/>
      <c r="BT13" s="587"/>
      <c r="BU13" s="587"/>
      <c r="BV13" s="587"/>
      <c r="BW13" s="587"/>
      <c r="BX13" s="587"/>
      <c r="BY13" s="587"/>
      <c r="BZ13" s="587"/>
      <c r="CA13" s="587"/>
      <c r="CB13" s="587"/>
      <c r="CC13" s="587"/>
      <c r="CD13" s="587"/>
    </row>
    <row r="14" spans="1:82" ht="13.2">
      <c r="A14" s="294">
        <f t="shared" ref="A14:A16" si="1">A12+1</f>
        <v>6</v>
      </c>
      <c r="B14" s="7" t="s">
        <v>346</v>
      </c>
      <c r="C14" s="377" t="str">
        <f ca="1">IFERROR(__xludf.DUMMYFUNCTION("GoogleFinance(B14,""name"")"),"Cenovus Energy Inc")</f>
        <v>Cenovus Energy Inc</v>
      </c>
      <c r="D14" s="378">
        <f ca="1">IFERROR(__xludf.DUMMYFUNCTION("GoogleFinance(B14,""marketcap"")/1000000"),31837.58578)</f>
        <v>31837.585780000001</v>
      </c>
      <c r="E14" s="246" t="s">
        <v>15</v>
      </c>
      <c r="F14" s="246" t="s">
        <v>345</v>
      </c>
      <c r="G14" s="266">
        <v>45917</v>
      </c>
      <c r="H14" s="588">
        <v>17.77</v>
      </c>
      <c r="I14" s="490">
        <v>17.420000000000002</v>
      </c>
      <c r="J14" s="589">
        <v>114.81056257175659</v>
      </c>
      <c r="K14" s="395">
        <v>2000</v>
      </c>
      <c r="L14" s="395">
        <v>2000</v>
      </c>
      <c r="M14" s="395">
        <v>2040.1836969001147</v>
      </c>
      <c r="N14" s="395">
        <v>40.183696900114683</v>
      </c>
      <c r="O14" s="396">
        <v>2.0091848450057341E-2</v>
      </c>
      <c r="P14" s="571">
        <v>12</v>
      </c>
      <c r="Q14" s="588">
        <v>13.4</v>
      </c>
      <c r="R14" s="394">
        <v>-0.24592009003939219</v>
      </c>
      <c r="S14" s="393">
        <v>26</v>
      </c>
      <c r="T14" s="396">
        <v>0.46314012380416436</v>
      </c>
      <c r="U14" s="299">
        <v>4.0000000000000001E-3</v>
      </c>
      <c r="V14" s="590">
        <v>4.5909358446144966E-2</v>
      </c>
      <c r="W14" s="394">
        <v>6.9837447320891144E-2</v>
      </c>
      <c r="X14" s="394">
        <v>0.30661764705882355</v>
      </c>
      <c r="Y14" s="394">
        <v>0.27749820273184755</v>
      </c>
      <c r="Z14" s="394">
        <v>0.17293729372937294</v>
      </c>
      <c r="AA14" s="571" t="s">
        <v>84</v>
      </c>
      <c r="AB14" s="63" t="s">
        <v>85</v>
      </c>
      <c r="AC14" s="591" t="s">
        <v>85</v>
      </c>
      <c r="AD14" s="591" t="s">
        <v>100</v>
      </c>
      <c r="AE14" s="592"/>
      <c r="AF14" s="396"/>
      <c r="AG14" s="396"/>
      <c r="AH14" s="396"/>
      <c r="AI14" s="575" t="str">
        <f ca="1">IFERROR(__xludf.DUMMYFUNCTION("GoogleFinance(B14,""price"",DATE(2025,9,19))"),"Date")</f>
        <v>Date</v>
      </c>
      <c r="AJ14" s="576" t="str">
        <f ca="1">IFERROR(__xludf.DUMMYFUNCTION("""COMPUTED_VALUE"""),"Close")</f>
        <v>Close</v>
      </c>
      <c r="AK14" s="575" t="str">
        <f ca="1">IFERROR(__xludf.DUMMYFUNCTION("GoogleFinance(B14,""price"",DATE(2025,8,29))"),"Date")</f>
        <v>Date</v>
      </c>
      <c r="AL14" s="576" t="str">
        <f ca="1">IFERROR(__xludf.DUMMYFUNCTION("""COMPUTED_VALUE"""),"Close")</f>
        <v>Close</v>
      </c>
      <c r="AM14" s="575" t="str">
        <f ca="1">IFERROR(__xludf.DUMMYFUNCTION("GoogleFinance(B14,""price"",today()-93)"),"#N/A")</f>
        <v>#N/A</v>
      </c>
      <c r="AN14" s="576"/>
      <c r="AO14" s="575" t="str">
        <f ca="1">IFERROR(__xludf.DUMMYFUNCTION("GoogleFinance(B14,""price"",today()-183)"),"#N/A")</f>
        <v>#N/A</v>
      </c>
      <c r="AP14" s="576"/>
      <c r="AQ14" s="575" t="str">
        <f ca="1">IFERROR(__xludf.DUMMYFUNCTION("GoogleFinance(B14,""price"",DATE(2024,12,31))"),"Date")</f>
        <v>Date</v>
      </c>
      <c r="AR14" s="576" t="str">
        <f ca="1">IFERROR(__xludf.DUMMYFUNCTION("""COMPUTED_VALUE"""),"Close")</f>
        <v>Close</v>
      </c>
      <c r="AS14" s="396"/>
      <c r="AT14" s="389"/>
      <c r="AU14" s="257"/>
      <c r="AV14" s="257"/>
      <c r="AW14" s="257"/>
      <c r="AX14" s="257"/>
      <c r="AY14" s="268"/>
      <c r="AZ14" s="268"/>
      <c r="BA14" s="257"/>
      <c r="BB14" s="268"/>
      <c r="BC14" s="268"/>
      <c r="BD14" s="268"/>
      <c r="BE14" s="268"/>
      <c r="BF14" s="268"/>
      <c r="BG14" s="257"/>
      <c r="BH14" s="257"/>
      <c r="BI14" s="257"/>
      <c r="BJ14" s="257"/>
      <c r="BK14" s="257"/>
      <c r="BL14" s="257"/>
      <c r="BM14" s="257"/>
      <c r="BN14" s="257"/>
      <c r="BO14" s="257"/>
      <c r="BP14" s="257"/>
      <c r="BQ14" s="268"/>
      <c r="BR14" s="268"/>
      <c r="BS14" s="268"/>
      <c r="BT14" s="268"/>
      <c r="BU14" s="268"/>
      <c r="BV14" s="268"/>
      <c r="BW14" s="268"/>
      <c r="BX14" s="268"/>
      <c r="BY14" s="268"/>
      <c r="BZ14" s="268"/>
      <c r="CA14" s="268"/>
      <c r="CB14" s="268"/>
      <c r="CC14" s="268"/>
      <c r="CD14" s="268"/>
    </row>
    <row r="15" spans="1:82" ht="13.2" hidden="1">
      <c r="A15" s="593" t="e">
        <f t="shared" si="1"/>
        <v>#REF!</v>
      </c>
      <c r="B15" s="594"/>
      <c r="C15" s="595"/>
      <c r="D15" s="594"/>
      <c r="E15" s="594"/>
      <c r="F15" s="594"/>
      <c r="G15" s="594"/>
      <c r="H15" s="596"/>
      <c r="I15" s="596"/>
      <c r="J15" s="596"/>
      <c r="K15" s="596"/>
      <c r="L15" s="596"/>
      <c r="M15" s="596"/>
      <c r="N15" s="517"/>
      <c r="O15" s="597"/>
      <c r="P15" s="596"/>
      <c r="Q15" s="596"/>
      <c r="R15" s="598"/>
      <c r="S15" s="598"/>
      <c r="T15" s="598"/>
      <c r="U15" s="599"/>
      <c r="V15" s="594"/>
      <c r="W15" s="594"/>
      <c r="X15" s="594"/>
      <c r="Y15" s="594"/>
      <c r="Z15" s="594"/>
      <c r="AA15" s="600" t="s">
        <v>93</v>
      </c>
      <c r="AB15" s="601" t="s">
        <v>93</v>
      </c>
      <c r="AC15" s="602"/>
      <c r="AD15" s="602"/>
      <c r="AE15" s="603"/>
      <c r="AF15" s="604"/>
      <c r="AG15" s="604"/>
      <c r="AH15" s="604"/>
      <c r="AI15" s="381">
        <f ca="1">IFERROR(__xludf.DUMMYFUNCTION("""COMPUTED_VALUE"""),45919.6666666666)</f>
        <v>45919.666666666599</v>
      </c>
      <c r="AJ15" s="457">
        <f ca="1">IFERROR(__xludf.DUMMYFUNCTION("""COMPUTED_VALUE"""),16.99)</f>
        <v>16.989999999999998</v>
      </c>
      <c r="AK15" s="381">
        <f ca="1">IFERROR(__xludf.DUMMYFUNCTION("""COMPUTED_VALUE"""),45898.6666666666)</f>
        <v>45898.666666666599</v>
      </c>
      <c r="AL15" s="457">
        <f ca="1">IFERROR(__xludf.DUMMYFUNCTION("""COMPUTED_VALUE"""),16.61)</f>
        <v>16.61</v>
      </c>
      <c r="AM15" s="381"/>
      <c r="AN15" s="457"/>
      <c r="AO15" s="381"/>
      <c r="AP15" s="457"/>
      <c r="AQ15" s="381">
        <f ca="1">IFERROR(__xludf.DUMMYFUNCTION("""COMPUTED_VALUE"""),45657.6666666666)</f>
        <v>45657.666666666599</v>
      </c>
      <c r="AR15" s="457">
        <f ca="1">IFERROR(__xludf.DUMMYFUNCTION("""COMPUTED_VALUE"""),15.15)</f>
        <v>15.15</v>
      </c>
      <c r="AS15" s="409"/>
      <c r="AT15" s="409"/>
      <c r="AU15" s="409"/>
      <c r="AV15" s="409"/>
      <c r="AW15" s="605"/>
      <c r="AX15" s="605"/>
      <c r="AY15" s="409"/>
      <c r="AZ15" s="605"/>
      <c r="BA15" s="605"/>
      <c r="BB15" s="605"/>
      <c r="BC15" s="605"/>
      <c r="BD15" s="605"/>
      <c r="BE15" s="409"/>
      <c r="BF15" s="409"/>
      <c r="BG15" s="409"/>
      <c r="BH15" s="409"/>
      <c r="BI15" s="409"/>
      <c r="BJ15" s="409"/>
      <c r="BK15" s="409"/>
      <c r="BL15" s="409"/>
      <c r="BM15" s="409"/>
      <c r="BN15" s="409"/>
      <c r="BO15" s="605"/>
      <c r="BP15" s="605"/>
      <c r="BQ15" s="605"/>
      <c r="BR15" s="605"/>
      <c r="BS15" s="605"/>
      <c r="BT15" s="605"/>
      <c r="BU15" s="605"/>
      <c r="BV15" s="605"/>
      <c r="BW15" s="605"/>
      <c r="BX15" s="605"/>
      <c r="BY15" s="605"/>
      <c r="BZ15" s="605"/>
      <c r="CA15" s="605"/>
      <c r="CB15" s="605"/>
      <c r="CC15" s="605"/>
      <c r="CD15" s="605"/>
    </row>
    <row r="16" spans="1:82" ht="13.2">
      <c r="A16" s="294">
        <f t="shared" si="1"/>
        <v>7</v>
      </c>
      <c r="B16" s="7" t="s">
        <v>347</v>
      </c>
      <c r="C16" s="377" t="str">
        <f ca="1">IFERROR(__xludf.DUMMYFUNCTION("GoogleFinance(B16,""name"")"),"Borr Drilling Ltd")</f>
        <v>Borr Drilling Ltd</v>
      </c>
      <c r="D16" s="378">
        <f ca="1">IFERROR(__xludf.DUMMYFUNCTION("GoogleFinance(B16,""marketcap"")/1000000"),838.638683)</f>
        <v>838.63868300000001</v>
      </c>
      <c r="E16" s="246" t="s">
        <v>15</v>
      </c>
      <c r="F16" s="246" t="s">
        <v>348</v>
      </c>
      <c r="G16" s="266">
        <v>45887</v>
      </c>
      <c r="H16" s="588">
        <v>2.93</v>
      </c>
      <c r="I16" s="490">
        <v>2.35</v>
      </c>
      <c r="J16" s="589">
        <v>1276.5957446808511</v>
      </c>
      <c r="K16" s="395">
        <v>3000</v>
      </c>
      <c r="L16" s="395">
        <v>3000</v>
      </c>
      <c r="M16" s="395">
        <v>3740.4255319148938</v>
      </c>
      <c r="N16" s="395">
        <v>740.42553191489378</v>
      </c>
      <c r="O16" s="396">
        <v>0.24680851063829792</v>
      </c>
      <c r="P16" s="571">
        <v>42</v>
      </c>
      <c r="Q16" s="588">
        <v>1.8</v>
      </c>
      <c r="R16" s="394">
        <v>-0.38566552901023887</v>
      </c>
      <c r="S16" s="393">
        <v>4.5</v>
      </c>
      <c r="T16" s="396">
        <v>0.53583617747440271</v>
      </c>
      <c r="U16" s="299">
        <v>-1.6799999999999999E-2</v>
      </c>
      <c r="V16" s="590">
        <v>-6.7796610169491567E-3</v>
      </c>
      <c r="W16" s="394">
        <v>6.8728522336769515E-3</v>
      </c>
      <c r="X16" s="394">
        <v>0.60109289617486339</v>
      </c>
      <c r="Y16" s="394">
        <v>0.33789954337899553</v>
      </c>
      <c r="Z16" s="394">
        <v>-0.24871794871794861</v>
      </c>
      <c r="AA16" s="571" t="s">
        <v>84</v>
      </c>
      <c r="AB16" s="63" t="s">
        <v>85</v>
      </c>
      <c r="AC16" s="591" t="s">
        <v>85</v>
      </c>
      <c r="AD16" s="591" t="s">
        <v>100</v>
      </c>
      <c r="AE16" s="592"/>
      <c r="AF16" s="396"/>
      <c r="AG16" s="396"/>
      <c r="AH16" s="396"/>
      <c r="AI16" s="575" t="str">
        <f ca="1">IFERROR(__xludf.DUMMYFUNCTION("GoogleFinance(B16,""price"",DATE(2025,9,19))"),"Date")</f>
        <v>Date</v>
      </c>
      <c r="AJ16" s="576" t="str">
        <f ca="1">IFERROR(__xludf.DUMMYFUNCTION("""COMPUTED_VALUE"""),"Close")</f>
        <v>Close</v>
      </c>
      <c r="AK16" s="575" t="str">
        <f ca="1">IFERROR(__xludf.DUMMYFUNCTION("GoogleFinance(B16,""price"",DATE(2025,8,29))"),"Date")</f>
        <v>Date</v>
      </c>
      <c r="AL16" s="576" t="str">
        <f ca="1">IFERROR(__xludf.DUMMYFUNCTION("""COMPUTED_VALUE"""),"Close")</f>
        <v>Close</v>
      </c>
      <c r="AM16" s="575" t="str">
        <f ca="1">IFERROR(__xludf.DUMMYFUNCTION("GoogleFinance(B16,""price"",today()-93)"),"#N/A")</f>
        <v>#N/A</v>
      </c>
      <c r="AN16" s="576"/>
      <c r="AO16" s="575" t="str">
        <f ca="1">IFERROR(__xludf.DUMMYFUNCTION("GoogleFinance(B16,""price"",today()-183)"),"#N/A")</f>
        <v>#N/A</v>
      </c>
      <c r="AP16" s="576"/>
      <c r="AQ16" s="575" t="str">
        <f ca="1">IFERROR(__xludf.DUMMYFUNCTION("GoogleFinance(B16,""price"",DATE(2024,12,31))"),"Date")</f>
        <v>Date</v>
      </c>
      <c r="AR16" s="576" t="str">
        <f ca="1">IFERROR(__xludf.DUMMYFUNCTION("""COMPUTED_VALUE"""),"Close")</f>
        <v>Close</v>
      </c>
      <c r="AS16" s="396"/>
      <c r="AT16" s="389"/>
      <c r="AU16" s="257"/>
      <c r="AV16" s="257"/>
      <c r="AW16" s="257"/>
      <c r="AX16" s="257"/>
      <c r="AY16" s="268"/>
      <c r="AZ16" s="268"/>
      <c r="BA16" s="257"/>
      <c r="BB16" s="268"/>
      <c r="BC16" s="268"/>
      <c r="BD16" s="268"/>
      <c r="BE16" s="268"/>
      <c r="BF16" s="268"/>
      <c r="BG16" s="257"/>
      <c r="BH16" s="257"/>
      <c r="BI16" s="257"/>
      <c r="BJ16" s="257"/>
      <c r="BK16" s="257"/>
      <c r="BL16" s="257"/>
      <c r="BM16" s="257"/>
      <c r="BN16" s="257"/>
      <c r="BO16" s="257"/>
      <c r="BP16" s="257"/>
      <c r="BQ16" s="268"/>
      <c r="BR16" s="268"/>
      <c r="BS16" s="268"/>
      <c r="BT16" s="268"/>
      <c r="BU16" s="268"/>
      <c r="BV16" s="268"/>
      <c r="BW16" s="268"/>
      <c r="BX16" s="268"/>
      <c r="BY16" s="268"/>
      <c r="BZ16" s="268"/>
      <c r="CA16" s="268"/>
      <c r="CB16" s="268"/>
      <c r="CC16" s="268"/>
      <c r="CD16" s="268"/>
    </row>
    <row r="17" spans="1:82" ht="13.2" hidden="1">
      <c r="A17" s="593" t="e">
        <f>A9+1</f>
        <v>#REF!</v>
      </c>
      <c r="B17" s="579"/>
      <c r="C17" s="580"/>
      <c r="D17" s="579"/>
      <c r="E17" s="579"/>
      <c r="F17" s="579"/>
      <c r="G17" s="579"/>
      <c r="H17" s="581"/>
      <c r="I17" s="581"/>
      <c r="J17" s="581"/>
      <c r="K17" s="581"/>
      <c r="L17" s="581"/>
      <c r="M17" s="581"/>
      <c r="N17" s="226"/>
      <c r="O17" s="582"/>
      <c r="P17" s="581"/>
      <c r="Q17" s="581"/>
      <c r="R17" s="583"/>
      <c r="S17" s="583"/>
      <c r="T17" s="583"/>
      <c r="U17" s="584"/>
      <c r="V17" s="579"/>
      <c r="W17" s="579"/>
      <c r="X17" s="579"/>
      <c r="Y17" s="579"/>
      <c r="Z17" s="579"/>
      <c r="AA17" s="571" t="s">
        <v>93</v>
      </c>
      <c r="AB17" s="63" t="s">
        <v>93</v>
      </c>
      <c r="AC17" s="585"/>
      <c r="AD17" s="585"/>
      <c r="AE17" s="586"/>
      <c r="AF17" s="242"/>
      <c r="AG17" s="242"/>
      <c r="AH17" s="242"/>
      <c r="AI17" s="235">
        <f ca="1">IFERROR(__xludf.DUMMYFUNCTION("""COMPUTED_VALUE"""),45919.6666666666)</f>
        <v>45919.666666666599</v>
      </c>
      <c r="AJ17" s="29">
        <f ca="1">IFERROR(__xludf.DUMMYFUNCTION("""COMPUTED_VALUE"""),2.95)</f>
        <v>2.95</v>
      </c>
      <c r="AK17" s="235">
        <f ca="1">IFERROR(__xludf.DUMMYFUNCTION("""COMPUTED_VALUE"""),45898.6666666666)</f>
        <v>45898.666666666599</v>
      </c>
      <c r="AL17" s="29">
        <f ca="1">IFERROR(__xludf.DUMMYFUNCTION("""COMPUTED_VALUE"""),2.91)</f>
        <v>2.91</v>
      </c>
      <c r="AM17" s="235"/>
      <c r="AN17" s="29"/>
      <c r="AO17" s="235"/>
      <c r="AP17" s="29"/>
      <c r="AQ17" s="235">
        <f ca="1">IFERROR(__xludf.DUMMYFUNCTION("""COMPUTED_VALUE"""),45657.6666666666)</f>
        <v>45657.666666666599</v>
      </c>
      <c r="AR17" s="29">
        <f ca="1">IFERROR(__xludf.DUMMYFUNCTION("""COMPUTED_VALUE"""),3.9)</f>
        <v>3.9</v>
      </c>
      <c r="AS17" s="24"/>
      <c r="AT17" s="24"/>
      <c r="AU17" s="24"/>
      <c r="AV17" s="24"/>
      <c r="AW17" s="587"/>
      <c r="AX17" s="587"/>
      <c r="AY17" s="24"/>
      <c r="AZ17" s="587"/>
      <c r="BA17" s="587"/>
      <c r="BB17" s="587"/>
      <c r="BC17" s="587"/>
      <c r="BD17" s="587"/>
      <c r="BE17" s="24"/>
      <c r="BF17" s="24"/>
      <c r="BG17" s="24"/>
      <c r="BH17" s="24"/>
      <c r="BI17" s="24"/>
      <c r="BJ17" s="24"/>
      <c r="BK17" s="24"/>
      <c r="BL17" s="24"/>
      <c r="BM17" s="24"/>
      <c r="BN17" s="24"/>
      <c r="BO17" s="587"/>
      <c r="BP17" s="587"/>
      <c r="BQ17" s="587"/>
      <c r="BR17" s="587"/>
      <c r="BS17" s="587"/>
      <c r="BT17" s="587"/>
      <c r="BU17" s="587"/>
      <c r="BV17" s="587"/>
      <c r="BW17" s="587"/>
      <c r="BX17" s="587"/>
      <c r="BY17" s="587"/>
      <c r="BZ17" s="587"/>
      <c r="CA17" s="587"/>
      <c r="CB17" s="587"/>
      <c r="CC17" s="587"/>
      <c r="CD17" s="587"/>
    </row>
    <row r="18" spans="1:82" ht="13.2">
      <c r="A18" s="294">
        <f t="shared" ref="A18:A28" si="2">A16+1</f>
        <v>8</v>
      </c>
      <c r="B18" s="7" t="s">
        <v>349</v>
      </c>
      <c r="C18" s="377" t="str">
        <f ca="1">IFERROR(__xludf.DUMMYFUNCTION("GoogleFinance(B18,""name"")"),"Noble Corporation PLC")</f>
        <v>Noble Corporation PLC</v>
      </c>
      <c r="D18" s="378">
        <f ca="1">IFERROR(__xludf.DUMMYFUNCTION("GoogleFinance(B18,""marketcap"")/1000000"),4642.445908)</f>
        <v>4642.4459079999997</v>
      </c>
      <c r="E18" s="246" t="s">
        <v>15</v>
      </c>
      <c r="F18" s="246" t="s">
        <v>348</v>
      </c>
      <c r="G18" s="266">
        <v>45896</v>
      </c>
      <c r="H18" s="588">
        <v>29.23</v>
      </c>
      <c r="I18" s="490">
        <v>28.84</v>
      </c>
      <c r="J18" s="589">
        <v>69.34812760055479</v>
      </c>
      <c r="K18" s="395">
        <v>2000</v>
      </c>
      <c r="L18" s="395">
        <v>2000</v>
      </c>
      <c r="M18" s="395">
        <v>2027.0457697642166</v>
      </c>
      <c r="N18" s="395">
        <v>27.045769764216629</v>
      </c>
      <c r="O18" s="396">
        <v>1.3522884882108314E-2</v>
      </c>
      <c r="P18" s="571">
        <v>33</v>
      </c>
      <c r="Q18" s="588">
        <v>22</v>
      </c>
      <c r="R18" s="394">
        <v>-0.247348614437222</v>
      </c>
      <c r="S18" s="393">
        <v>50</v>
      </c>
      <c r="T18" s="396">
        <v>0.71057133082449542</v>
      </c>
      <c r="U18" s="299">
        <v>7.9000000000000008E-3</v>
      </c>
      <c r="V18" s="590">
        <v>3.5056657223796028E-2</v>
      </c>
      <c r="W18" s="394">
        <v>1.4226231783483589E-2</v>
      </c>
      <c r="X18" s="394">
        <v>0.10094161958568737</v>
      </c>
      <c r="Y18" s="394">
        <v>0.23333333333333339</v>
      </c>
      <c r="Z18" s="394">
        <v>-6.9108280254776999E-2</v>
      </c>
      <c r="AA18" s="571" t="s">
        <v>91</v>
      </c>
      <c r="AB18" s="63" t="s">
        <v>93</v>
      </c>
      <c r="AC18" s="591" t="s">
        <v>85</v>
      </c>
      <c r="AD18" s="591" t="s">
        <v>100</v>
      </c>
      <c r="AE18" s="592"/>
      <c r="AF18" s="396"/>
      <c r="AG18" s="396"/>
      <c r="AH18" s="396"/>
      <c r="AI18" s="575" t="str">
        <f ca="1">IFERROR(__xludf.DUMMYFUNCTION("GoogleFinance(B18,""price"",DATE(2025,9,19))"),"Date")</f>
        <v>Date</v>
      </c>
      <c r="AJ18" s="576" t="str">
        <f ca="1">IFERROR(__xludf.DUMMYFUNCTION("""COMPUTED_VALUE"""),"Close")</f>
        <v>Close</v>
      </c>
      <c r="AK18" s="575" t="str">
        <f ca="1">IFERROR(__xludf.DUMMYFUNCTION("GoogleFinance(B18,""price"",DATE(2025,8,29))"),"Date")</f>
        <v>Date</v>
      </c>
      <c r="AL18" s="576" t="str">
        <f ca="1">IFERROR(__xludf.DUMMYFUNCTION("""COMPUTED_VALUE"""),"Close")</f>
        <v>Close</v>
      </c>
      <c r="AM18" s="575" t="str">
        <f ca="1">IFERROR(__xludf.DUMMYFUNCTION("GoogleFinance(B18,""price"",today()-93)"),"#N/A")</f>
        <v>#N/A</v>
      </c>
      <c r="AN18" s="576"/>
      <c r="AO18" s="575" t="str">
        <f ca="1">IFERROR(__xludf.DUMMYFUNCTION("GoogleFinance(B18,""price"",today()-183)"),"#N/A")</f>
        <v>#N/A</v>
      </c>
      <c r="AP18" s="576"/>
      <c r="AQ18" s="575" t="str">
        <f ca="1">IFERROR(__xludf.DUMMYFUNCTION("GoogleFinance(B18,""price"",DATE(2024,12,31))"),"Date")</f>
        <v>Date</v>
      </c>
      <c r="AR18" s="576" t="str">
        <f ca="1">IFERROR(__xludf.DUMMYFUNCTION("""COMPUTED_VALUE"""),"Close")</f>
        <v>Close</v>
      </c>
      <c r="AS18" s="396"/>
      <c r="AT18" s="389"/>
      <c r="AU18" s="257"/>
      <c r="AV18" s="257"/>
      <c r="AW18" s="257"/>
      <c r="AX18" s="257"/>
      <c r="AY18" s="268"/>
      <c r="AZ18" s="268"/>
      <c r="BA18" s="257"/>
      <c r="BB18" s="268"/>
      <c r="BC18" s="268"/>
      <c r="BD18" s="268"/>
      <c r="BE18" s="268"/>
      <c r="BF18" s="268"/>
      <c r="BG18" s="257"/>
      <c r="BH18" s="257"/>
      <c r="BI18" s="257"/>
      <c r="BJ18" s="257"/>
      <c r="BK18" s="257"/>
      <c r="BL18" s="257"/>
      <c r="BM18" s="257"/>
      <c r="BN18" s="257"/>
      <c r="BO18" s="257"/>
      <c r="BP18" s="257"/>
      <c r="BQ18" s="268"/>
      <c r="BR18" s="268"/>
      <c r="BS18" s="268"/>
      <c r="BT18" s="268"/>
      <c r="BU18" s="268"/>
      <c r="BV18" s="268"/>
      <c r="BW18" s="268"/>
      <c r="BX18" s="268"/>
      <c r="BY18" s="268"/>
      <c r="BZ18" s="268"/>
      <c r="CA18" s="268"/>
      <c r="CB18" s="268"/>
      <c r="CC18" s="268"/>
      <c r="CD18" s="268"/>
    </row>
    <row r="19" spans="1:82" ht="13.2" hidden="1">
      <c r="A19" s="294" t="e">
        <f t="shared" si="2"/>
        <v>#REF!</v>
      </c>
      <c r="B19" s="579"/>
      <c r="C19" s="580"/>
      <c r="D19" s="579"/>
      <c r="E19" s="579"/>
      <c r="F19" s="579"/>
      <c r="G19" s="579"/>
      <c r="H19" s="581"/>
      <c r="I19" s="581"/>
      <c r="J19" s="581"/>
      <c r="K19" s="581"/>
      <c r="L19" s="581"/>
      <c r="M19" s="581"/>
      <c r="N19" s="226"/>
      <c r="O19" s="582"/>
      <c r="P19" s="581"/>
      <c r="Q19" s="581"/>
      <c r="R19" s="583"/>
      <c r="S19" s="583"/>
      <c r="T19" s="583"/>
      <c r="U19" s="584"/>
      <c r="V19" s="579"/>
      <c r="W19" s="579"/>
      <c r="X19" s="579"/>
      <c r="Y19" s="579"/>
      <c r="Z19" s="579"/>
      <c r="AA19" s="571" t="s">
        <v>93</v>
      </c>
      <c r="AB19" s="63" t="s">
        <v>93</v>
      </c>
      <c r="AC19" s="585"/>
      <c r="AD19" s="585"/>
      <c r="AE19" s="586"/>
      <c r="AF19" s="242"/>
      <c r="AG19" s="242"/>
      <c r="AH19" s="242"/>
      <c r="AI19" s="235">
        <f ca="1">IFERROR(__xludf.DUMMYFUNCTION("""COMPUTED_VALUE"""),45919.6666666666)</f>
        <v>45919.666666666599</v>
      </c>
      <c r="AJ19" s="29">
        <f ca="1">IFERROR(__xludf.DUMMYFUNCTION("""COMPUTED_VALUE"""),28.24)</f>
        <v>28.24</v>
      </c>
      <c r="AK19" s="235">
        <f ca="1">IFERROR(__xludf.DUMMYFUNCTION("""COMPUTED_VALUE"""),45898.6666666666)</f>
        <v>45898.666666666599</v>
      </c>
      <c r="AL19" s="29">
        <f ca="1">IFERROR(__xludf.DUMMYFUNCTION("""COMPUTED_VALUE"""),28.82)</f>
        <v>28.82</v>
      </c>
      <c r="AM19" s="235"/>
      <c r="AN19" s="29"/>
      <c r="AO19" s="235"/>
      <c r="AP19" s="29"/>
      <c r="AQ19" s="235">
        <f ca="1">IFERROR(__xludf.DUMMYFUNCTION("""COMPUTED_VALUE"""),45657.6666666666)</f>
        <v>45657.666666666599</v>
      </c>
      <c r="AR19" s="29">
        <f ca="1">IFERROR(__xludf.DUMMYFUNCTION("""COMPUTED_VALUE"""),31.4)</f>
        <v>31.4</v>
      </c>
      <c r="AS19" s="24"/>
      <c r="AT19" s="24"/>
      <c r="AU19" s="24"/>
      <c r="AV19" s="24"/>
      <c r="AW19" s="587"/>
      <c r="AX19" s="587"/>
      <c r="AY19" s="24"/>
      <c r="AZ19" s="587"/>
      <c r="BA19" s="587"/>
      <c r="BB19" s="587"/>
      <c r="BC19" s="587"/>
      <c r="BD19" s="587"/>
      <c r="BE19" s="24"/>
      <c r="BF19" s="24"/>
      <c r="BG19" s="24"/>
      <c r="BH19" s="24"/>
      <c r="BI19" s="24"/>
      <c r="BJ19" s="24"/>
      <c r="BK19" s="24"/>
      <c r="BL19" s="24"/>
      <c r="BM19" s="24"/>
      <c r="BN19" s="24"/>
      <c r="BO19" s="587"/>
      <c r="BP19" s="587"/>
      <c r="BQ19" s="587"/>
      <c r="BR19" s="587"/>
      <c r="BS19" s="587"/>
      <c r="BT19" s="587"/>
      <c r="BU19" s="587"/>
      <c r="BV19" s="587"/>
      <c r="BW19" s="587"/>
      <c r="BX19" s="587"/>
      <c r="BY19" s="587"/>
      <c r="BZ19" s="587"/>
      <c r="CA19" s="587"/>
      <c r="CB19" s="587"/>
      <c r="CC19" s="587"/>
      <c r="CD19" s="587"/>
    </row>
    <row r="20" spans="1:82" ht="13.2">
      <c r="A20" s="294">
        <f t="shared" si="2"/>
        <v>9</v>
      </c>
      <c r="B20" s="7" t="s">
        <v>350</v>
      </c>
      <c r="C20" s="377" t="str">
        <f ca="1">IFERROR(__xludf.DUMMYFUNCTION("GoogleFinance(B20,""name"")"),"Nabors Industries Ltd")</f>
        <v>Nabors Industries Ltd</v>
      </c>
      <c r="D20" s="378">
        <f ca="1">IFERROR(__xludf.DUMMYFUNCTION("GoogleFinance(B20,""marketcap"")/1000000"),655.758677)</f>
        <v>655.75867700000003</v>
      </c>
      <c r="E20" s="246" t="s">
        <v>15</v>
      </c>
      <c r="F20" s="246" t="s">
        <v>348</v>
      </c>
      <c r="G20" s="266">
        <v>45904</v>
      </c>
      <c r="H20" s="588">
        <v>41.67</v>
      </c>
      <c r="I20" s="490">
        <v>37.770000000000003</v>
      </c>
      <c r="J20" s="589">
        <v>52.952078369075984</v>
      </c>
      <c r="K20" s="395">
        <v>2000</v>
      </c>
      <c r="L20" s="395">
        <v>2000</v>
      </c>
      <c r="M20" s="395">
        <v>2206.5131056393961</v>
      </c>
      <c r="N20" s="395">
        <v>206.51310563939614</v>
      </c>
      <c r="O20" s="396">
        <v>0.10325655281969807</v>
      </c>
      <c r="P20" s="571">
        <v>25</v>
      </c>
      <c r="Q20" s="588">
        <v>30</v>
      </c>
      <c r="R20" s="394">
        <v>-0.28005759539236863</v>
      </c>
      <c r="S20" s="393">
        <v>50</v>
      </c>
      <c r="T20" s="396">
        <v>0.19990400767938565</v>
      </c>
      <c r="U20" s="299">
        <v>4.1700000000000001E-2</v>
      </c>
      <c r="V20" s="590">
        <v>0.10765550239234467</v>
      </c>
      <c r="W20" s="394">
        <v>0.11775751072961382</v>
      </c>
      <c r="X20" s="394">
        <v>0.4871520342612421</v>
      </c>
      <c r="Y20" s="394">
        <v>-9.5900263725723356E-4</v>
      </c>
      <c r="Z20" s="394">
        <v>-0.27112121742172468</v>
      </c>
      <c r="AA20" s="571" t="s">
        <v>91</v>
      </c>
      <c r="AB20" s="63" t="s">
        <v>93</v>
      </c>
      <c r="AC20" s="591" t="s">
        <v>85</v>
      </c>
      <c r="AD20" s="591" t="s">
        <v>100</v>
      </c>
      <c r="AE20" s="592"/>
      <c r="AF20" s="396"/>
      <c r="AG20" s="396"/>
      <c r="AH20" s="396"/>
      <c r="AI20" s="575" t="str">
        <f ca="1">IFERROR(__xludf.DUMMYFUNCTION("GoogleFinance(B20,""price"",DATE(2025,9,19))"),"Date")</f>
        <v>Date</v>
      </c>
      <c r="AJ20" s="576" t="str">
        <f ca="1">IFERROR(__xludf.DUMMYFUNCTION("""COMPUTED_VALUE"""),"Close")</f>
        <v>Close</v>
      </c>
      <c r="AK20" s="575" t="str">
        <f ca="1">IFERROR(__xludf.DUMMYFUNCTION("GoogleFinance(B20,""price"",DATE(2025,8,29))"),"Date")</f>
        <v>Date</v>
      </c>
      <c r="AL20" s="576" t="str">
        <f ca="1">IFERROR(__xludf.DUMMYFUNCTION("""COMPUTED_VALUE"""),"Close")</f>
        <v>Close</v>
      </c>
      <c r="AM20" s="575" t="str">
        <f ca="1">IFERROR(__xludf.DUMMYFUNCTION("GoogleFinance(B20,""price"",today()-93)"),"#N/A")</f>
        <v>#N/A</v>
      </c>
      <c r="AN20" s="576"/>
      <c r="AO20" s="575" t="str">
        <f ca="1">IFERROR(__xludf.DUMMYFUNCTION("GoogleFinance(B20,""price"",today()-183)"),"#N/A")</f>
        <v>#N/A</v>
      </c>
      <c r="AP20" s="576"/>
      <c r="AQ20" s="575" t="str">
        <f ca="1">IFERROR(__xludf.DUMMYFUNCTION("GoogleFinance(B20,""price"",DATE(2024,12,31))"),"Date")</f>
        <v>Date</v>
      </c>
      <c r="AR20" s="576" t="str">
        <f ca="1">IFERROR(__xludf.DUMMYFUNCTION("""COMPUTED_VALUE"""),"Close")</f>
        <v>Close</v>
      </c>
      <c r="AS20" s="396"/>
      <c r="AT20" s="389"/>
      <c r="AU20" s="257"/>
      <c r="AV20" s="257"/>
      <c r="AW20" s="257"/>
      <c r="AX20" s="257"/>
      <c r="AY20" s="268"/>
      <c r="AZ20" s="268"/>
      <c r="BA20" s="257"/>
      <c r="BB20" s="268"/>
      <c r="BC20" s="268"/>
      <c r="BD20" s="268"/>
      <c r="BE20" s="268"/>
      <c r="BF20" s="268"/>
      <c r="BG20" s="257"/>
      <c r="BH20" s="257"/>
      <c r="BI20" s="257"/>
      <c r="BJ20" s="257"/>
      <c r="BK20" s="257"/>
      <c r="BL20" s="257"/>
      <c r="BM20" s="257"/>
      <c r="BN20" s="257"/>
      <c r="BO20" s="257"/>
      <c r="BP20" s="257"/>
      <c r="BQ20" s="268"/>
      <c r="BR20" s="268"/>
      <c r="BS20" s="268"/>
      <c r="BT20" s="268"/>
      <c r="BU20" s="268"/>
      <c r="BV20" s="268"/>
      <c r="BW20" s="268"/>
      <c r="BX20" s="268"/>
      <c r="BY20" s="268"/>
      <c r="BZ20" s="268"/>
      <c r="CA20" s="268"/>
      <c r="CB20" s="268"/>
      <c r="CC20" s="268"/>
      <c r="CD20" s="268"/>
    </row>
    <row r="21" spans="1:82" ht="13.2" hidden="1">
      <c r="A21" s="294" t="e">
        <f t="shared" si="2"/>
        <v>#REF!</v>
      </c>
      <c r="B21" s="579"/>
      <c r="C21" s="580"/>
      <c r="D21" s="579"/>
      <c r="E21" s="579"/>
      <c r="F21" s="579"/>
      <c r="G21" s="579"/>
      <c r="H21" s="581"/>
      <c r="I21" s="581"/>
      <c r="J21" s="581"/>
      <c r="K21" s="581"/>
      <c r="L21" s="581"/>
      <c r="M21" s="581"/>
      <c r="N21" s="226"/>
      <c r="O21" s="582"/>
      <c r="P21" s="581"/>
      <c r="Q21" s="581"/>
      <c r="R21" s="583"/>
      <c r="S21" s="583"/>
      <c r="T21" s="583"/>
      <c r="U21" s="584"/>
      <c r="V21" s="579"/>
      <c r="W21" s="579"/>
      <c r="X21" s="579"/>
      <c r="Y21" s="579"/>
      <c r="Z21" s="579"/>
      <c r="AA21" s="571" t="s">
        <v>93</v>
      </c>
      <c r="AB21" s="63" t="s">
        <v>93</v>
      </c>
      <c r="AC21" s="585"/>
      <c r="AD21" s="585"/>
      <c r="AE21" s="586"/>
      <c r="AF21" s="242"/>
      <c r="AG21" s="242"/>
      <c r="AH21" s="242"/>
      <c r="AI21" s="235">
        <f ca="1">IFERROR(__xludf.DUMMYFUNCTION("""COMPUTED_VALUE"""),45919.6666666666)</f>
        <v>45919.666666666599</v>
      </c>
      <c r="AJ21" s="29">
        <f ca="1">IFERROR(__xludf.DUMMYFUNCTION("""COMPUTED_VALUE"""),37.62)</f>
        <v>37.619999999999997</v>
      </c>
      <c r="AK21" s="235">
        <f ca="1">IFERROR(__xludf.DUMMYFUNCTION("""COMPUTED_VALUE"""),45898.6666666666)</f>
        <v>45898.666666666599</v>
      </c>
      <c r="AL21" s="29">
        <f ca="1">IFERROR(__xludf.DUMMYFUNCTION("""COMPUTED_VALUE"""),37.28)</f>
        <v>37.28</v>
      </c>
      <c r="AM21" s="235"/>
      <c r="AN21" s="29"/>
      <c r="AO21" s="235"/>
      <c r="AP21" s="29"/>
      <c r="AQ21" s="235">
        <f ca="1">IFERROR(__xludf.DUMMYFUNCTION("""COMPUTED_VALUE"""),45657.6666666666)</f>
        <v>45657.666666666599</v>
      </c>
      <c r="AR21" s="29">
        <f ca="1">IFERROR(__xludf.DUMMYFUNCTION("""COMPUTED_VALUE"""),57.17)</f>
        <v>57.17</v>
      </c>
      <c r="AS21" s="24"/>
      <c r="AT21" s="24"/>
      <c r="AU21" s="24"/>
      <c r="AV21" s="24"/>
      <c r="AW21" s="587"/>
      <c r="AX21" s="587"/>
      <c r="AY21" s="24"/>
      <c r="AZ21" s="587"/>
      <c r="BA21" s="587"/>
      <c r="BB21" s="587"/>
      <c r="BC21" s="587"/>
      <c r="BD21" s="587"/>
      <c r="BE21" s="24"/>
      <c r="BF21" s="24"/>
      <c r="BG21" s="24"/>
      <c r="BH21" s="24"/>
      <c r="BI21" s="24"/>
      <c r="BJ21" s="24"/>
      <c r="BK21" s="24"/>
      <c r="BL21" s="24"/>
      <c r="BM21" s="24"/>
      <c r="BN21" s="24"/>
      <c r="BO21" s="587"/>
      <c r="BP21" s="587"/>
      <c r="BQ21" s="587"/>
      <c r="BR21" s="587"/>
      <c r="BS21" s="587"/>
      <c r="BT21" s="587"/>
      <c r="BU21" s="587"/>
      <c r="BV21" s="587"/>
      <c r="BW21" s="587"/>
      <c r="BX21" s="587"/>
      <c r="BY21" s="587"/>
      <c r="BZ21" s="587"/>
      <c r="CA21" s="587"/>
      <c r="CB21" s="587"/>
      <c r="CC21" s="587"/>
      <c r="CD21" s="587"/>
    </row>
    <row r="22" spans="1:82" ht="13.2">
      <c r="A22" s="294">
        <f t="shared" si="2"/>
        <v>10</v>
      </c>
      <c r="B22" s="7" t="s">
        <v>351</v>
      </c>
      <c r="C22" s="377" t="str">
        <f ca="1">IFERROR(__xludf.DUMMYFUNCTION("GoogleFinance(B22,""name"")"),"Core Natural Resources Inc")</f>
        <v>Core Natural Resources Inc</v>
      </c>
      <c r="D22" s="378">
        <f ca="1">IFERROR(__xludf.DUMMYFUNCTION("GoogleFinance(B22,""marketcap"")/1000000"),4261.841185)</f>
        <v>4261.8411850000002</v>
      </c>
      <c r="E22" s="246" t="s">
        <v>15</v>
      </c>
      <c r="F22" s="246" t="s">
        <v>352</v>
      </c>
      <c r="G22" s="266">
        <v>45905</v>
      </c>
      <c r="H22" s="588">
        <v>82.8</v>
      </c>
      <c r="I22" s="490">
        <v>74.37</v>
      </c>
      <c r="J22" s="589">
        <v>26.89256420599704</v>
      </c>
      <c r="K22" s="395">
        <v>2000</v>
      </c>
      <c r="L22" s="395">
        <v>2000</v>
      </c>
      <c r="M22" s="395">
        <v>2226.7043162565546</v>
      </c>
      <c r="N22" s="395">
        <v>226.70431625655465</v>
      </c>
      <c r="O22" s="396">
        <v>0.11335215812827733</v>
      </c>
      <c r="P22" s="571">
        <v>24</v>
      </c>
      <c r="Q22" s="588">
        <v>64</v>
      </c>
      <c r="R22" s="394">
        <v>-0.22705314009661837</v>
      </c>
      <c r="S22" s="393">
        <v>100</v>
      </c>
      <c r="T22" s="396">
        <v>0.20772946859903385</v>
      </c>
      <c r="U22" s="299">
        <v>7.4999999999999997E-3</v>
      </c>
      <c r="V22" s="590">
        <v>8.9187056037884682E-2</v>
      </c>
      <c r="W22" s="394">
        <v>0.11500134661998374</v>
      </c>
      <c r="X22" s="394">
        <v>0.18726699168339556</v>
      </c>
      <c r="Y22" s="394">
        <v>7.3929961089494123E-2</v>
      </c>
      <c r="Z22" s="394">
        <v>-0.22384701912260974</v>
      </c>
      <c r="AA22" s="571" t="s">
        <v>84</v>
      </c>
      <c r="AB22" s="63" t="s">
        <v>85</v>
      </c>
      <c r="AC22" s="591" t="s">
        <v>85</v>
      </c>
      <c r="AD22" s="591" t="s">
        <v>100</v>
      </c>
      <c r="AE22" s="592"/>
      <c r="AF22" s="396"/>
      <c r="AG22" s="396"/>
      <c r="AH22" s="396"/>
      <c r="AI22" s="575" t="str">
        <f ca="1">IFERROR(__xludf.DUMMYFUNCTION("GoogleFinance(B22,""price"",DATE(2025,9,19))"),"Date")</f>
        <v>Date</v>
      </c>
      <c r="AJ22" s="576" t="str">
        <f ca="1">IFERROR(__xludf.DUMMYFUNCTION("""COMPUTED_VALUE"""),"Close")</f>
        <v>Close</v>
      </c>
      <c r="AK22" s="575" t="str">
        <f ca="1">IFERROR(__xludf.DUMMYFUNCTION("GoogleFinance(B22,""price"",DATE(2025,8,29))"),"Date")</f>
        <v>Date</v>
      </c>
      <c r="AL22" s="576" t="str">
        <f ca="1">IFERROR(__xludf.DUMMYFUNCTION("""COMPUTED_VALUE"""),"Close")</f>
        <v>Close</v>
      </c>
      <c r="AM22" s="575" t="str">
        <f ca="1">IFERROR(__xludf.DUMMYFUNCTION("GoogleFinance(B22,""price"",today()-93)"),"#N/A")</f>
        <v>#N/A</v>
      </c>
      <c r="AN22" s="576"/>
      <c r="AO22" s="575" t="str">
        <f ca="1">IFERROR(__xludf.DUMMYFUNCTION("GoogleFinance(B22,""price"",today()-183)"),"#N/A")</f>
        <v>#N/A</v>
      </c>
      <c r="AP22" s="576"/>
      <c r="AQ22" s="575" t="str">
        <f ca="1">IFERROR(__xludf.DUMMYFUNCTION("GoogleFinance(B22,""price"",DATE(2024,12,31))"),"Date")</f>
        <v>Date</v>
      </c>
      <c r="AR22" s="576" t="str">
        <f ca="1">IFERROR(__xludf.DUMMYFUNCTION("""COMPUTED_VALUE"""),"Close")</f>
        <v>Close</v>
      </c>
      <c r="AS22" s="396"/>
      <c r="AT22" s="389"/>
      <c r="AU22" s="257"/>
      <c r="AV22" s="257"/>
      <c r="AW22" s="257"/>
      <c r="AX22" s="257"/>
      <c r="AY22" s="268"/>
      <c r="AZ22" s="268"/>
      <c r="BA22" s="257"/>
      <c r="BB22" s="268"/>
      <c r="BC22" s="268"/>
      <c r="BD22" s="268"/>
      <c r="BE22" s="268"/>
      <c r="BF22" s="268"/>
      <c r="BG22" s="257"/>
      <c r="BH22" s="257"/>
      <c r="BI22" s="257"/>
      <c r="BJ22" s="257"/>
      <c r="BK22" s="257"/>
      <c r="BL22" s="257"/>
      <c r="BM22" s="257"/>
      <c r="BN22" s="257"/>
      <c r="BO22" s="257"/>
      <c r="BP22" s="257"/>
      <c r="BQ22" s="268"/>
      <c r="BR22" s="268"/>
      <c r="BS22" s="268"/>
      <c r="BT22" s="268"/>
      <c r="BU22" s="268"/>
      <c r="BV22" s="268"/>
      <c r="BW22" s="268"/>
      <c r="BX22" s="268"/>
      <c r="BY22" s="268"/>
      <c r="BZ22" s="268"/>
      <c r="CA22" s="268"/>
      <c r="CB22" s="268"/>
      <c r="CC22" s="268"/>
      <c r="CD22" s="268"/>
    </row>
    <row r="23" spans="1:82" ht="13.2" hidden="1">
      <c r="A23" s="294" t="e">
        <f t="shared" si="2"/>
        <v>#REF!</v>
      </c>
      <c r="B23" s="579"/>
      <c r="C23" s="580"/>
      <c r="D23" s="579"/>
      <c r="E23" s="579"/>
      <c r="F23" s="579"/>
      <c r="G23" s="579"/>
      <c r="H23" s="581"/>
      <c r="I23" s="581"/>
      <c r="J23" s="581"/>
      <c r="K23" s="581"/>
      <c r="L23" s="581"/>
      <c r="M23" s="581"/>
      <c r="N23" s="226"/>
      <c r="O23" s="582"/>
      <c r="P23" s="581"/>
      <c r="Q23" s="581"/>
      <c r="R23" s="583"/>
      <c r="S23" s="583"/>
      <c r="T23" s="583"/>
      <c r="U23" s="584"/>
      <c r="V23" s="579"/>
      <c r="W23" s="579"/>
      <c r="X23" s="579"/>
      <c r="Y23" s="579"/>
      <c r="Z23" s="579"/>
      <c r="AA23" s="571" t="s">
        <v>93</v>
      </c>
      <c r="AB23" s="63" t="s">
        <v>93</v>
      </c>
      <c r="AC23" s="585"/>
      <c r="AD23" s="585"/>
      <c r="AE23" s="586"/>
      <c r="AF23" s="242"/>
      <c r="AG23" s="242"/>
      <c r="AH23" s="242"/>
      <c r="AI23" s="235">
        <f ca="1">IFERROR(__xludf.DUMMYFUNCTION("""COMPUTED_VALUE"""),45919.6666666666)</f>
        <v>45919.666666666599</v>
      </c>
      <c r="AJ23" s="29">
        <f ca="1">IFERROR(__xludf.DUMMYFUNCTION("""COMPUTED_VALUE"""),76.02)</f>
        <v>76.02</v>
      </c>
      <c r="AK23" s="235">
        <f ca="1">IFERROR(__xludf.DUMMYFUNCTION("""COMPUTED_VALUE"""),45898.6666666666)</f>
        <v>45898.666666666599</v>
      </c>
      <c r="AL23" s="29">
        <f ca="1">IFERROR(__xludf.DUMMYFUNCTION("""COMPUTED_VALUE"""),74.26)</f>
        <v>74.260000000000005</v>
      </c>
      <c r="AM23" s="235"/>
      <c r="AN23" s="29"/>
      <c r="AO23" s="235"/>
      <c r="AP23" s="29"/>
      <c r="AQ23" s="235">
        <f ca="1">IFERROR(__xludf.DUMMYFUNCTION("""COMPUTED_VALUE"""),45657.6666666666)</f>
        <v>45657.666666666599</v>
      </c>
      <c r="AR23" s="29">
        <f ca="1">IFERROR(__xludf.DUMMYFUNCTION("""COMPUTED_VALUE"""),106.68)</f>
        <v>106.68</v>
      </c>
      <c r="AS23" s="24"/>
      <c r="AT23" s="24"/>
      <c r="AU23" s="24"/>
      <c r="AV23" s="24"/>
      <c r="AW23" s="587"/>
      <c r="AX23" s="587"/>
      <c r="AY23" s="24"/>
      <c r="AZ23" s="587"/>
      <c r="BA23" s="587"/>
      <c r="BB23" s="587"/>
      <c r="BC23" s="587"/>
      <c r="BD23" s="587"/>
      <c r="BE23" s="24"/>
      <c r="BF23" s="24"/>
      <c r="BG23" s="24"/>
      <c r="BH23" s="24"/>
      <c r="BI23" s="24"/>
      <c r="BJ23" s="24"/>
      <c r="BK23" s="24"/>
      <c r="BL23" s="24"/>
      <c r="BM23" s="24"/>
      <c r="BN23" s="24"/>
      <c r="BO23" s="587"/>
      <c r="BP23" s="587"/>
      <c r="BQ23" s="587"/>
      <c r="BR23" s="587"/>
      <c r="BS23" s="587"/>
      <c r="BT23" s="587"/>
      <c r="BU23" s="587"/>
      <c r="BV23" s="587"/>
      <c r="BW23" s="587"/>
      <c r="BX23" s="587"/>
      <c r="BY23" s="587"/>
      <c r="BZ23" s="587"/>
      <c r="CA23" s="587"/>
      <c r="CB23" s="587"/>
      <c r="CC23" s="587"/>
      <c r="CD23" s="587"/>
    </row>
    <row r="24" spans="1:82" ht="13.2">
      <c r="A24" s="294">
        <f t="shared" si="2"/>
        <v>11</v>
      </c>
      <c r="B24" s="7" t="s">
        <v>353</v>
      </c>
      <c r="C24" s="377" t="str">
        <f ca="1">IFERROR(__xludf.DUMMYFUNCTION("GoogleFinance(B24,""name"")"),"Peabody Energy Corp")</f>
        <v>Peabody Energy Corp</v>
      </c>
      <c r="D24" s="378">
        <f ca="1">IFERROR(__xludf.DUMMYFUNCTION("GoogleFinance(B24,""marketcap"")/1000000"),2982.848083)</f>
        <v>2982.8480829999999</v>
      </c>
      <c r="E24" s="246" t="s">
        <v>15</v>
      </c>
      <c r="F24" s="246" t="s">
        <v>352</v>
      </c>
      <c r="G24" s="266">
        <v>45905</v>
      </c>
      <c r="H24" s="588">
        <v>24.53</v>
      </c>
      <c r="I24" s="490">
        <v>18.63</v>
      </c>
      <c r="J24" s="589">
        <v>107.35373054213635</v>
      </c>
      <c r="K24" s="395">
        <v>2000</v>
      </c>
      <c r="L24" s="395">
        <v>2000</v>
      </c>
      <c r="M24" s="395">
        <v>2633.3870101986049</v>
      </c>
      <c r="N24" s="395">
        <v>633.38701019860491</v>
      </c>
      <c r="O24" s="396">
        <v>0.31669350509930244</v>
      </c>
      <c r="P24" s="571">
        <v>24</v>
      </c>
      <c r="Q24" s="588">
        <v>14</v>
      </c>
      <c r="R24" s="394">
        <v>-0.42927028128821854</v>
      </c>
      <c r="S24" s="393">
        <v>26</v>
      </c>
      <c r="T24" s="396">
        <v>5.9926620464737068E-2</v>
      </c>
      <c r="U24" s="299">
        <v>-4.0000000000000002E-4</v>
      </c>
      <c r="V24" s="590">
        <v>7.9665492957746498E-2</v>
      </c>
      <c r="W24" s="394">
        <v>0.40977011494252902</v>
      </c>
      <c r="X24" s="394">
        <v>0.82786885245901654</v>
      </c>
      <c r="Y24" s="394">
        <v>0.81033210332103311</v>
      </c>
      <c r="Z24" s="394">
        <v>0.17144221585482322</v>
      </c>
      <c r="AA24" s="571" t="s">
        <v>84</v>
      </c>
      <c r="AB24" s="63" t="s">
        <v>85</v>
      </c>
      <c r="AC24" s="591" t="s">
        <v>85</v>
      </c>
      <c r="AD24" s="591" t="s">
        <v>100</v>
      </c>
      <c r="AE24" s="592"/>
      <c r="AF24" s="396"/>
      <c r="AG24" s="396"/>
      <c r="AH24" s="396"/>
      <c r="AI24" s="575" t="str">
        <f ca="1">IFERROR(__xludf.DUMMYFUNCTION("GoogleFinance(B24,""price"",DATE(2025,9,19))"),"Date")</f>
        <v>Date</v>
      </c>
      <c r="AJ24" s="576" t="str">
        <f ca="1">IFERROR(__xludf.DUMMYFUNCTION("""COMPUTED_VALUE"""),"Close")</f>
        <v>Close</v>
      </c>
      <c r="AK24" s="575" t="str">
        <f ca="1">IFERROR(__xludf.DUMMYFUNCTION("GoogleFinance(B24,""price"",DATE(2025,8,29))"),"Date")</f>
        <v>Date</v>
      </c>
      <c r="AL24" s="576" t="str">
        <f ca="1">IFERROR(__xludf.DUMMYFUNCTION("""COMPUTED_VALUE"""),"Close")</f>
        <v>Close</v>
      </c>
      <c r="AM24" s="575" t="str">
        <f ca="1">IFERROR(__xludf.DUMMYFUNCTION("GoogleFinance(B24,""price"",today()-93)"),"#N/A")</f>
        <v>#N/A</v>
      </c>
      <c r="AN24" s="576"/>
      <c r="AO24" s="575" t="str">
        <f ca="1">IFERROR(__xludf.DUMMYFUNCTION("GoogleFinance(B24,""price"",today()-183)"),"#N/A")</f>
        <v>#N/A</v>
      </c>
      <c r="AP24" s="576"/>
      <c r="AQ24" s="575" t="str">
        <f ca="1">IFERROR(__xludf.DUMMYFUNCTION("GoogleFinance(B24,""price"",DATE(2024,12,31))"),"Date")</f>
        <v>Date</v>
      </c>
      <c r="AR24" s="576" t="str">
        <f ca="1">IFERROR(__xludf.DUMMYFUNCTION("""COMPUTED_VALUE"""),"Close")</f>
        <v>Close</v>
      </c>
      <c r="AS24" s="396"/>
      <c r="AT24" s="389"/>
      <c r="AU24" s="257"/>
      <c r="AV24" s="257"/>
      <c r="AW24" s="257"/>
      <c r="AX24" s="257"/>
      <c r="AY24" s="268"/>
      <c r="AZ24" s="268"/>
      <c r="BA24" s="257"/>
      <c r="BB24" s="268"/>
      <c r="BC24" s="268"/>
      <c r="BD24" s="268"/>
      <c r="BE24" s="268"/>
      <c r="BF24" s="268"/>
      <c r="BG24" s="257"/>
      <c r="BH24" s="257"/>
      <c r="BI24" s="257"/>
      <c r="BJ24" s="257"/>
      <c r="BK24" s="257"/>
      <c r="BL24" s="257"/>
      <c r="BM24" s="257"/>
      <c r="BN24" s="257"/>
      <c r="BO24" s="257"/>
      <c r="BP24" s="257"/>
      <c r="BQ24" s="268"/>
      <c r="BR24" s="268"/>
      <c r="BS24" s="268"/>
      <c r="BT24" s="268"/>
      <c r="BU24" s="268"/>
      <c r="BV24" s="268"/>
      <c r="BW24" s="268"/>
      <c r="BX24" s="268"/>
      <c r="BY24" s="268"/>
      <c r="BZ24" s="268"/>
      <c r="CA24" s="268"/>
      <c r="CB24" s="268"/>
      <c r="CC24" s="268"/>
      <c r="CD24" s="268"/>
    </row>
    <row r="25" spans="1:82" ht="13.2" hidden="1">
      <c r="A25" s="593" t="e">
        <f t="shared" si="2"/>
        <v>#REF!</v>
      </c>
      <c r="B25" s="579"/>
      <c r="C25" s="580"/>
      <c r="D25" s="579"/>
      <c r="E25" s="579"/>
      <c r="F25" s="579"/>
      <c r="G25" s="579"/>
      <c r="H25" s="581"/>
      <c r="I25" s="581"/>
      <c r="J25" s="581"/>
      <c r="K25" s="581"/>
      <c r="L25" s="581"/>
      <c r="M25" s="581"/>
      <c r="N25" s="226"/>
      <c r="O25" s="582"/>
      <c r="P25" s="581"/>
      <c r="Q25" s="581"/>
      <c r="R25" s="583"/>
      <c r="S25" s="583"/>
      <c r="T25" s="583"/>
      <c r="U25" s="584"/>
      <c r="V25" s="579"/>
      <c r="W25" s="579"/>
      <c r="X25" s="579"/>
      <c r="Y25" s="579"/>
      <c r="Z25" s="579"/>
      <c r="AA25" s="571" t="s">
        <v>93</v>
      </c>
      <c r="AB25" s="63" t="s">
        <v>93</v>
      </c>
      <c r="AC25" s="585"/>
      <c r="AD25" s="585"/>
      <c r="AE25" s="586"/>
      <c r="AF25" s="242"/>
      <c r="AG25" s="242"/>
      <c r="AH25" s="242"/>
      <c r="AI25" s="235">
        <f ca="1">IFERROR(__xludf.DUMMYFUNCTION("""COMPUTED_VALUE"""),45919.6666666666)</f>
        <v>45919.666666666599</v>
      </c>
      <c r="AJ25" s="29">
        <f ca="1">IFERROR(__xludf.DUMMYFUNCTION("""COMPUTED_VALUE"""),22.72)</f>
        <v>22.72</v>
      </c>
      <c r="AK25" s="235">
        <f ca="1">IFERROR(__xludf.DUMMYFUNCTION("""COMPUTED_VALUE"""),45898.6666666666)</f>
        <v>45898.666666666599</v>
      </c>
      <c r="AL25" s="29">
        <f ca="1">IFERROR(__xludf.DUMMYFUNCTION("""COMPUTED_VALUE"""),17.4)</f>
        <v>17.399999999999999</v>
      </c>
      <c r="AM25" s="235"/>
      <c r="AN25" s="29"/>
      <c r="AO25" s="235"/>
      <c r="AP25" s="29"/>
      <c r="AQ25" s="235">
        <f ca="1">IFERROR(__xludf.DUMMYFUNCTION("""COMPUTED_VALUE"""),45657.6666666666)</f>
        <v>45657.666666666599</v>
      </c>
      <c r="AR25" s="29">
        <f ca="1">IFERROR(__xludf.DUMMYFUNCTION("""COMPUTED_VALUE"""),20.94)</f>
        <v>20.94</v>
      </c>
      <c r="AS25" s="24"/>
      <c r="AT25" s="24"/>
      <c r="AU25" s="24"/>
      <c r="AV25" s="24"/>
      <c r="AW25" s="587"/>
      <c r="AX25" s="587"/>
      <c r="AY25" s="24"/>
      <c r="AZ25" s="587"/>
      <c r="BA25" s="587"/>
      <c r="BB25" s="587"/>
      <c r="BC25" s="587"/>
      <c r="BD25" s="587"/>
      <c r="BE25" s="24"/>
      <c r="BF25" s="24"/>
      <c r="BG25" s="24"/>
      <c r="BH25" s="24"/>
      <c r="BI25" s="24"/>
      <c r="BJ25" s="24"/>
      <c r="BK25" s="24"/>
      <c r="BL25" s="24"/>
      <c r="BM25" s="24"/>
      <c r="BN25" s="24"/>
      <c r="BO25" s="587"/>
      <c r="BP25" s="587"/>
      <c r="BQ25" s="587"/>
      <c r="BR25" s="587"/>
      <c r="BS25" s="587"/>
      <c r="BT25" s="587"/>
      <c r="BU25" s="587"/>
      <c r="BV25" s="587"/>
      <c r="BW25" s="587"/>
      <c r="BX25" s="587"/>
      <c r="BY25" s="587"/>
      <c r="BZ25" s="587"/>
      <c r="CA25" s="587"/>
      <c r="CB25" s="587"/>
      <c r="CC25" s="587"/>
      <c r="CD25" s="587"/>
    </row>
    <row r="26" spans="1:82" ht="13.2">
      <c r="A26" s="294">
        <f t="shared" si="2"/>
        <v>12</v>
      </c>
      <c r="B26" s="7" t="s">
        <v>354</v>
      </c>
      <c r="C26" s="377" t="str">
        <f ca="1">IFERROR(__xludf.DUMMYFUNCTION("GoogleFinance(B26,""name"")"),"Alpha Metallurgical Resources Inc")</f>
        <v>Alpha Metallurgical Resources Inc</v>
      </c>
      <c r="D26" s="378">
        <f ca="1">IFERROR(__xludf.DUMMYFUNCTION("GoogleFinance(B26,""marketcap"")/1000000"),2123.203743)</f>
        <v>2123.203743</v>
      </c>
      <c r="E26" s="246" t="s">
        <v>15</v>
      </c>
      <c r="F26" s="246" t="s">
        <v>352</v>
      </c>
      <c r="G26" s="266">
        <v>45915</v>
      </c>
      <c r="H26" s="588">
        <v>162.65</v>
      </c>
      <c r="I26" s="490">
        <v>154.80000000000001</v>
      </c>
      <c r="J26" s="589">
        <v>12.919896640826872</v>
      </c>
      <c r="K26" s="395">
        <v>2000</v>
      </c>
      <c r="L26" s="395">
        <v>2000</v>
      </c>
      <c r="M26" s="395">
        <v>2101.4211886304906</v>
      </c>
      <c r="N26" s="395">
        <v>101.42118863049063</v>
      </c>
      <c r="O26" s="396">
        <v>5.0710594315245314E-2</v>
      </c>
      <c r="P26" s="571">
        <v>14</v>
      </c>
      <c r="Q26" s="588">
        <v>130</v>
      </c>
      <c r="R26" s="394">
        <v>-0.20073778051029822</v>
      </c>
      <c r="S26" s="393">
        <v>260</v>
      </c>
      <c r="T26" s="396">
        <v>0.59852443897940355</v>
      </c>
      <c r="U26" s="299">
        <v>-8.1000000000000013E-3</v>
      </c>
      <c r="V26" s="590">
        <v>-2.0770620108368387E-2</v>
      </c>
      <c r="W26" s="394">
        <v>9.0220524163818094E-2</v>
      </c>
      <c r="X26" s="394">
        <v>0.44603485064011372</v>
      </c>
      <c r="Y26" s="394">
        <v>0.29860279441117776</v>
      </c>
      <c r="Z26" s="394">
        <v>-0.18723765740555665</v>
      </c>
      <c r="AA26" s="571" t="s">
        <v>84</v>
      </c>
      <c r="AB26" s="63" t="s">
        <v>85</v>
      </c>
      <c r="AC26" s="591" t="s">
        <v>85</v>
      </c>
      <c r="AD26" s="591" t="s">
        <v>100</v>
      </c>
      <c r="AE26" s="592"/>
      <c r="AF26" s="396"/>
      <c r="AG26" s="396"/>
      <c r="AH26" s="396"/>
      <c r="AI26" s="575" t="str">
        <f ca="1">IFERROR(__xludf.DUMMYFUNCTION("GoogleFinance(B26,""price"",DATE(2025,9,19))"),"Date")</f>
        <v>Date</v>
      </c>
      <c r="AJ26" s="576" t="str">
        <f ca="1">IFERROR(__xludf.DUMMYFUNCTION("""COMPUTED_VALUE"""),"Close")</f>
        <v>Close</v>
      </c>
      <c r="AK26" s="575" t="str">
        <f ca="1">IFERROR(__xludf.DUMMYFUNCTION("GoogleFinance(B26,""price"",DATE(2025,8,29))"),"Date")</f>
        <v>Date</v>
      </c>
      <c r="AL26" s="576" t="str">
        <f ca="1">IFERROR(__xludf.DUMMYFUNCTION("""COMPUTED_VALUE"""),"Close")</f>
        <v>Close</v>
      </c>
      <c r="AM26" s="575" t="str">
        <f ca="1">IFERROR(__xludf.DUMMYFUNCTION("GoogleFinance(B26,""price"",today()-93)"),"#N/A")</f>
        <v>#N/A</v>
      </c>
      <c r="AN26" s="576"/>
      <c r="AO26" s="575" t="str">
        <f ca="1">IFERROR(__xludf.DUMMYFUNCTION("GoogleFinance(B26,""price"",today()-183)"),"#N/A")</f>
        <v>#N/A</v>
      </c>
      <c r="AP26" s="576"/>
      <c r="AQ26" s="575" t="str">
        <f ca="1">IFERROR(__xludf.DUMMYFUNCTION("GoogleFinance(B26,""price"",DATE(2024,12,31))"),"Date")</f>
        <v>Date</v>
      </c>
      <c r="AR26" s="576" t="str">
        <f ca="1">IFERROR(__xludf.DUMMYFUNCTION("""COMPUTED_VALUE"""),"Close")</f>
        <v>Close</v>
      </c>
      <c r="AS26" s="396"/>
      <c r="AT26" s="389"/>
      <c r="AU26" s="257"/>
      <c r="AV26" s="257"/>
      <c r="AW26" s="257"/>
      <c r="AX26" s="257"/>
      <c r="AY26" s="268"/>
      <c r="AZ26" s="268"/>
      <c r="BA26" s="257"/>
      <c r="BB26" s="268"/>
      <c r="BC26" s="268"/>
      <c r="BD26" s="268"/>
      <c r="BE26" s="268"/>
      <c r="BF26" s="268"/>
      <c r="BG26" s="257"/>
      <c r="BH26" s="257"/>
      <c r="BI26" s="257"/>
      <c r="BJ26" s="257"/>
      <c r="BK26" s="257"/>
      <c r="BL26" s="257"/>
      <c r="BM26" s="257"/>
      <c r="BN26" s="257"/>
      <c r="BO26" s="257"/>
      <c r="BP26" s="257"/>
      <c r="BQ26" s="268"/>
      <c r="BR26" s="268"/>
      <c r="BS26" s="268"/>
      <c r="BT26" s="268"/>
      <c r="BU26" s="268"/>
      <c r="BV26" s="268"/>
      <c r="BW26" s="268"/>
      <c r="BX26" s="268"/>
      <c r="BY26" s="268"/>
      <c r="BZ26" s="268"/>
      <c r="CA26" s="268"/>
      <c r="CB26" s="268"/>
      <c r="CC26" s="268"/>
      <c r="CD26" s="268"/>
    </row>
    <row r="27" spans="1:82" ht="13.2" hidden="1">
      <c r="A27" s="593" t="e">
        <f t="shared" si="2"/>
        <v>#REF!</v>
      </c>
      <c r="B27" s="594"/>
      <c r="C27" s="595"/>
      <c r="D27" s="594"/>
      <c r="E27" s="594"/>
      <c r="F27" s="594"/>
      <c r="G27" s="594"/>
      <c r="H27" s="596"/>
      <c r="I27" s="596"/>
      <c r="J27" s="596"/>
      <c r="K27" s="596"/>
      <c r="L27" s="596"/>
      <c r="M27" s="596"/>
      <c r="N27" s="517"/>
      <c r="O27" s="597"/>
      <c r="P27" s="596"/>
      <c r="Q27" s="596"/>
      <c r="R27" s="598"/>
      <c r="S27" s="598"/>
      <c r="T27" s="598"/>
      <c r="U27" s="599"/>
      <c r="V27" s="594"/>
      <c r="W27" s="594"/>
      <c r="X27" s="594"/>
      <c r="Y27" s="594"/>
      <c r="Z27" s="594"/>
      <c r="AA27" s="600" t="s">
        <v>93</v>
      </c>
      <c r="AB27" s="601" t="s">
        <v>93</v>
      </c>
      <c r="AC27" s="602"/>
      <c r="AD27" s="602"/>
      <c r="AE27" s="603"/>
      <c r="AF27" s="604"/>
      <c r="AG27" s="604"/>
      <c r="AH27" s="604"/>
      <c r="AI27" s="381">
        <f ca="1">IFERROR(__xludf.DUMMYFUNCTION("""COMPUTED_VALUE"""),45919.6666666666)</f>
        <v>45919.666666666599</v>
      </c>
      <c r="AJ27" s="457">
        <f ca="1">IFERROR(__xludf.DUMMYFUNCTION("""COMPUTED_VALUE"""),166.1)</f>
        <v>166.1</v>
      </c>
      <c r="AK27" s="381">
        <f ca="1">IFERROR(__xludf.DUMMYFUNCTION("""COMPUTED_VALUE"""),45898.6666666666)</f>
        <v>45898.666666666599</v>
      </c>
      <c r="AL27" s="457">
        <f ca="1">IFERROR(__xludf.DUMMYFUNCTION("""COMPUTED_VALUE"""),149.19)</f>
        <v>149.19</v>
      </c>
      <c r="AM27" s="381"/>
      <c r="AN27" s="457"/>
      <c r="AO27" s="381"/>
      <c r="AP27" s="457"/>
      <c r="AQ27" s="381">
        <f ca="1">IFERROR(__xludf.DUMMYFUNCTION("""COMPUTED_VALUE"""),45657.6666666666)</f>
        <v>45657.666666666599</v>
      </c>
      <c r="AR27" s="457">
        <f ca="1">IFERROR(__xludf.DUMMYFUNCTION("""COMPUTED_VALUE"""),200.12)</f>
        <v>200.12</v>
      </c>
      <c r="AS27" s="409"/>
      <c r="AT27" s="409"/>
      <c r="AU27" s="409"/>
      <c r="AV27" s="409"/>
      <c r="AW27" s="605"/>
      <c r="AX27" s="605"/>
      <c r="AY27" s="409"/>
      <c r="AZ27" s="605"/>
      <c r="BA27" s="605"/>
      <c r="BB27" s="605"/>
      <c r="BC27" s="605"/>
      <c r="BD27" s="605"/>
      <c r="BE27" s="409"/>
      <c r="BF27" s="409"/>
      <c r="BG27" s="409"/>
      <c r="BH27" s="409"/>
      <c r="BI27" s="409"/>
      <c r="BJ27" s="409"/>
      <c r="BK27" s="409"/>
      <c r="BL27" s="409"/>
      <c r="BM27" s="409"/>
      <c r="BN27" s="409"/>
      <c r="BO27" s="605"/>
      <c r="BP27" s="605"/>
      <c r="BQ27" s="605"/>
      <c r="BR27" s="605"/>
      <c r="BS27" s="605"/>
      <c r="BT27" s="605"/>
      <c r="BU27" s="605"/>
      <c r="BV27" s="605"/>
      <c r="BW27" s="605"/>
      <c r="BX27" s="605"/>
      <c r="BY27" s="605"/>
      <c r="BZ27" s="605"/>
      <c r="CA27" s="605"/>
      <c r="CB27" s="605"/>
      <c r="CC27" s="605"/>
      <c r="CD27" s="605"/>
    </row>
    <row r="28" spans="1:82" ht="13.2">
      <c r="A28" s="294">
        <f t="shared" si="2"/>
        <v>13</v>
      </c>
      <c r="B28" s="7" t="s">
        <v>355</v>
      </c>
      <c r="C28" s="377" t="str">
        <f ca="1">IFERROR(__xludf.DUMMYFUNCTION("GoogleFinance(B28,""name"")"),"Sibanye Stillwater Ltd")</f>
        <v>Sibanye Stillwater Ltd</v>
      </c>
      <c r="D28" s="378">
        <f ca="1">IFERROR(__xludf.DUMMYFUNCTION("GoogleFinance(B28,""marketcap"")/1000000"),141245.2933)</f>
        <v>141245.29329999999</v>
      </c>
      <c r="E28" s="392" t="s">
        <v>12</v>
      </c>
      <c r="F28" s="392" t="s">
        <v>197</v>
      </c>
      <c r="G28" s="266">
        <v>45797</v>
      </c>
      <c r="H28" s="588">
        <v>11.16</v>
      </c>
      <c r="I28" s="490">
        <v>7</v>
      </c>
      <c r="J28" s="589">
        <v>428.57142857142856</v>
      </c>
      <c r="K28" s="395">
        <v>3000</v>
      </c>
      <c r="L28" s="395">
        <v>3000</v>
      </c>
      <c r="M28" s="395">
        <v>4782.8571428571431</v>
      </c>
      <c r="N28" s="395">
        <v>1782.8571428571431</v>
      </c>
      <c r="O28" s="396">
        <v>0.59428571428571442</v>
      </c>
      <c r="P28" s="571">
        <v>132</v>
      </c>
      <c r="Q28" s="588">
        <v>5</v>
      </c>
      <c r="R28" s="394">
        <v>-0.55197132616487454</v>
      </c>
      <c r="S28" s="393">
        <v>11.5</v>
      </c>
      <c r="T28" s="396">
        <v>3.0465949820788429E-2</v>
      </c>
      <c r="U28" s="299">
        <v>4.6900000000000004E-2</v>
      </c>
      <c r="V28" s="590">
        <v>0.16981132075471717</v>
      </c>
      <c r="W28" s="394">
        <v>0.47424042272126821</v>
      </c>
      <c r="X28" s="394">
        <v>0.54570637119113585</v>
      </c>
      <c r="Y28" s="394">
        <v>1.4366812227074237</v>
      </c>
      <c r="Z28" s="394">
        <v>2.3818181818181818</v>
      </c>
      <c r="AA28" s="571" t="s">
        <v>84</v>
      </c>
      <c r="AB28" s="63" t="s">
        <v>85</v>
      </c>
      <c r="AC28" s="591" t="s">
        <v>85</v>
      </c>
      <c r="AD28" s="591" t="s">
        <v>105</v>
      </c>
      <c r="AE28" s="592"/>
      <c r="AF28" s="396"/>
      <c r="AG28" s="396"/>
      <c r="AH28" s="396"/>
      <c r="AI28" s="575" t="str">
        <f ca="1">IFERROR(__xludf.DUMMYFUNCTION("GoogleFinance(B28,""price"",DATE(2025,9,19))"),"Date")</f>
        <v>Date</v>
      </c>
      <c r="AJ28" s="576" t="str">
        <f ca="1">IFERROR(__xludf.DUMMYFUNCTION("""COMPUTED_VALUE"""),"Close")</f>
        <v>Close</v>
      </c>
      <c r="AK28" s="575" t="str">
        <f ca="1">IFERROR(__xludf.DUMMYFUNCTION("GoogleFinance(B28,""price"",DATE(2025,8,29))"),"Date")</f>
        <v>Date</v>
      </c>
      <c r="AL28" s="576" t="str">
        <f ca="1">IFERROR(__xludf.DUMMYFUNCTION("""COMPUTED_VALUE"""),"Close")</f>
        <v>Close</v>
      </c>
      <c r="AM28" s="575" t="str">
        <f ca="1">IFERROR(__xludf.DUMMYFUNCTION("GoogleFinance(B28,""price"",today()-93)"),"#N/A")</f>
        <v>#N/A</v>
      </c>
      <c r="AN28" s="576"/>
      <c r="AO28" s="575" t="str">
        <f ca="1">IFERROR(__xludf.DUMMYFUNCTION("GoogleFinance(B28,""price"",today()-183)"),"#N/A")</f>
        <v>#N/A</v>
      </c>
      <c r="AP28" s="576"/>
      <c r="AQ28" s="575" t="str">
        <f ca="1">IFERROR(__xludf.DUMMYFUNCTION("GoogleFinance(B28,""price"",DATE(2024,12,31))"),"Date")</f>
        <v>Date</v>
      </c>
      <c r="AR28" s="576" t="str">
        <f ca="1">IFERROR(__xludf.DUMMYFUNCTION("""COMPUTED_VALUE"""),"Close")</f>
        <v>Close</v>
      </c>
      <c r="AS28" s="396"/>
      <c r="AT28" s="389"/>
      <c r="AU28" s="257"/>
      <c r="AV28" s="257"/>
      <c r="AW28" s="257"/>
      <c r="AX28" s="257"/>
      <c r="AY28" s="268"/>
      <c r="AZ28" s="268"/>
      <c r="BA28" s="257"/>
      <c r="BB28" s="268"/>
      <c r="BC28" s="268"/>
      <c r="BD28" s="268"/>
      <c r="BE28" s="268"/>
      <c r="BF28" s="268"/>
      <c r="BG28" s="257"/>
      <c r="BH28" s="257"/>
      <c r="BI28" s="257"/>
      <c r="BJ28" s="257"/>
      <c r="BK28" s="257"/>
      <c r="BL28" s="257"/>
      <c r="BM28" s="257"/>
      <c r="BN28" s="257"/>
      <c r="BO28" s="257"/>
      <c r="BP28" s="257"/>
      <c r="BQ28" s="268"/>
      <c r="BR28" s="268"/>
      <c r="BS28" s="268"/>
      <c r="BT28" s="268"/>
      <c r="BU28" s="268"/>
      <c r="BV28" s="268"/>
      <c r="BW28" s="268"/>
      <c r="BX28" s="268"/>
      <c r="BY28" s="268"/>
      <c r="BZ28" s="268"/>
      <c r="CA28" s="268"/>
      <c r="CB28" s="268"/>
      <c r="CC28" s="268"/>
      <c r="CD28" s="268"/>
    </row>
    <row r="29" spans="1:82" ht="13.2" hidden="1">
      <c r="A29" s="294" t="e">
        <f>A19+1</f>
        <v>#REF!</v>
      </c>
      <c r="B29" s="606"/>
      <c r="C29" s="607"/>
      <c r="D29" s="606"/>
      <c r="E29" s="606"/>
      <c r="F29" s="606"/>
      <c r="G29" s="606"/>
      <c r="H29" s="608"/>
      <c r="I29" s="608"/>
      <c r="J29" s="608"/>
      <c r="K29" s="608"/>
      <c r="L29" s="608"/>
      <c r="M29" s="608"/>
      <c r="N29" s="384"/>
      <c r="O29" s="582"/>
      <c r="P29" s="608"/>
      <c r="Q29" s="608"/>
      <c r="R29" s="609"/>
      <c r="S29" s="609"/>
      <c r="T29" s="609"/>
      <c r="U29" s="610"/>
      <c r="V29" s="606"/>
      <c r="W29" s="606"/>
      <c r="X29" s="606"/>
      <c r="Y29" s="606"/>
      <c r="Z29" s="606"/>
      <c r="AA29" s="571" t="s">
        <v>93</v>
      </c>
      <c r="AB29" s="63" t="s">
        <v>93</v>
      </c>
      <c r="AC29" s="611"/>
      <c r="AD29" s="611"/>
      <c r="AE29" s="612"/>
      <c r="AF29" s="396"/>
      <c r="AG29" s="396"/>
      <c r="AH29" s="396"/>
      <c r="AI29" s="380">
        <f ca="1">IFERROR(__xludf.DUMMYFUNCTION("""COMPUTED_VALUE"""),45919.6666666666)</f>
        <v>45919.666666666599</v>
      </c>
      <c r="AJ29" s="389">
        <f ca="1">IFERROR(__xludf.DUMMYFUNCTION("""COMPUTED_VALUE"""),9.54)</f>
        <v>9.5399999999999991</v>
      </c>
      <c r="AK29" s="380">
        <f ca="1">IFERROR(__xludf.DUMMYFUNCTION("""COMPUTED_VALUE"""),45898.6666666666)</f>
        <v>45898.666666666599</v>
      </c>
      <c r="AL29" s="389">
        <f ca="1">IFERROR(__xludf.DUMMYFUNCTION("""COMPUTED_VALUE"""),7.57)</f>
        <v>7.57</v>
      </c>
      <c r="AM29" s="380"/>
      <c r="AN29" s="389"/>
      <c r="AO29" s="380"/>
      <c r="AP29" s="389"/>
      <c r="AQ29" s="380">
        <f ca="1">IFERROR(__xludf.DUMMYFUNCTION("""COMPUTED_VALUE"""),45657.6666666666)</f>
        <v>45657.666666666599</v>
      </c>
      <c r="AR29" s="389">
        <f ca="1">IFERROR(__xludf.DUMMYFUNCTION("""COMPUTED_VALUE"""),3.3)</f>
        <v>3.3</v>
      </c>
      <c r="AS29" s="613"/>
      <c r="AT29" s="613"/>
      <c r="AU29" s="613"/>
      <c r="AV29" s="613"/>
      <c r="AW29" s="614"/>
      <c r="AX29" s="614"/>
      <c r="AY29" s="613"/>
      <c r="AZ29" s="614"/>
      <c r="BA29" s="614"/>
      <c r="BB29" s="614"/>
      <c r="BC29" s="614"/>
      <c r="BD29" s="614"/>
      <c r="BE29" s="613"/>
      <c r="BF29" s="613"/>
      <c r="BG29" s="613"/>
      <c r="BH29" s="613"/>
      <c r="BI29" s="613"/>
      <c r="BJ29" s="613"/>
      <c r="BK29" s="613"/>
      <c r="BL29" s="613"/>
      <c r="BM29" s="613"/>
      <c r="BN29" s="613"/>
      <c r="BO29" s="614"/>
      <c r="BP29" s="614"/>
      <c r="BQ29" s="614"/>
      <c r="BR29" s="614"/>
      <c r="BS29" s="614"/>
      <c r="BT29" s="614"/>
      <c r="BU29" s="614"/>
      <c r="BV29" s="614"/>
      <c r="BW29" s="614"/>
      <c r="BX29" s="614"/>
      <c r="BY29" s="614"/>
      <c r="BZ29" s="614"/>
      <c r="CA29" s="614"/>
      <c r="CB29" s="614"/>
      <c r="CC29" s="614"/>
      <c r="CD29" s="614"/>
    </row>
    <row r="30" spans="1:82" ht="13.2">
      <c r="A30" s="294">
        <f t="shared" ref="A30:A40" si="3">A28+1</f>
        <v>14</v>
      </c>
      <c r="B30" s="7" t="s">
        <v>29</v>
      </c>
      <c r="C30" s="377" t="str">
        <f ca="1">IFERROR(__xludf.DUMMYFUNCTION("GoogleFinance(B30,""name"")"),"Global X Lithium &amp; Battery Tech ETF")</f>
        <v>Global X Lithium &amp; Battery Tech ETF</v>
      </c>
      <c r="D30" s="378" t="str">
        <f ca="1">IFERROR(__xludf.DUMMYFUNCTION("GoogleFinance(B30,""marketcap"")/1000000"),"#N/A")</f>
        <v>#N/A</v>
      </c>
      <c r="E30" s="392" t="s">
        <v>12</v>
      </c>
      <c r="F30" s="392" t="s">
        <v>30</v>
      </c>
      <c r="G30" s="266">
        <v>45873</v>
      </c>
      <c r="H30" s="588">
        <v>55.55</v>
      </c>
      <c r="I30" s="490">
        <v>41.3</v>
      </c>
      <c r="J30" s="589">
        <v>193.7046004842615</v>
      </c>
      <c r="K30" s="395">
        <v>8000</v>
      </c>
      <c r="L30" s="395">
        <v>8000</v>
      </c>
      <c r="M30" s="395">
        <v>10760.290556900725</v>
      </c>
      <c r="N30" s="395">
        <v>2760.2905569007253</v>
      </c>
      <c r="O30" s="396">
        <v>0.34503631961259068</v>
      </c>
      <c r="P30" s="571">
        <v>56</v>
      </c>
      <c r="Q30" s="588">
        <v>35</v>
      </c>
      <c r="R30" s="394">
        <v>-0.36993699369936994</v>
      </c>
      <c r="S30" s="393">
        <v>60</v>
      </c>
      <c r="T30" s="396">
        <v>8.0108010801080098E-2</v>
      </c>
      <c r="U30" s="299">
        <v>-7.0999999999999995E-3</v>
      </c>
      <c r="V30" s="590">
        <v>5.108798486281918E-2</v>
      </c>
      <c r="W30" s="394">
        <v>0.17045933417614823</v>
      </c>
      <c r="X30" s="394">
        <v>0.44661458333333326</v>
      </c>
      <c r="Y30" s="394">
        <v>0.43170103092783507</v>
      </c>
      <c r="Z30" s="394">
        <v>0.3621873467385972</v>
      </c>
      <c r="AA30" s="571" t="s">
        <v>84</v>
      </c>
      <c r="AB30" s="63" t="s">
        <v>85</v>
      </c>
      <c r="AC30" s="591" t="s">
        <v>85</v>
      </c>
      <c r="AD30" s="591" t="s">
        <v>105</v>
      </c>
      <c r="AE30" s="592"/>
      <c r="AF30" s="396"/>
      <c r="AG30" s="396"/>
      <c r="AH30" s="396"/>
      <c r="AI30" s="575" t="str">
        <f ca="1">IFERROR(__xludf.DUMMYFUNCTION("GoogleFinance(B30,""price"",DATE(2025,9,19))"),"Date")</f>
        <v>Date</v>
      </c>
      <c r="AJ30" s="576" t="str">
        <f ca="1">IFERROR(__xludf.DUMMYFUNCTION("""COMPUTED_VALUE"""),"Close")</f>
        <v>Close</v>
      </c>
      <c r="AK30" s="575" t="str">
        <f ca="1">IFERROR(__xludf.DUMMYFUNCTION("GoogleFinance(B30,""price"",DATE(2025,8,29))"),"Date")</f>
        <v>Date</v>
      </c>
      <c r="AL30" s="576" t="str">
        <f ca="1">IFERROR(__xludf.DUMMYFUNCTION("""COMPUTED_VALUE"""),"Close")</f>
        <v>Close</v>
      </c>
      <c r="AM30" s="575" t="str">
        <f ca="1">IFERROR(__xludf.DUMMYFUNCTION("GoogleFinance(B30,""price"",today()-93)"),"#N/A")</f>
        <v>#N/A</v>
      </c>
      <c r="AN30" s="576"/>
      <c r="AO30" s="575" t="str">
        <f ca="1">IFERROR(__xludf.DUMMYFUNCTION("GoogleFinance(B30,""price"",today()-183)"),"#N/A")</f>
        <v>#N/A</v>
      </c>
      <c r="AP30" s="576"/>
      <c r="AQ30" s="575" t="str">
        <f ca="1">IFERROR(__xludf.DUMMYFUNCTION("GoogleFinance(B30,""price"",DATE(2024,12,31))"),"Date")</f>
        <v>Date</v>
      </c>
      <c r="AR30" s="576" t="str">
        <f ca="1">IFERROR(__xludf.DUMMYFUNCTION("""COMPUTED_VALUE"""),"Close")</f>
        <v>Close</v>
      </c>
      <c r="AS30" s="396"/>
      <c r="AT30" s="389"/>
      <c r="AU30" s="257"/>
      <c r="AV30" s="257"/>
      <c r="AW30" s="257"/>
      <c r="AX30" s="257"/>
      <c r="AY30" s="268"/>
      <c r="AZ30" s="268"/>
      <c r="BA30" s="257"/>
      <c r="BB30" s="268"/>
      <c r="BC30" s="268"/>
      <c r="BD30" s="268"/>
      <c r="BE30" s="268"/>
      <c r="BF30" s="268"/>
      <c r="BG30" s="257"/>
      <c r="BH30" s="257"/>
      <c r="BI30" s="257"/>
      <c r="BJ30" s="257"/>
      <c r="BK30" s="257"/>
      <c r="BL30" s="257"/>
      <c r="BM30" s="257"/>
      <c r="BN30" s="257"/>
      <c r="BO30" s="257"/>
      <c r="BP30" s="257"/>
      <c r="BQ30" s="268"/>
      <c r="BR30" s="268"/>
      <c r="BS30" s="268"/>
      <c r="BT30" s="268"/>
      <c r="BU30" s="268"/>
      <c r="BV30" s="268"/>
      <c r="BW30" s="268"/>
      <c r="BX30" s="268"/>
      <c r="BY30" s="268"/>
      <c r="BZ30" s="268"/>
      <c r="CA30" s="268"/>
      <c r="CB30" s="268"/>
      <c r="CC30" s="268"/>
      <c r="CD30" s="268"/>
    </row>
    <row r="31" spans="1:82" ht="13.2" hidden="1">
      <c r="A31" s="294" t="e">
        <f t="shared" si="3"/>
        <v>#REF!</v>
      </c>
      <c r="B31" s="606"/>
      <c r="C31" s="607"/>
      <c r="D31" s="606"/>
      <c r="E31" s="606"/>
      <c r="F31" s="606"/>
      <c r="G31" s="606"/>
      <c r="H31" s="608"/>
      <c r="I31" s="608"/>
      <c r="J31" s="608"/>
      <c r="K31" s="608"/>
      <c r="L31" s="608"/>
      <c r="M31" s="608"/>
      <c r="N31" s="384"/>
      <c r="O31" s="582"/>
      <c r="P31" s="608"/>
      <c r="Q31" s="608"/>
      <c r="R31" s="609"/>
      <c r="S31" s="609"/>
      <c r="T31" s="609"/>
      <c r="U31" s="610"/>
      <c r="V31" s="606"/>
      <c r="W31" s="606"/>
      <c r="X31" s="606"/>
      <c r="Y31" s="606"/>
      <c r="Z31" s="606"/>
      <c r="AA31" s="571" t="s">
        <v>93</v>
      </c>
      <c r="AB31" s="63" t="s">
        <v>93</v>
      </c>
      <c r="AC31" s="611"/>
      <c r="AD31" s="611"/>
      <c r="AE31" s="612"/>
      <c r="AF31" s="396"/>
      <c r="AG31" s="396"/>
      <c r="AH31" s="396"/>
      <c r="AI31" s="380">
        <f ca="1">IFERROR(__xludf.DUMMYFUNCTION("""COMPUTED_VALUE"""),45919.6666666666)</f>
        <v>45919.666666666599</v>
      </c>
      <c r="AJ31" s="389">
        <f ca="1">IFERROR(__xludf.DUMMYFUNCTION("""COMPUTED_VALUE"""),52.85)</f>
        <v>52.85</v>
      </c>
      <c r="AK31" s="380">
        <f ca="1">IFERROR(__xludf.DUMMYFUNCTION("""COMPUTED_VALUE"""),45898.6666666666)</f>
        <v>45898.666666666599</v>
      </c>
      <c r="AL31" s="389">
        <f ca="1">IFERROR(__xludf.DUMMYFUNCTION("""COMPUTED_VALUE"""),47.46)</f>
        <v>47.46</v>
      </c>
      <c r="AM31" s="380"/>
      <c r="AN31" s="389"/>
      <c r="AO31" s="380"/>
      <c r="AP31" s="389"/>
      <c r="AQ31" s="380">
        <f ca="1">IFERROR(__xludf.DUMMYFUNCTION("""COMPUTED_VALUE"""),45657.6666666666)</f>
        <v>45657.666666666599</v>
      </c>
      <c r="AR31" s="389">
        <f ca="1">IFERROR(__xludf.DUMMYFUNCTION("""COMPUTED_VALUE"""),40.78)</f>
        <v>40.78</v>
      </c>
      <c r="AS31" s="613"/>
      <c r="AT31" s="613"/>
      <c r="AU31" s="613"/>
      <c r="AV31" s="613"/>
      <c r="AW31" s="614"/>
      <c r="AX31" s="614"/>
      <c r="AY31" s="613"/>
      <c r="AZ31" s="614"/>
      <c r="BA31" s="614"/>
      <c r="BB31" s="614"/>
      <c r="BC31" s="614"/>
      <c r="BD31" s="614"/>
      <c r="BE31" s="613"/>
      <c r="BF31" s="613"/>
      <c r="BG31" s="613"/>
      <c r="BH31" s="613"/>
      <c r="BI31" s="613"/>
      <c r="BJ31" s="613"/>
      <c r="BK31" s="613"/>
      <c r="BL31" s="613"/>
      <c r="BM31" s="613"/>
      <c r="BN31" s="613"/>
      <c r="BO31" s="614"/>
      <c r="BP31" s="614"/>
      <c r="BQ31" s="614"/>
      <c r="BR31" s="614"/>
      <c r="BS31" s="614"/>
      <c r="BT31" s="614"/>
      <c r="BU31" s="614"/>
      <c r="BV31" s="614"/>
      <c r="BW31" s="614"/>
      <c r="BX31" s="614"/>
      <c r="BY31" s="614"/>
      <c r="BZ31" s="614"/>
      <c r="CA31" s="614"/>
      <c r="CB31" s="614"/>
      <c r="CC31" s="614"/>
      <c r="CD31" s="614"/>
    </row>
    <row r="32" spans="1:82" ht="13.2">
      <c r="A32" s="294">
        <f t="shared" si="3"/>
        <v>15</v>
      </c>
      <c r="B32" s="7" t="s">
        <v>356</v>
      </c>
      <c r="C32" s="377" t="str">
        <f ca="1">IFERROR(__xludf.DUMMYFUNCTION("GoogleFinance(B32,""name"")"),"VanEck Rare Earth and Strategic Metals ETF")</f>
        <v>VanEck Rare Earth and Strategic Metals ETF</v>
      </c>
      <c r="D32" s="378" t="str">
        <f ca="1">IFERROR(__xludf.DUMMYFUNCTION("GoogleFinance(B32,""marketcap"")/1000000"),"#N/A")</f>
        <v>#N/A</v>
      </c>
      <c r="E32" s="392" t="s">
        <v>12</v>
      </c>
      <c r="F32" s="392" t="s">
        <v>357</v>
      </c>
      <c r="G32" s="266">
        <v>45909</v>
      </c>
      <c r="H32" s="588">
        <v>65.849999999999994</v>
      </c>
      <c r="I32" s="490">
        <v>60</v>
      </c>
      <c r="J32" s="589">
        <v>33.333333333333336</v>
      </c>
      <c r="K32" s="395">
        <v>2000.0000000000002</v>
      </c>
      <c r="L32" s="395">
        <v>2000.0000000000002</v>
      </c>
      <c r="M32" s="395">
        <v>2195</v>
      </c>
      <c r="N32" s="395">
        <v>194.99999999999977</v>
      </c>
      <c r="O32" s="396">
        <v>9.7499999999999878E-2</v>
      </c>
      <c r="P32" s="571">
        <v>20</v>
      </c>
      <c r="Q32" s="588">
        <v>48</v>
      </c>
      <c r="R32" s="394">
        <v>-0.27107061503416852</v>
      </c>
      <c r="S32" s="393">
        <v>77</v>
      </c>
      <c r="T32" s="396">
        <v>0.16932422171602135</v>
      </c>
      <c r="U32" s="299">
        <v>-1.67E-2</v>
      </c>
      <c r="V32" s="590">
        <v>6.1240934730056429E-2</v>
      </c>
      <c r="W32" s="394">
        <v>4.4078008561915238E-2</v>
      </c>
      <c r="X32" s="394">
        <v>0.62272055199605703</v>
      </c>
      <c r="Y32" s="394">
        <v>0.66582342524664795</v>
      </c>
      <c r="Z32" s="394">
        <v>0.68802871058702886</v>
      </c>
      <c r="AA32" s="571" t="s">
        <v>84</v>
      </c>
      <c r="AB32" s="63" t="s">
        <v>85</v>
      </c>
      <c r="AC32" s="591" t="s">
        <v>85</v>
      </c>
      <c r="AD32" s="591" t="s">
        <v>105</v>
      </c>
      <c r="AE32" s="592"/>
      <c r="AF32" s="396"/>
      <c r="AG32" s="396"/>
      <c r="AH32" s="396"/>
      <c r="AI32" s="575" t="str">
        <f ca="1">IFERROR(__xludf.DUMMYFUNCTION("GoogleFinance(B32,""price"",DATE(2025,9,19))"),"Date")</f>
        <v>Date</v>
      </c>
      <c r="AJ32" s="576" t="str">
        <f ca="1">IFERROR(__xludf.DUMMYFUNCTION("""COMPUTED_VALUE"""),"Close")</f>
        <v>Close</v>
      </c>
      <c r="AK32" s="575" t="str">
        <f ca="1">IFERROR(__xludf.DUMMYFUNCTION("GoogleFinance(B32,""price"",DATE(2025,8,29))"),"Date")</f>
        <v>Date</v>
      </c>
      <c r="AL32" s="576" t="str">
        <f ca="1">IFERROR(__xludf.DUMMYFUNCTION("""COMPUTED_VALUE"""),"Close")</f>
        <v>Close</v>
      </c>
      <c r="AM32" s="575" t="str">
        <f ca="1">IFERROR(__xludf.DUMMYFUNCTION("GoogleFinance(B32,""price"",today()-93)"),"#N/A")</f>
        <v>#N/A</v>
      </c>
      <c r="AN32" s="576"/>
      <c r="AO32" s="575" t="str">
        <f ca="1">IFERROR(__xludf.DUMMYFUNCTION("GoogleFinance(B32,""price"",today()-183)"),"#N/A")</f>
        <v>#N/A</v>
      </c>
      <c r="AP32" s="576"/>
      <c r="AQ32" s="575" t="str">
        <f ca="1">IFERROR(__xludf.DUMMYFUNCTION("GoogleFinance(B32,""price"",DATE(2024,12,31))"),"Date")</f>
        <v>Date</v>
      </c>
      <c r="AR32" s="576" t="str">
        <f ca="1">IFERROR(__xludf.DUMMYFUNCTION("""COMPUTED_VALUE"""),"Close")</f>
        <v>Close</v>
      </c>
      <c r="AS32" s="396"/>
      <c r="AT32" s="389"/>
      <c r="AU32" s="257"/>
      <c r="AV32" s="257"/>
      <c r="AW32" s="257"/>
      <c r="AX32" s="257"/>
      <c r="AY32" s="268"/>
      <c r="AZ32" s="268"/>
      <c r="BA32" s="257"/>
      <c r="BB32" s="268"/>
      <c r="BC32" s="268"/>
      <c r="BD32" s="268"/>
      <c r="BE32" s="268"/>
      <c r="BF32" s="268"/>
      <c r="BG32" s="257"/>
      <c r="BH32" s="257"/>
      <c r="BI32" s="257"/>
      <c r="BJ32" s="257"/>
      <c r="BK32" s="257"/>
      <c r="BL32" s="257"/>
      <c r="BM32" s="257"/>
      <c r="BN32" s="257"/>
      <c r="BO32" s="257"/>
      <c r="BP32" s="257"/>
      <c r="BQ32" s="268"/>
      <c r="BR32" s="268"/>
      <c r="BS32" s="268"/>
      <c r="BT32" s="268"/>
      <c r="BU32" s="268"/>
      <c r="BV32" s="268"/>
      <c r="BW32" s="268"/>
      <c r="BX32" s="268"/>
      <c r="BY32" s="268"/>
      <c r="BZ32" s="268"/>
      <c r="CA32" s="268"/>
      <c r="CB32" s="268"/>
      <c r="CC32" s="268"/>
      <c r="CD32" s="268"/>
    </row>
    <row r="33" spans="1:82" ht="13.2" hidden="1">
      <c r="A33" s="593" t="e">
        <f t="shared" si="3"/>
        <v>#REF!</v>
      </c>
      <c r="B33" s="615"/>
      <c r="C33" s="616"/>
      <c r="D33" s="615"/>
      <c r="E33" s="615"/>
      <c r="F33" s="615"/>
      <c r="G33" s="615"/>
      <c r="H33" s="617"/>
      <c r="I33" s="617"/>
      <c r="J33" s="617"/>
      <c r="K33" s="617"/>
      <c r="L33" s="617"/>
      <c r="M33" s="617"/>
      <c r="N33" s="421"/>
      <c r="O33" s="597"/>
      <c r="P33" s="617"/>
      <c r="Q33" s="617"/>
      <c r="R33" s="618"/>
      <c r="S33" s="618"/>
      <c r="T33" s="618"/>
      <c r="U33" s="619"/>
      <c r="V33" s="615"/>
      <c r="W33" s="615"/>
      <c r="X33" s="615"/>
      <c r="Y33" s="615"/>
      <c r="Z33" s="615"/>
      <c r="AA33" s="600" t="s">
        <v>93</v>
      </c>
      <c r="AB33" s="601" t="s">
        <v>93</v>
      </c>
      <c r="AC33" s="620"/>
      <c r="AD33" s="620"/>
      <c r="AE33" s="621"/>
      <c r="AF33" s="622"/>
      <c r="AG33" s="622"/>
      <c r="AH33" s="622"/>
      <c r="AI33" s="414">
        <f ca="1">IFERROR(__xludf.DUMMYFUNCTION("""COMPUTED_VALUE"""),45919.6666666666)</f>
        <v>45919.666666666599</v>
      </c>
      <c r="AJ33" s="623">
        <f ca="1">IFERROR(__xludf.DUMMYFUNCTION("""COMPUTED_VALUE"""),62.05)</f>
        <v>62.05</v>
      </c>
      <c r="AK33" s="414">
        <f ca="1">IFERROR(__xludf.DUMMYFUNCTION("""COMPUTED_VALUE"""),45898.6666666666)</f>
        <v>45898.666666666599</v>
      </c>
      <c r="AL33" s="623">
        <f ca="1">IFERROR(__xludf.DUMMYFUNCTION("""COMPUTED_VALUE"""),63.07)</f>
        <v>63.07</v>
      </c>
      <c r="AM33" s="414"/>
      <c r="AN33" s="623"/>
      <c r="AO33" s="414"/>
      <c r="AP33" s="623"/>
      <c r="AQ33" s="414">
        <f ca="1">IFERROR(__xludf.DUMMYFUNCTION("""COMPUTED_VALUE"""),45657.6666666666)</f>
        <v>45657.666666666599</v>
      </c>
      <c r="AR33" s="623">
        <f ca="1">IFERROR(__xludf.DUMMYFUNCTION("""COMPUTED_VALUE"""),39.01)</f>
        <v>39.01</v>
      </c>
      <c r="AS33" s="624"/>
      <c r="AT33" s="624"/>
      <c r="AU33" s="624"/>
      <c r="AV33" s="624"/>
      <c r="AW33" s="625"/>
      <c r="AX33" s="625"/>
      <c r="AY33" s="624"/>
      <c r="AZ33" s="625"/>
      <c r="BA33" s="625"/>
      <c r="BB33" s="625"/>
      <c r="BC33" s="625"/>
      <c r="BD33" s="625"/>
      <c r="BE33" s="624"/>
      <c r="BF33" s="624"/>
      <c r="BG33" s="624"/>
      <c r="BH33" s="624"/>
      <c r="BI33" s="624"/>
      <c r="BJ33" s="624"/>
      <c r="BK33" s="624"/>
      <c r="BL33" s="624"/>
      <c r="BM33" s="624"/>
      <c r="BN33" s="624"/>
      <c r="BO33" s="625"/>
      <c r="BP33" s="625"/>
      <c r="BQ33" s="625"/>
      <c r="BR33" s="625"/>
      <c r="BS33" s="625"/>
      <c r="BT33" s="625"/>
      <c r="BU33" s="625"/>
      <c r="BV33" s="625"/>
      <c r="BW33" s="625"/>
      <c r="BX33" s="625"/>
      <c r="BY33" s="625"/>
      <c r="BZ33" s="625"/>
      <c r="CA33" s="625"/>
      <c r="CB33" s="625"/>
      <c r="CC33" s="625"/>
      <c r="CD33" s="625"/>
    </row>
    <row r="34" spans="1:82" ht="13.2">
      <c r="A34" s="294">
        <f t="shared" si="3"/>
        <v>16</v>
      </c>
      <c r="B34" s="7" t="s">
        <v>358</v>
      </c>
      <c r="C34" s="377" t="str">
        <f ca="1">IFERROR(__xludf.DUMMYFUNCTION("GoogleFinance(B34,""name"")"),"USA Rare Earth Inc")</f>
        <v>USA Rare Earth Inc</v>
      </c>
      <c r="D34" s="378">
        <f ca="1">IFERROR(__xludf.DUMMYFUNCTION("GoogleFinance(B34,""marketcap"")/1000000"),1687.924581)</f>
        <v>1687.924581</v>
      </c>
      <c r="E34" s="392" t="s">
        <v>12</v>
      </c>
      <c r="F34" s="392" t="s">
        <v>357</v>
      </c>
      <c r="G34" s="266">
        <v>45894</v>
      </c>
      <c r="H34" s="588">
        <v>17.329999999999998</v>
      </c>
      <c r="I34" s="490">
        <v>16.3</v>
      </c>
      <c r="J34" s="589">
        <v>61.349693251533736</v>
      </c>
      <c r="K34" s="395">
        <v>1000</v>
      </c>
      <c r="L34" s="395">
        <v>1000</v>
      </c>
      <c r="M34" s="395">
        <v>1063.1901840490796</v>
      </c>
      <c r="N34" s="395">
        <v>63.190184049079562</v>
      </c>
      <c r="O34" s="396">
        <v>6.3190184049079556E-2</v>
      </c>
      <c r="P34" s="571">
        <v>35</v>
      </c>
      <c r="Q34" s="588">
        <v>10</v>
      </c>
      <c r="R34" s="394">
        <v>-0.42296595499134448</v>
      </c>
      <c r="S34" s="393">
        <v>48</v>
      </c>
      <c r="T34" s="396">
        <v>1.7697634160415467</v>
      </c>
      <c r="U34" s="299">
        <v>-4.7599999999999996E-2</v>
      </c>
      <c r="V34" s="590">
        <v>6.646153846153835E-2</v>
      </c>
      <c r="W34" s="394">
        <v>0.1615281501340482</v>
      </c>
      <c r="X34" s="394">
        <v>0.58120437956204363</v>
      </c>
      <c r="Y34" s="394">
        <v>1.9175084175084169</v>
      </c>
      <c r="Z34" s="394">
        <v>0.5095818815331008</v>
      </c>
      <c r="AA34" s="571" t="s">
        <v>84</v>
      </c>
      <c r="AB34" s="63" t="s">
        <v>85</v>
      </c>
      <c r="AC34" s="591" t="s">
        <v>85</v>
      </c>
      <c r="AD34" s="591" t="s">
        <v>105</v>
      </c>
      <c r="AE34" s="592"/>
      <c r="AF34" s="396"/>
      <c r="AG34" s="396"/>
      <c r="AH34" s="396"/>
      <c r="AI34" s="575" t="str">
        <f ca="1">IFERROR(__xludf.DUMMYFUNCTION("GoogleFinance(B34,""price"",DATE(2025,9,19))"),"Date")</f>
        <v>Date</v>
      </c>
      <c r="AJ34" s="576" t="str">
        <f ca="1">IFERROR(__xludf.DUMMYFUNCTION("""COMPUTED_VALUE"""),"Close")</f>
        <v>Close</v>
      </c>
      <c r="AK34" s="575" t="str">
        <f ca="1">IFERROR(__xludf.DUMMYFUNCTION("GoogleFinance(B34,""price"",DATE(2025,8,29))"),"Date")</f>
        <v>Date</v>
      </c>
      <c r="AL34" s="576" t="str">
        <f ca="1">IFERROR(__xludf.DUMMYFUNCTION("""COMPUTED_VALUE"""),"Close")</f>
        <v>Close</v>
      </c>
      <c r="AM34" s="575" t="str">
        <f ca="1">IFERROR(__xludf.DUMMYFUNCTION("GoogleFinance(B34,""price"",today()-93)"),"#N/A")</f>
        <v>#N/A</v>
      </c>
      <c r="AN34" s="576"/>
      <c r="AO34" s="575" t="str">
        <f ca="1">IFERROR(__xludf.DUMMYFUNCTION("GoogleFinance(B34,""price"",today()-183)"),"#N/A")</f>
        <v>#N/A</v>
      </c>
      <c r="AP34" s="576"/>
      <c r="AQ34" s="575" t="str">
        <f ca="1">IFERROR(__xludf.DUMMYFUNCTION("GoogleFinance(B34,""price"",DATE(2024,12,31))"),"Date")</f>
        <v>Date</v>
      </c>
      <c r="AR34" s="576" t="str">
        <f ca="1">IFERROR(__xludf.DUMMYFUNCTION("""COMPUTED_VALUE"""),"Close")</f>
        <v>Close</v>
      </c>
      <c r="AS34" s="396"/>
      <c r="AT34" s="389"/>
      <c r="AU34" s="257"/>
      <c r="AV34" s="257"/>
      <c r="AW34" s="257"/>
      <c r="AX34" s="257"/>
      <c r="AY34" s="268"/>
      <c r="AZ34" s="268"/>
      <c r="BA34" s="257"/>
      <c r="BB34" s="268"/>
      <c r="BC34" s="268"/>
      <c r="BD34" s="268"/>
      <c r="BE34" s="268"/>
      <c r="BF34" s="268"/>
      <c r="BG34" s="257"/>
      <c r="BH34" s="257"/>
      <c r="BI34" s="257"/>
      <c r="BJ34" s="257"/>
      <c r="BK34" s="257"/>
      <c r="BL34" s="257"/>
      <c r="BM34" s="257"/>
      <c r="BN34" s="257"/>
      <c r="BO34" s="257"/>
      <c r="BP34" s="257"/>
      <c r="BQ34" s="268"/>
      <c r="BR34" s="268"/>
      <c r="BS34" s="268"/>
      <c r="BT34" s="268"/>
      <c r="BU34" s="268"/>
      <c r="BV34" s="268"/>
      <c r="BW34" s="268"/>
      <c r="BX34" s="268"/>
      <c r="BY34" s="268"/>
      <c r="BZ34" s="268"/>
      <c r="CA34" s="268"/>
      <c r="CB34" s="268"/>
      <c r="CC34" s="268"/>
      <c r="CD34" s="268"/>
    </row>
    <row r="35" spans="1:82" ht="13.2" hidden="1">
      <c r="A35" s="593" t="e">
        <f t="shared" si="3"/>
        <v>#REF!</v>
      </c>
      <c r="B35" s="615"/>
      <c r="C35" s="616"/>
      <c r="D35" s="615"/>
      <c r="E35" s="615"/>
      <c r="F35" s="615"/>
      <c r="G35" s="615"/>
      <c r="H35" s="617"/>
      <c r="I35" s="617"/>
      <c r="J35" s="617"/>
      <c r="K35" s="617"/>
      <c r="L35" s="617"/>
      <c r="M35" s="617"/>
      <c r="N35" s="421"/>
      <c r="O35" s="597"/>
      <c r="P35" s="617"/>
      <c r="Q35" s="617"/>
      <c r="R35" s="618"/>
      <c r="S35" s="618"/>
      <c r="T35" s="618"/>
      <c r="U35" s="619"/>
      <c r="V35" s="615"/>
      <c r="W35" s="615"/>
      <c r="X35" s="615"/>
      <c r="Y35" s="615"/>
      <c r="Z35" s="615"/>
      <c r="AA35" s="600" t="s">
        <v>93</v>
      </c>
      <c r="AB35" s="601" t="s">
        <v>93</v>
      </c>
      <c r="AC35" s="620"/>
      <c r="AD35" s="620"/>
      <c r="AE35" s="621"/>
      <c r="AF35" s="622"/>
      <c r="AG35" s="622"/>
      <c r="AH35" s="622"/>
      <c r="AI35" s="414">
        <f ca="1">IFERROR(__xludf.DUMMYFUNCTION("""COMPUTED_VALUE"""),45919.6666666666)</f>
        <v>45919.666666666599</v>
      </c>
      <c r="AJ35" s="623">
        <f ca="1">IFERROR(__xludf.DUMMYFUNCTION("""COMPUTED_VALUE"""),16.25)</f>
        <v>16.25</v>
      </c>
      <c r="AK35" s="414">
        <f ca="1">IFERROR(__xludf.DUMMYFUNCTION("""COMPUTED_VALUE"""),45898.6666666666)</f>
        <v>45898.666666666599</v>
      </c>
      <c r="AL35" s="623">
        <f ca="1">IFERROR(__xludf.DUMMYFUNCTION("""COMPUTED_VALUE"""),14.92)</f>
        <v>14.92</v>
      </c>
      <c r="AM35" s="414"/>
      <c r="AN35" s="623"/>
      <c r="AO35" s="414"/>
      <c r="AP35" s="623"/>
      <c r="AQ35" s="414">
        <f ca="1">IFERROR(__xludf.DUMMYFUNCTION("""COMPUTED_VALUE"""),45657.6666666666)</f>
        <v>45657.666666666599</v>
      </c>
      <c r="AR35" s="623">
        <f ca="1">IFERROR(__xludf.DUMMYFUNCTION("""COMPUTED_VALUE"""),11.48)</f>
        <v>11.48</v>
      </c>
      <c r="AS35" s="624"/>
      <c r="AT35" s="624"/>
      <c r="AU35" s="624"/>
      <c r="AV35" s="624"/>
      <c r="AW35" s="625"/>
      <c r="AX35" s="625"/>
      <c r="AY35" s="624"/>
      <c r="AZ35" s="625"/>
      <c r="BA35" s="625"/>
      <c r="BB35" s="625"/>
      <c r="BC35" s="625"/>
      <c r="BD35" s="625"/>
      <c r="BE35" s="624"/>
      <c r="BF35" s="624"/>
      <c r="BG35" s="624"/>
      <c r="BH35" s="624"/>
      <c r="BI35" s="624"/>
      <c r="BJ35" s="624"/>
      <c r="BK35" s="624"/>
      <c r="BL35" s="624"/>
      <c r="BM35" s="624"/>
      <c r="BN35" s="624"/>
      <c r="BO35" s="625"/>
      <c r="BP35" s="625"/>
      <c r="BQ35" s="625"/>
      <c r="BR35" s="625"/>
      <c r="BS35" s="625"/>
      <c r="BT35" s="625"/>
      <c r="BU35" s="625"/>
      <c r="BV35" s="625"/>
      <c r="BW35" s="625"/>
      <c r="BX35" s="625"/>
      <c r="BY35" s="625"/>
      <c r="BZ35" s="625"/>
      <c r="CA35" s="625"/>
      <c r="CB35" s="625"/>
      <c r="CC35" s="625"/>
      <c r="CD35" s="625"/>
    </row>
    <row r="36" spans="1:82" ht="13.2">
      <c r="A36" s="294">
        <f t="shared" si="3"/>
        <v>17</v>
      </c>
      <c r="B36" s="7" t="s">
        <v>359</v>
      </c>
      <c r="C36" s="377" t="str">
        <f ca="1">IFERROR(__xludf.DUMMYFUNCTION("GoogleFinance(B36,""name"")"),"Alcoa Corp")</f>
        <v>Alcoa Corp</v>
      </c>
      <c r="D36" s="378">
        <f ca="1">IFERROR(__xludf.DUMMYFUNCTION("GoogleFinance(B36,""marketcap"")/1000000"),8469.099599)</f>
        <v>8469.0995989999992</v>
      </c>
      <c r="E36" s="392" t="s">
        <v>12</v>
      </c>
      <c r="F36" s="392" t="s">
        <v>360</v>
      </c>
      <c r="G36" s="266">
        <v>45909</v>
      </c>
      <c r="H36" s="588">
        <v>32.71</v>
      </c>
      <c r="I36" s="490">
        <v>32.770000000000003</v>
      </c>
      <c r="J36" s="589">
        <v>61.03143118706133</v>
      </c>
      <c r="K36" s="395">
        <v>2000</v>
      </c>
      <c r="L36" s="395">
        <v>2000</v>
      </c>
      <c r="M36" s="395">
        <v>1996.3381141287762</v>
      </c>
      <c r="N36" s="395">
        <v>-3.6618858712238307</v>
      </c>
      <c r="O36" s="396">
        <v>-1.8309429356119153E-3</v>
      </c>
      <c r="P36" s="571">
        <v>20</v>
      </c>
      <c r="Q36" s="588">
        <v>26</v>
      </c>
      <c r="R36" s="394">
        <v>-0.20513604402323449</v>
      </c>
      <c r="S36" s="393">
        <v>50</v>
      </c>
      <c r="T36" s="396">
        <v>0.52858453072454892</v>
      </c>
      <c r="U36" s="299">
        <v>4.0099999999999997E-2</v>
      </c>
      <c r="V36" s="590">
        <v>7.701786814541034E-3</v>
      </c>
      <c r="W36" s="394">
        <v>1.6154085119602479E-2</v>
      </c>
      <c r="X36" s="394">
        <v>0.10843781768891891</v>
      </c>
      <c r="Y36" s="394">
        <v>7.2459016393442655E-2</v>
      </c>
      <c r="Z36" s="394">
        <v>-0.13419798835362629</v>
      </c>
      <c r="AA36" s="571" t="s">
        <v>84</v>
      </c>
      <c r="AB36" s="63" t="s">
        <v>85</v>
      </c>
      <c r="AC36" s="591" t="s">
        <v>85</v>
      </c>
      <c r="AD36" s="591" t="s">
        <v>105</v>
      </c>
      <c r="AE36" s="592"/>
      <c r="AF36" s="396"/>
      <c r="AG36" s="396"/>
      <c r="AH36" s="396"/>
      <c r="AI36" s="575" t="str">
        <f ca="1">IFERROR(__xludf.DUMMYFUNCTION("GoogleFinance(B36,""price"",DATE(2025,9,19))"),"Date")</f>
        <v>Date</v>
      </c>
      <c r="AJ36" s="576" t="str">
        <f ca="1">IFERROR(__xludf.DUMMYFUNCTION("""COMPUTED_VALUE"""),"Close")</f>
        <v>Close</v>
      </c>
      <c r="AK36" s="575" t="str">
        <f ca="1">IFERROR(__xludf.DUMMYFUNCTION("GoogleFinance(B36,""price"",DATE(2025,8,29))"),"Date")</f>
        <v>Date</v>
      </c>
      <c r="AL36" s="576" t="str">
        <f ca="1">IFERROR(__xludf.DUMMYFUNCTION("""COMPUTED_VALUE"""),"Close")</f>
        <v>Close</v>
      </c>
      <c r="AM36" s="575" t="str">
        <f ca="1">IFERROR(__xludf.DUMMYFUNCTION("GoogleFinance(B36,""price"",today()-93)"),"#N/A")</f>
        <v>#N/A</v>
      </c>
      <c r="AN36" s="576"/>
      <c r="AO36" s="575" t="str">
        <f ca="1">IFERROR(__xludf.DUMMYFUNCTION("GoogleFinance(B36,""price"",today()-183)"),"#N/A")</f>
        <v>#N/A</v>
      </c>
      <c r="AP36" s="576"/>
      <c r="AQ36" s="575" t="str">
        <f ca="1">IFERROR(__xludf.DUMMYFUNCTION("GoogleFinance(B36,""price"",DATE(2024,12,31))"),"Date")</f>
        <v>Date</v>
      </c>
      <c r="AR36" s="576" t="str">
        <f ca="1">IFERROR(__xludf.DUMMYFUNCTION("""COMPUTED_VALUE"""),"Close")</f>
        <v>Close</v>
      </c>
      <c r="AS36" s="396"/>
      <c r="AT36" s="389"/>
      <c r="AU36" s="257"/>
      <c r="AV36" s="257"/>
      <c r="AW36" s="257"/>
      <c r="AX36" s="257"/>
      <c r="AY36" s="268"/>
      <c r="AZ36" s="268"/>
      <c r="BA36" s="257"/>
      <c r="BB36" s="268"/>
      <c r="BC36" s="268"/>
      <c r="BD36" s="268"/>
      <c r="BE36" s="268"/>
      <c r="BF36" s="268"/>
      <c r="BG36" s="257"/>
      <c r="BH36" s="257"/>
      <c r="BI36" s="257"/>
      <c r="BJ36" s="257"/>
      <c r="BK36" s="257"/>
      <c r="BL36" s="257"/>
      <c r="BM36" s="257"/>
      <c r="BN36" s="257"/>
      <c r="BO36" s="257"/>
      <c r="BP36" s="257"/>
      <c r="BQ36" s="268"/>
      <c r="BR36" s="268"/>
      <c r="BS36" s="268"/>
      <c r="BT36" s="268"/>
      <c r="BU36" s="268"/>
      <c r="BV36" s="268"/>
      <c r="BW36" s="268"/>
      <c r="BX36" s="268"/>
      <c r="BY36" s="268"/>
      <c r="BZ36" s="268"/>
      <c r="CA36" s="268"/>
      <c r="CB36" s="268"/>
      <c r="CC36" s="268"/>
      <c r="CD36" s="268"/>
    </row>
    <row r="37" spans="1:82" ht="13.2" hidden="1">
      <c r="A37" s="593" t="e">
        <f t="shared" si="3"/>
        <v>#REF!</v>
      </c>
      <c r="B37" s="615"/>
      <c r="C37" s="616"/>
      <c r="D37" s="615"/>
      <c r="E37" s="615"/>
      <c r="F37" s="615"/>
      <c r="G37" s="615"/>
      <c r="H37" s="617"/>
      <c r="I37" s="617"/>
      <c r="J37" s="617"/>
      <c r="K37" s="617"/>
      <c r="L37" s="617"/>
      <c r="M37" s="617"/>
      <c r="N37" s="421"/>
      <c r="O37" s="597"/>
      <c r="P37" s="617"/>
      <c r="Q37" s="617"/>
      <c r="R37" s="618"/>
      <c r="S37" s="618"/>
      <c r="T37" s="618"/>
      <c r="U37" s="619"/>
      <c r="V37" s="615"/>
      <c r="W37" s="615"/>
      <c r="X37" s="615"/>
      <c r="Y37" s="615"/>
      <c r="Z37" s="615"/>
      <c r="AA37" s="600" t="s">
        <v>93</v>
      </c>
      <c r="AB37" s="601" t="s">
        <v>93</v>
      </c>
      <c r="AC37" s="620"/>
      <c r="AD37" s="620"/>
      <c r="AE37" s="621"/>
      <c r="AF37" s="622"/>
      <c r="AG37" s="622"/>
      <c r="AH37" s="622"/>
      <c r="AI37" s="414">
        <f ca="1">IFERROR(__xludf.DUMMYFUNCTION("""COMPUTED_VALUE"""),45919.6666666666)</f>
        <v>45919.666666666599</v>
      </c>
      <c r="AJ37" s="623">
        <f ca="1">IFERROR(__xludf.DUMMYFUNCTION("""COMPUTED_VALUE"""),32.46)</f>
        <v>32.46</v>
      </c>
      <c r="AK37" s="414">
        <f ca="1">IFERROR(__xludf.DUMMYFUNCTION("""COMPUTED_VALUE"""),45898.6666666666)</f>
        <v>45898.666666666599</v>
      </c>
      <c r="AL37" s="623">
        <f ca="1">IFERROR(__xludf.DUMMYFUNCTION("""COMPUTED_VALUE"""),32.19)</f>
        <v>32.19</v>
      </c>
      <c r="AM37" s="414"/>
      <c r="AN37" s="623"/>
      <c r="AO37" s="414"/>
      <c r="AP37" s="623"/>
      <c r="AQ37" s="414">
        <f ca="1">IFERROR(__xludf.DUMMYFUNCTION("""COMPUTED_VALUE"""),45657.6666666666)</f>
        <v>45657.666666666599</v>
      </c>
      <c r="AR37" s="623">
        <f ca="1">IFERROR(__xludf.DUMMYFUNCTION("""COMPUTED_VALUE"""),37.78)</f>
        <v>37.78</v>
      </c>
      <c r="AS37" s="624"/>
      <c r="AT37" s="624"/>
      <c r="AU37" s="624"/>
      <c r="AV37" s="624"/>
      <c r="AW37" s="625"/>
      <c r="AX37" s="625"/>
      <c r="AY37" s="624"/>
      <c r="AZ37" s="625"/>
      <c r="BA37" s="625"/>
      <c r="BB37" s="625"/>
      <c r="BC37" s="625"/>
      <c r="BD37" s="625"/>
      <c r="BE37" s="624"/>
      <c r="BF37" s="624"/>
      <c r="BG37" s="624"/>
      <c r="BH37" s="624"/>
      <c r="BI37" s="624"/>
      <c r="BJ37" s="624"/>
      <c r="BK37" s="624"/>
      <c r="BL37" s="624"/>
      <c r="BM37" s="624"/>
      <c r="BN37" s="624"/>
      <c r="BO37" s="625"/>
      <c r="BP37" s="625"/>
      <c r="BQ37" s="625"/>
      <c r="BR37" s="625"/>
      <c r="BS37" s="625"/>
      <c r="BT37" s="625"/>
      <c r="BU37" s="625"/>
      <c r="BV37" s="625"/>
      <c r="BW37" s="625"/>
      <c r="BX37" s="625"/>
      <c r="BY37" s="625"/>
      <c r="BZ37" s="625"/>
      <c r="CA37" s="625"/>
      <c r="CB37" s="625"/>
      <c r="CC37" s="625"/>
      <c r="CD37" s="625"/>
    </row>
    <row r="38" spans="1:82" ht="13.2">
      <c r="A38" s="294">
        <f t="shared" si="3"/>
        <v>18</v>
      </c>
      <c r="B38" s="7" t="s">
        <v>361</v>
      </c>
      <c r="C38" s="377" t="str">
        <f ca="1">IFERROR(__xludf.DUMMYFUNCTION("GoogleFinance(B38,""name"")"),"Archer Aviation Inc")</f>
        <v>Archer Aviation Inc</v>
      </c>
      <c r="D38" s="378">
        <f ca="1">IFERROR(__xludf.DUMMYFUNCTION("GoogleFinance(B38,""marketcap"")/1000000"),5985.842963)</f>
        <v>5985.8429630000001</v>
      </c>
      <c r="E38" s="392" t="s">
        <v>11</v>
      </c>
      <c r="F38" s="392" t="s">
        <v>362</v>
      </c>
      <c r="G38" s="266">
        <v>45854</v>
      </c>
      <c r="H38" s="588">
        <v>9.2799999999999994</v>
      </c>
      <c r="I38" s="490">
        <v>10.933715288453607</v>
      </c>
      <c r="J38" s="589">
        <v>274.38065843621399</v>
      </c>
      <c r="K38" s="395">
        <v>3000</v>
      </c>
      <c r="L38" s="395">
        <v>3000</v>
      </c>
      <c r="M38" s="395">
        <v>2546.2525102880659</v>
      </c>
      <c r="N38" s="395">
        <v>-453.74748971193412</v>
      </c>
      <c r="O38" s="396">
        <v>-0.15124916323731138</v>
      </c>
      <c r="P38" s="571">
        <v>75</v>
      </c>
      <c r="Q38" s="588">
        <v>7.5</v>
      </c>
      <c r="R38" s="394">
        <v>-0.19181034482758619</v>
      </c>
      <c r="S38" s="393">
        <v>26</v>
      </c>
      <c r="T38" s="396">
        <v>1.8017241379310347</v>
      </c>
      <c r="U38" s="299">
        <v>-5.4000000000000003E-3</v>
      </c>
      <c r="V38" s="590">
        <v>-5.8823529411764719E-2</v>
      </c>
      <c r="W38" s="394">
        <v>3.6871508379888285E-2</v>
      </c>
      <c r="X38" s="394">
        <v>-0.14470046082949317</v>
      </c>
      <c r="Y38" s="394">
        <v>0.30520393811533042</v>
      </c>
      <c r="Z38" s="394">
        <v>-4.8205128205128234E-2</v>
      </c>
      <c r="AA38" s="566" t="s">
        <v>91</v>
      </c>
      <c r="AB38" s="63" t="s">
        <v>85</v>
      </c>
      <c r="AC38" s="591" t="s">
        <v>85</v>
      </c>
      <c r="AD38" s="591" t="s">
        <v>105</v>
      </c>
      <c r="AE38" s="592"/>
      <c r="AF38" s="396"/>
      <c r="AG38" s="396"/>
      <c r="AH38" s="396"/>
      <c r="AI38" s="575" t="str">
        <f ca="1">IFERROR(__xludf.DUMMYFUNCTION("GoogleFinance(B38,""price"",DATE(2025,9,19))"),"Date")</f>
        <v>Date</v>
      </c>
      <c r="AJ38" s="576" t="str">
        <f ca="1">IFERROR(__xludf.DUMMYFUNCTION("""COMPUTED_VALUE"""),"Close")</f>
        <v>Close</v>
      </c>
      <c r="AK38" s="575" t="str">
        <f ca="1">IFERROR(__xludf.DUMMYFUNCTION("GoogleFinance(B38,""price"",DATE(2025,8,29))"),"Date")</f>
        <v>Date</v>
      </c>
      <c r="AL38" s="576" t="str">
        <f ca="1">IFERROR(__xludf.DUMMYFUNCTION("""COMPUTED_VALUE"""),"Close")</f>
        <v>Close</v>
      </c>
      <c r="AM38" s="575" t="str">
        <f ca="1">IFERROR(__xludf.DUMMYFUNCTION("GoogleFinance(B38,""price"",today()-93)"),"#N/A")</f>
        <v>#N/A</v>
      </c>
      <c r="AN38" s="576"/>
      <c r="AO38" s="575" t="str">
        <f ca="1">IFERROR(__xludf.DUMMYFUNCTION("GoogleFinance(B38,""price"",today()-183)"),"#N/A")</f>
        <v>#N/A</v>
      </c>
      <c r="AP38" s="576"/>
      <c r="AQ38" s="575" t="str">
        <f ca="1">IFERROR(__xludf.DUMMYFUNCTION("GoogleFinance(B38,""price"",DATE(2024,12,31))"),"Date")</f>
        <v>Date</v>
      </c>
      <c r="AR38" s="576" t="str">
        <f ca="1">IFERROR(__xludf.DUMMYFUNCTION("""COMPUTED_VALUE"""),"Close")</f>
        <v>Close</v>
      </c>
      <c r="AS38" s="396"/>
      <c r="AT38" s="389"/>
      <c r="AU38" s="257"/>
      <c r="AV38" s="257"/>
      <c r="AW38" s="257"/>
      <c r="AX38" s="257"/>
      <c r="AY38" s="268"/>
      <c r="AZ38" s="268"/>
      <c r="BA38" s="257"/>
      <c r="BB38" s="268"/>
      <c r="BC38" s="268"/>
      <c r="BD38" s="268"/>
      <c r="BE38" s="268"/>
      <c r="BF38" s="268"/>
      <c r="BG38" s="257"/>
      <c r="BH38" s="257"/>
      <c r="BI38" s="257"/>
      <c r="BJ38" s="257"/>
      <c r="BK38" s="257"/>
      <c r="BL38" s="257"/>
      <c r="BM38" s="257"/>
      <c r="BN38" s="257"/>
      <c r="BO38" s="257"/>
      <c r="BP38" s="257"/>
      <c r="BQ38" s="268"/>
      <c r="BR38" s="268"/>
      <c r="BS38" s="268"/>
      <c r="BT38" s="268"/>
      <c r="BU38" s="268"/>
      <c r="BV38" s="268"/>
      <c r="BW38" s="268"/>
      <c r="BX38" s="268"/>
      <c r="BY38" s="268"/>
      <c r="BZ38" s="268"/>
      <c r="CA38" s="268"/>
      <c r="CB38" s="268"/>
      <c r="CC38" s="268"/>
      <c r="CD38" s="268"/>
    </row>
    <row r="39" spans="1:82" ht="13.2" hidden="1">
      <c r="A39" s="294" t="e">
        <f t="shared" si="3"/>
        <v>#REF!</v>
      </c>
      <c r="B39" s="606"/>
      <c r="C39" s="607"/>
      <c r="D39" s="606"/>
      <c r="E39" s="606"/>
      <c r="F39" s="606"/>
      <c r="G39" s="606"/>
      <c r="H39" s="608"/>
      <c r="I39" s="608"/>
      <c r="J39" s="608"/>
      <c r="K39" s="608"/>
      <c r="L39" s="608"/>
      <c r="M39" s="608"/>
      <c r="N39" s="384"/>
      <c r="O39" s="582"/>
      <c r="P39" s="608"/>
      <c r="Q39" s="608"/>
      <c r="R39" s="609"/>
      <c r="S39" s="609"/>
      <c r="T39" s="609"/>
      <c r="U39" s="610"/>
      <c r="V39" s="606"/>
      <c r="W39" s="606"/>
      <c r="X39" s="606"/>
      <c r="Y39" s="606"/>
      <c r="Z39" s="606"/>
      <c r="AA39" s="571" t="s">
        <v>93</v>
      </c>
      <c r="AB39" s="63" t="s">
        <v>93</v>
      </c>
      <c r="AC39" s="611"/>
      <c r="AD39" s="611"/>
      <c r="AE39" s="612"/>
      <c r="AF39" s="396"/>
      <c r="AG39" s="396"/>
      <c r="AH39" s="396"/>
      <c r="AI39" s="380">
        <f ca="1">IFERROR(__xludf.DUMMYFUNCTION("""COMPUTED_VALUE"""),45919.6666666666)</f>
        <v>45919.666666666599</v>
      </c>
      <c r="AJ39" s="389">
        <f ca="1">IFERROR(__xludf.DUMMYFUNCTION("""COMPUTED_VALUE"""),9.86)</f>
        <v>9.86</v>
      </c>
      <c r="AK39" s="380">
        <f ca="1">IFERROR(__xludf.DUMMYFUNCTION("""COMPUTED_VALUE"""),45898.6666666666)</f>
        <v>45898.666666666599</v>
      </c>
      <c r="AL39" s="389">
        <f ca="1">IFERROR(__xludf.DUMMYFUNCTION("""COMPUTED_VALUE"""),8.95)</f>
        <v>8.9499999999999993</v>
      </c>
      <c r="AM39" s="380"/>
      <c r="AN39" s="389"/>
      <c r="AO39" s="380"/>
      <c r="AP39" s="389"/>
      <c r="AQ39" s="380">
        <f ca="1">IFERROR(__xludf.DUMMYFUNCTION("""COMPUTED_VALUE"""),45657.6666666666)</f>
        <v>45657.666666666599</v>
      </c>
      <c r="AR39" s="389">
        <f ca="1">IFERROR(__xludf.DUMMYFUNCTION("""COMPUTED_VALUE"""),9.75)</f>
        <v>9.75</v>
      </c>
      <c r="AS39" s="613"/>
      <c r="AT39" s="613"/>
      <c r="AU39" s="613"/>
      <c r="AV39" s="613"/>
      <c r="AW39" s="614"/>
      <c r="AX39" s="614"/>
      <c r="AY39" s="613"/>
      <c r="AZ39" s="614"/>
      <c r="BA39" s="614"/>
      <c r="BB39" s="614"/>
      <c r="BC39" s="614"/>
      <c r="BD39" s="614"/>
      <c r="BE39" s="613"/>
      <c r="BF39" s="613"/>
      <c r="BG39" s="613"/>
      <c r="BH39" s="613"/>
      <c r="BI39" s="613"/>
      <c r="BJ39" s="613"/>
      <c r="BK39" s="613"/>
      <c r="BL39" s="613"/>
      <c r="BM39" s="613"/>
      <c r="BN39" s="613"/>
      <c r="BO39" s="614"/>
      <c r="BP39" s="614"/>
      <c r="BQ39" s="614"/>
      <c r="BR39" s="614"/>
      <c r="BS39" s="614"/>
      <c r="BT39" s="614"/>
      <c r="BU39" s="614"/>
      <c r="BV39" s="614"/>
      <c r="BW39" s="614"/>
      <c r="BX39" s="614"/>
      <c r="BY39" s="614"/>
      <c r="BZ39" s="614"/>
      <c r="CA39" s="614"/>
      <c r="CB39" s="614"/>
      <c r="CC39" s="614"/>
      <c r="CD39" s="614"/>
    </row>
    <row r="40" spans="1:82" ht="13.2">
      <c r="A40" s="294">
        <f t="shared" si="3"/>
        <v>19</v>
      </c>
      <c r="B40" s="1" t="s">
        <v>363</v>
      </c>
      <c r="C40" s="438" t="str">
        <f ca="1">IFERROR(__xludf.DUMMYFUNCTION("GoogleFinance(B40,""name"")"),"Adobe Inc")</f>
        <v>Adobe Inc</v>
      </c>
      <c r="D40" s="234">
        <f ca="1">IFERROR(__xludf.DUMMYFUNCTION("GoogleFinance(B40,""marketcap"")/1000000"),150850.879956)</f>
        <v>150850.87995599999</v>
      </c>
      <c r="E40" s="246" t="s">
        <v>7</v>
      </c>
      <c r="F40" s="246" t="s">
        <v>272</v>
      </c>
      <c r="G40" s="230">
        <v>45903</v>
      </c>
      <c r="H40" s="228">
        <v>360.37</v>
      </c>
      <c r="I40" s="506">
        <v>347.4</v>
      </c>
      <c r="J40" s="507">
        <v>5.7570523891767422</v>
      </c>
      <c r="K40" s="249">
        <v>2000.0000000000002</v>
      </c>
      <c r="L40" s="249">
        <v>2000.0000000000002</v>
      </c>
      <c r="M40" s="249">
        <v>2074.6689694876227</v>
      </c>
      <c r="N40" s="508">
        <v>74.668969487622462</v>
      </c>
      <c r="O40" s="509">
        <v>3.7334484743811229E-2</v>
      </c>
      <c r="P40" s="626">
        <v>26</v>
      </c>
      <c r="Q40" s="228">
        <v>330</v>
      </c>
      <c r="R40" s="627">
        <v>-8.4274495657241211E-2</v>
      </c>
      <c r="S40" s="23">
        <v>430</v>
      </c>
      <c r="T40" s="628">
        <v>0.19321808141632202</v>
      </c>
      <c r="U40" s="299">
        <v>1.7500000000000002E-2</v>
      </c>
      <c r="V40" s="590">
        <v>-1.5113418966930747E-2</v>
      </c>
      <c r="W40" s="394">
        <v>1.0288758059994407E-2</v>
      </c>
      <c r="X40" s="394">
        <v>-6.8522539288668249E-2</v>
      </c>
      <c r="Y40" s="394">
        <v>-6.0386410450290695E-2</v>
      </c>
      <c r="Z40" s="394">
        <v>-0.18959701358280112</v>
      </c>
      <c r="AA40" s="629" t="s">
        <v>84</v>
      </c>
      <c r="AB40" s="630" t="s">
        <v>85</v>
      </c>
      <c r="AC40" s="631" t="s">
        <v>85</v>
      </c>
      <c r="AD40" s="632" t="s">
        <v>100</v>
      </c>
      <c r="AE40" s="219"/>
      <c r="AF40" s="27"/>
      <c r="AG40" s="27"/>
      <c r="AH40" s="27"/>
      <c r="AI40" s="575" t="str">
        <f ca="1">IFERROR(__xludf.DUMMYFUNCTION("GoogleFinance(B40,""price"",DATE(2025,9,19))"),"Date")</f>
        <v>Date</v>
      </c>
      <c r="AJ40" s="576" t="str">
        <f ca="1">IFERROR(__xludf.DUMMYFUNCTION("""COMPUTED_VALUE"""),"Close")</f>
        <v>Close</v>
      </c>
      <c r="AK40" s="575" t="str">
        <f ca="1">IFERROR(__xludf.DUMMYFUNCTION("GoogleFinance(B40,""price"",DATE(2025,8,29))"),"Date")</f>
        <v>Date</v>
      </c>
      <c r="AL40" s="576" t="str">
        <f ca="1">IFERROR(__xludf.DUMMYFUNCTION("""COMPUTED_VALUE"""),"Close")</f>
        <v>Close</v>
      </c>
      <c r="AM40" s="575" t="str">
        <f ca="1">IFERROR(__xludf.DUMMYFUNCTION("GoogleFinance(B40,""price"",today()-93)"),"#N/A")</f>
        <v>#N/A</v>
      </c>
      <c r="AN40" s="576"/>
      <c r="AO40" s="575" t="str">
        <f ca="1">IFERROR(__xludf.DUMMYFUNCTION("GoogleFinance(B40,""price"",today()-183)"),"#N/A")</f>
        <v>#N/A</v>
      </c>
      <c r="AP40" s="576"/>
      <c r="AQ40" s="575" t="str">
        <f ca="1">IFERROR(__xludf.DUMMYFUNCTION("GoogleFinance(B40,""price"",DATE(2024,12,31))"),"Date")</f>
        <v>Date</v>
      </c>
      <c r="AR40" s="576" t="str">
        <f ca="1">IFERROR(__xludf.DUMMYFUNCTION("""COMPUTED_VALUE"""),"Close")</f>
        <v>Close</v>
      </c>
      <c r="AS40" s="27"/>
      <c r="AT40" s="232"/>
      <c r="AU40" s="219"/>
      <c r="AV40" s="219"/>
      <c r="AW40" s="219"/>
      <c r="AX40" s="219"/>
      <c r="AY40" s="232"/>
      <c r="AZ40" s="232"/>
      <c r="BA40" s="219"/>
      <c r="BB40" s="232"/>
      <c r="BC40" s="232"/>
      <c r="BD40" s="232"/>
      <c r="BE40" s="232"/>
      <c r="BF40" s="232"/>
      <c r="BG40" s="219"/>
      <c r="BH40" s="219"/>
      <c r="BI40" s="219"/>
      <c r="BJ40" s="219"/>
      <c r="BK40" s="219"/>
      <c r="BL40" s="219"/>
      <c r="BM40" s="219"/>
      <c r="BN40" s="219"/>
      <c r="BO40" s="219"/>
      <c r="BP40" s="219"/>
      <c r="BQ40" s="232"/>
      <c r="BR40" s="232"/>
      <c r="BS40" s="232"/>
      <c r="BT40" s="232"/>
      <c r="BU40" s="232"/>
      <c r="BV40" s="232"/>
      <c r="BW40" s="232"/>
      <c r="BX40" s="232"/>
      <c r="BY40" s="232"/>
      <c r="BZ40" s="232"/>
      <c r="CA40" s="232"/>
      <c r="CB40" s="232"/>
      <c r="CC40" s="232"/>
      <c r="CD40" s="232"/>
    </row>
    <row r="41" spans="1:82" ht="13.2" hidden="1">
      <c r="A41" s="3" t="e">
        <f>#REF!+1</f>
        <v>#REF!</v>
      </c>
      <c r="B41" s="633"/>
      <c r="C41" s="634"/>
      <c r="D41" s="634"/>
      <c r="E41" s="220"/>
      <c r="F41" s="220"/>
      <c r="G41" s="221"/>
      <c r="H41" s="219"/>
      <c r="I41" s="223"/>
      <c r="J41" s="224"/>
      <c r="K41" s="225"/>
      <c r="L41" s="225"/>
      <c r="M41" s="225"/>
      <c r="N41" s="225"/>
      <c r="O41" s="27"/>
      <c r="P41" s="219"/>
      <c r="Q41" s="219"/>
      <c r="R41" s="27"/>
      <c r="S41" s="219"/>
      <c r="T41" s="27"/>
      <c r="U41" s="635"/>
      <c r="V41" s="636"/>
      <c r="W41" s="27"/>
      <c r="X41" s="27"/>
      <c r="Y41" s="27"/>
      <c r="Z41" s="27"/>
      <c r="AA41" s="637"/>
      <c r="AB41" s="638"/>
      <c r="AC41" s="639"/>
      <c r="AD41" s="639"/>
      <c r="AE41" s="219"/>
      <c r="AF41" s="27"/>
      <c r="AG41" s="27"/>
      <c r="AH41" s="27"/>
      <c r="AI41" s="640">
        <f ca="1">IFERROR(__xludf.DUMMYFUNCTION("""COMPUTED_VALUE"""),45919.6666666666)</f>
        <v>45919.666666666599</v>
      </c>
      <c r="AJ41" s="641">
        <f ca="1">IFERROR(__xludf.DUMMYFUNCTION("""COMPUTED_VALUE"""),365.9)</f>
        <v>365.9</v>
      </c>
      <c r="AK41" s="640">
        <f ca="1">IFERROR(__xludf.DUMMYFUNCTION("""COMPUTED_VALUE"""),45898.6666666666)</f>
        <v>45898.666666666599</v>
      </c>
      <c r="AL41" s="231">
        <f ca="1">IFERROR(__xludf.DUMMYFUNCTION("""COMPUTED_VALUE"""),356.7)</f>
        <v>356.7</v>
      </c>
      <c r="AM41" s="2"/>
      <c r="AN41" s="231"/>
      <c r="AO41" s="2"/>
      <c r="AP41" s="231"/>
      <c r="AQ41" s="2">
        <f ca="1">IFERROR(__xludf.DUMMYFUNCTION("""COMPUTED_VALUE"""),45657.6666666666)</f>
        <v>45657.666666666599</v>
      </c>
      <c r="AR41" s="231">
        <f ca="1">IFERROR(__xludf.DUMMYFUNCTION("""COMPUTED_VALUE"""),444.68)</f>
        <v>444.68</v>
      </c>
      <c r="AS41" s="27"/>
      <c r="AT41" s="232"/>
      <c r="AU41" s="219"/>
      <c r="AV41" s="219"/>
      <c r="AW41" s="219"/>
      <c r="AX41" s="219"/>
      <c r="AY41" s="232"/>
      <c r="AZ41" s="232"/>
      <c r="BA41" s="219"/>
      <c r="BB41" s="232"/>
      <c r="BC41" s="232"/>
      <c r="BD41" s="232"/>
      <c r="BE41" s="232"/>
      <c r="BF41" s="232"/>
      <c r="BG41" s="219"/>
      <c r="BH41" s="219"/>
      <c r="BI41" s="219"/>
      <c r="BJ41" s="219"/>
      <c r="BK41" s="219"/>
      <c r="BL41" s="219"/>
      <c r="BM41" s="219"/>
      <c r="BN41" s="219"/>
      <c r="BO41" s="219"/>
      <c r="BP41" s="219"/>
      <c r="BQ41" s="232"/>
      <c r="BR41" s="232"/>
      <c r="BS41" s="232"/>
      <c r="BT41" s="232"/>
      <c r="BU41" s="232"/>
      <c r="BV41" s="232"/>
      <c r="BW41" s="232"/>
      <c r="BX41" s="232"/>
      <c r="BY41" s="232"/>
      <c r="BZ41" s="232"/>
      <c r="CA41" s="232"/>
      <c r="CB41" s="232"/>
      <c r="CC41" s="232"/>
      <c r="CD41" s="232"/>
    </row>
    <row r="42" spans="1:82" ht="13.2">
      <c r="A42" s="3">
        <f t="shared" ref="A42:A48" si="4">A40+1</f>
        <v>20</v>
      </c>
      <c r="B42" s="1" t="s">
        <v>275</v>
      </c>
      <c r="C42" s="438" t="str">
        <f ca="1">IFERROR(__xludf.DUMMYFUNCTION("GoogleFinance(B42,""name"")"),"NVIDIA Corp")</f>
        <v>NVIDIA Corp</v>
      </c>
      <c r="D42" s="234">
        <f ca="1">IFERROR(__xludf.DUMMYFUNCTION("GoogleFinance(B42,""marketcap"")/1000000"),4330017.059326)</f>
        <v>4330017.0593259996</v>
      </c>
      <c r="E42" s="246" t="s">
        <v>7</v>
      </c>
      <c r="F42" s="246" t="s">
        <v>23</v>
      </c>
      <c r="G42" s="230">
        <v>45908</v>
      </c>
      <c r="H42" s="228">
        <v>178.19</v>
      </c>
      <c r="I42" s="506">
        <v>170.18</v>
      </c>
      <c r="J42" s="507">
        <v>23.504524620989539</v>
      </c>
      <c r="K42" s="249">
        <v>4000</v>
      </c>
      <c r="L42" s="249">
        <v>4000</v>
      </c>
      <c r="M42" s="249">
        <v>4188.2712422141258</v>
      </c>
      <c r="N42" s="508">
        <v>188.27124221412578</v>
      </c>
      <c r="O42" s="509">
        <v>4.7067810553531444E-2</v>
      </c>
      <c r="P42" s="626">
        <v>21</v>
      </c>
      <c r="Q42" s="228">
        <v>160</v>
      </c>
      <c r="R42" s="627">
        <v>-0.10208204725293224</v>
      </c>
      <c r="S42" s="23">
        <v>200</v>
      </c>
      <c r="T42" s="628">
        <v>0.12239744093383464</v>
      </c>
      <c r="U42" s="299">
        <v>2.8000000000000004E-3</v>
      </c>
      <c r="V42" s="590">
        <v>8.6036112526179931E-3</v>
      </c>
      <c r="W42" s="394">
        <v>2.3022160982891116E-2</v>
      </c>
      <c r="X42" s="394">
        <v>0.12785619342996379</v>
      </c>
      <c r="Y42" s="394">
        <v>0.6441225318324415</v>
      </c>
      <c r="Z42" s="394">
        <v>0.32690446049594168</v>
      </c>
      <c r="AA42" s="629" t="s">
        <v>84</v>
      </c>
      <c r="AB42" s="630" t="s">
        <v>85</v>
      </c>
      <c r="AC42" s="631" t="s">
        <v>85</v>
      </c>
      <c r="AD42" s="632" t="s">
        <v>100</v>
      </c>
      <c r="AE42" s="219"/>
      <c r="AF42" s="27"/>
      <c r="AG42" s="27"/>
      <c r="AH42" s="27"/>
      <c r="AI42" s="575" t="str">
        <f ca="1">IFERROR(__xludf.DUMMYFUNCTION("GoogleFinance(B42,""price"",DATE(2025,9,19))"),"Date")</f>
        <v>Date</v>
      </c>
      <c r="AJ42" s="576" t="str">
        <f ca="1">IFERROR(__xludf.DUMMYFUNCTION("""COMPUTED_VALUE"""),"Close")</f>
        <v>Close</v>
      </c>
      <c r="AK42" s="575" t="str">
        <f ca="1">IFERROR(__xludf.DUMMYFUNCTION("GoogleFinance(B42,""price"",DATE(2025,8,29))"),"Date")</f>
        <v>Date</v>
      </c>
      <c r="AL42" s="576" t="str">
        <f ca="1">IFERROR(__xludf.DUMMYFUNCTION("""COMPUTED_VALUE"""),"Close")</f>
        <v>Close</v>
      </c>
      <c r="AM42" s="575" t="str">
        <f ca="1">IFERROR(__xludf.DUMMYFUNCTION("GoogleFinance(B42,""price"",today()-93)"),"#N/A")</f>
        <v>#N/A</v>
      </c>
      <c r="AN42" s="576"/>
      <c r="AO42" s="575" t="str">
        <f ca="1">IFERROR(__xludf.DUMMYFUNCTION("GoogleFinance(B42,""price"",today()-183)"),"#N/A")</f>
        <v>#N/A</v>
      </c>
      <c r="AP42" s="576"/>
      <c r="AQ42" s="575" t="str">
        <f ca="1">IFERROR(__xludf.DUMMYFUNCTION("GoogleFinance(B42,""price"",DATE(2024,12,31))"),"Date")</f>
        <v>Date</v>
      </c>
      <c r="AR42" s="576" t="str">
        <f ca="1">IFERROR(__xludf.DUMMYFUNCTION("""COMPUTED_VALUE"""),"Close")</f>
        <v>Close</v>
      </c>
      <c r="AS42" s="27"/>
      <c r="AT42" s="232"/>
      <c r="AU42" s="219"/>
      <c r="AV42" s="219"/>
      <c r="AW42" s="219"/>
      <c r="AX42" s="219"/>
      <c r="AY42" s="232"/>
      <c r="AZ42" s="232"/>
      <c r="BA42" s="219"/>
      <c r="BB42" s="232"/>
      <c r="BC42" s="232"/>
      <c r="BD42" s="232"/>
      <c r="BE42" s="232"/>
      <c r="BF42" s="232"/>
      <c r="BG42" s="219"/>
      <c r="BH42" s="219"/>
      <c r="BI42" s="219"/>
      <c r="BJ42" s="219"/>
      <c r="BK42" s="219"/>
      <c r="BL42" s="219"/>
      <c r="BM42" s="219"/>
      <c r="BN42" s="219"/>
      <c r="BO42" s="219"/>
      <c r="BP42" s="219"/>
      <c r="BQ42" s="232"/>
      <c r="BR42" s="232"/>
      <c r="BS42" s="232"/>
      <c r="BT42" s="232"/>
      <c r="BU42" s="232"/>
      <c r="BV42" s="232"/>
      <c r="BW42" s="232"/>
      <c r="BX42" s="232"/>
      <c r="BY42" s="232"/>
      <c r="BZ42" s="232"/>
      <c r="CA42" s="232"/>
      <c r="CB42" s="232"/>
      <c r="CC42" s="232"/>
      <c r="CD42" s="232"/>
    </row>
    <row r="43" spans="1:82" ht="13.2" hidden="1">
      <c r="A43" s="3" t="e">
        <f t="shared" si="4"/>
        <v>#REF!</v>
      </c>
      <c r="B43" s="633"/>
      <c r="C43" s="634"/>
      <c r="D43" s="634"/>
      <c r="E43" s="220"/>
      <c r="F43" s="220"/>
      <c r="G43" s="221"/>
      <c r="H43" s="219"/>
      <c r="I43" s="223"/>
      <c r="J43" s="224"/>
      <c r="K43" s="225"/>
      <c r="L43" s="225"/>
      <c r="M43" s="225"/>
      <c r="N43" s="225"/>
      <c r="O43" s="27"/>
      <c r="P43" s="219"/>
      <c r="Q43" s="219"/>
      <c r="R43" s="27"/>
      <c r="S43" s="219"/>
      <c r="T43" s="27"/>
      <c r="U43" s="635"/>
      <c r="V43" s="636"/>
      <c r="W43" s="27"/>
      <c r="X43" s="27"/>
      <c r="Y43" s="27"/>
      <c r="Z43" s="27"/>
      <c r="AA43" s="637"/>
      <c r="AB43" s="638"/>
      <c r="AC43" s="639"/>
      <c r="AD43" s="639"/>
      <c r="AE43" s="219"/>
      <c r="AF43" s="27"/>
      <c r="AG43" s="27"/>
      <c r="AH43" s="27"/>
      <c r="AI43" s="640">
        <f ca="1">IFERROR(__xludf.DUMMYFUNCTION("""COMPUTED_VALUE"""),45919.6666666666)</f>
        <v>45919.666666666599</v>
      </c>
      <c r="AJ43" s="641">
        <f ca="1">IFERROR(__xludf.DUMMYFUNCTION("""COMPUTED_VALUE"""),176.67)</f>
        <v>176.67</v>
      </c>
      <c r="AK43" s="640">
        <f ca="1">IFERROR(__xludf.DUMMYFUNCTION("""COMPUTED_VALUE"""),45898.6666666666)</f>
        <v>45898.666666666599</v>
      </c>
      <c r="AL43" s="231">
        <f ca="1">IFERROR(__xludf.DUMMYFUNCTION("""COMPUTED_VALUE"""),174.18)</f>
        <v>174.18</v>
      </c>
      <c r="AM43" s="2"/>
      <c r="AN43" s="231"/>
      <c r="AO43" s="2"/>
      <c r="AP43" s="231"/>
      <c r="AQ43" s="2">
        <f ca="1">IFERROR(__xludf.DUMMYFUNCTION("""COMPUTED_VALUE"""),45657.6666666666)</f>
        <v>45657.666666666599</v>
      </c>
      <c r="AR43" s="231">
        <f ca="1">IFERROR(__xludf.DUMMYFUNCTION("""COMPUTED_VALUE"""),134.29)</f>
        <v>134.29</v>
      </c>
      <c r="AS43" s="27"/>
      <c r="AT43" s="232"/>
      <c r="AU43" s="219"/>
      <c r="AV43" s="219"/>
      <c r="AW43" s="219"/>
      <c r="AX43" s="219"/>
      <c r="AY43" s="232"/>
      <c r="AZ43" s="232"/>
      <c r="BA43" s="219"/>
      <c r="BB43" s="232"/>
      <c r="BC43" s="232"/>
      <c r="BD43" s="232"/>
      <c r="BE43" s="232"/>
      <c r="BF43" s="232"/>
      <c r="BG43" s="219"/>
      <c r="BH43" s="219"/>
      <c r="BI43" s="219"/>
      <c r="BJ43" s="219"/>
      <c r="BK43" s="219"/>
      <c r="BL43" s="219"/>
      <c r="BM43" s="219"/>
      <c r="BN43" s="219"/>
      <c r="BO43" s="219"/>
      <c r="BP43" s="219"/>
      <c r="BQ43" s="232"/>
      <c r="BR43" s="232"/>
      <c r="BS43" s="232"/>
      <c r="BT43" s="232"/>
      <c r="BU43" s="232"/>
      <c r="BV43" s="232"/>
      <c r="BW43" s="232"/>
      <c r="BX43" s="232"/>
      <c r="BY43" s="232"/>
      <c r="BZ43" s="232"/>
      <c r="CA43" s="232"/>
      <c r="CB43" s="232"/>
      <c r="CC43" s="232"/>
      <c r="CD43" s="232"/>
    </row>
    <row r="44" spans="1:82" ht="13.2">
      <c r="A44" s="3">
        <f t="shared" si="4"/>
        <v>21</v>
      </c>
      <c r="B44" s="1" t="s">
        <v>364</v>
      </c>
      <c r="C44" s="438" t="str">
        <f ca="1">IFERROR(__xludf.DUMMYFUNCTION("GoogleFinance(B44,""name"")"),"Okta Inc")</f>
        <v>Okta Inc</v>
      </c>
      <c r="D44" s="234">
        <f ca="1">IFERROR(__xludf.DUMMYFUNCTION("GoogleFinance(B44,""marketcap"")/1000000"),16070.22)</f>
        <v>16070.22</v>
      </c>
      <c r="E44" s="246" t="s">
        <v>7</v>
      </c>
      <c r="F44" s="246" t="s">
        <v>99</v>
      </c>
      <c r="G44" s="230">
        <v>45909</v>
      </c>
      <c r="H44" s="228">
        <v>91.16</v>
      </c>
      <c r="I44" s="506">
        <v>92.66</v>
      </c>
      <c r="J44" s="507">
        <v>21.584286639326571</v>
      </c>
      <c r="K44" s="249">
        <v>2000</v>
      </c>
      <c r="L44" s="249">
        <v>2000</v>
      </c>
      <c r="M44" s="249">
        <v>1967.6235700410102</v>
      </c>
      <c r="N44" s="508">
        <v>-32.376429958989775</v>
      </c>
      <c r="O44" s="509">
        <v>-1.6188214979494887E-2</v>
      </c>
      <c r="P44" s="626">
        <v>20</v>
      </c>
      <c r="Q44" s="228">
        <v>79</v>
      </c>
      <c r="R44" s="627">
        <v>-0.13339183852566916</v>
      </c>
      <c r="S44" s="23">
        <v>200</v>
      </c>
      <c r="T44" s="628">
        <v>1.1939447125932428</v>
      </c>
      <c r="U44" s="299">
        <v>-2.9999999999999997E-4</v>
      </c>
      <c r="V44" s="590">
        <v>-2.366927278569142E-2</v>
      </c>
      <c r="W44" s="394">
        <v>-1.735474830225292E-2</v>
      </c>
      <c r="X44" s="394">
        <v>-8.812643793137942E-2</v>
      </c>
      <c r="Y44" s="394">
        <v>-0.13362478616232654</v>
      </c>
      <c r="Z44" s="394">
        <v>0.15685279187817258</v>
      </c>
      <c r="AA44" s="629" t="s">
        <v>84</v>
      </c>
      <c r="AB44" s="630" t="s">
        <v>85</v>
      </c>
      <c r="AC44" s="631" t="s">
        <v>85</v>
      </c>
      <c r="AD44" s="632" t="s">
        <v>100</v>
      </c>
      <c r="AE44" s="219"/>
      <c r="AF44" s="27"/>
      <c r="AG44" s="27"/>
      <c r="AH44" s="27"/>
      <c r="AI44" s="575" t="str">
        <f ca="1">IFERROR(__xludf.DUMMYFUNCTION("GoogleFinance(B44,""price"",DATE(2025,9,19))"),"Date")</f>
        <v>Date</v>
      </c>
      <c r="AJ44" s="576" t="str">
        <f ca="1">IFERROR(__xludf.DUMMYFUNCTION("""COMPUTED_VALUE"""),"Close")</f>
        <v>Close</v>
      </c>
      <c r="AK44" s="575" t="str">
        <f ca="1">IFERROR(__xludf.DUMMYFUNCTION("GoogleFinance(B44,""price"",DATE(2025,8,29))"),"Date")</f>
        <v>Date</v>
      </c>
      <c r="AL44" s="576" t="str">
        <f ca="1">IFERROR(__xludf.DUMMYFUNCTION("""COMPUTED_VALUE"""),"Close")</f>
        <v>Close</v>
      </c>
      <c r="AM44" s="575" t="str">
        <f ca="1">IFERROR(__xludf.DUMMYFUNCTION("GoogleFinance(B44,""price"",today()-93)"),"#N/A")</f>
        <v>#N/A</v>
      </c>
      <c r="AN44" s="576"/>
      <c r="AO44" s="575" t="str">
        <f ca="1">IFERROR(__xludf.DUMMYFUNCTION("GoogleFinance(B44,""price"",today()-183)"),"#N/A")</f>
        <v>#N/A</v>
      </c>
      <c r="AP44" s="576"/>
      <c r="AQ44" s="575" t="str">
        <f ca="1">IFERROR(__xludf.DUMMYFUNCTION("GoogleFinance(B44,""price"",DATE(2024,12,31))"),"Date")</f>
        <v>Date</v>
      </c>
      <c r="AR44" s="576" t="str">
        <f ca="1">IFERROR(__xludf.DUMMYFUNCTION("""COMPUTED_VALUE"""),"Close")</f>
        <v>Close</v>
      </c>
      <c r="AS44" s="27"/>
      <c r="AT44" s="232"/>
      <c r="AU44" s="219"/>
      <c r="AV44" s="219"/>
      <c r="AW44" s="219"/>
      <c r="AX44" s="219"/>
      <c r="AY44" s="232"/>
      <c r="AZ44" s="232"/>
      <c r="BA44" s="219"/>
      <c r="BB44" s="232"/>
      <c r="BC44" s="232"/>
      <c r="BD44" s="232"/>
      <c r="BE44" s="232"/>
      <c r="BF44" s="232"/>
      <c r="BG44" s="219"/>
      <c r="BH44" s="219"/>
      <c r="BI44" s="219"/>
      <c r="BJ44" s="219"/>
      <c r="BK44" s="219"/>
      <c r="BL44" s="219"/>
      <c r="BM44" s="219"/>
      <c r="BN44" s="219"/>
      <c r="BO44" s="219"/>
      <c r="BP44" s="219"/>
      <c r="BQ44" s="232"/>
      <c r="BR44" s="232"/>
      <c r="BS44" s="232"/>
      <c r="BT44" s="232"/>
      <c r="BU44" s="232"/>
      <c r="BV44" s="232"/>
      <c r="BW44" s="232"/>
      <c r="BX44" s="232"/>
      <c r="BY44" s="232"/>
      <c r="BZ44" s="232"/>
      <c r="CA44" s="232"/>
      <c r="CB44" s="232"/>
      <c r="CC44" s="232"/>
      <c r="CD44" s="232"/>
    </row>
    <row r="45" spans="1:82" ht="13.2" hidden="1">
      <c r="A45" s="3" t="e">
        <f t="shared" si="4"/>
        <v>#REF!</v>
      </c>
      <c r="B45" s="633"/>
      <c r="C45" s="634"/>
      <c r="D45" s="634"/>
      <c r="E45" s="220"/>
      <c r="F45" s="220"/>
      <c r="G45" s="221"/>
      <c r="H45" s="219"/>
      <c r="I45" s="223"/>
      <c r="J45" s="224"/>
      <c r="K45" s="225"/>
      <c r="L45" s="225"/>
      <c r="M45" s="225"/>
      <c r="N45" s="225"/>
      <c r="O45" s="27"/>
      <c r="P45" s="219"/>
      <c r="Q45" s="219"/>
      <c r="R45" s="27"/>
      <c r="S45" s="219"/>
      <c r="T45" s="27"/>
      <c r="U45" s="635"/>
      <c r="V45" s="636"/>
      <c r="W45" s="27"/>
      <c r="X45" s="27"/>
      <c r="Y45" s="27"/>
      <c r="Z45" s="27"/>
      <c r="AA45" s="637"/>
      <c r="AB45" s="638"/>
      <c r="AC45" s="639"/>
      <c r="AD45" s="639"/>
      <c r="AE45" s="219"/>
      <c r="AF45" s="27"/>
      <c r="AG45" s="27"/>
      <c r="AH45" s="27"/>
      <c r="AI45" s="640">
        <f ca="1">IFERROR(__xludf.DUMMYFUNCTION("""COMPUTED_VALUE"""),45919.6666666666)</f>
        <v>45919.666666666599</v>
      </c>
      <c r="AJ45" s="641">
        <f ca="1">IFERROR(__xludf.DUMMYFUNCTION("""COMPUTED_VALUE"""),93.37)</f>
        <v>93.37</v>
      </c>
      <c r="AK45" s="640">
        <f ca="1">IFERROR(__xludf.DUMMYFUNCTION("""COMPUTED_VALUE"""),45898.6666666666)</f>
        <v>45898.666666666599</v>
      </c>
      <c r="AL45" s="231">
        <f ca="1">IFERROR(__xludf.DUMMYFUNCTION("""COMPUTED_VALUE"""),92.77)</f>
        <v>92.77</v>
      </c>
      <c r="AM45" s="2"/>
      <c r="AN45" s="231"/>
      <c r="AO45" s="2"/>
      <c r="AP45" s="231"/>
      <c r="AQ45" s="2">
        <f ca="1">IFERROR(__xludf.DUMMYFUNCTION("""COMPUTED_VALUE"""),45657.6666666666)</f>
        <v>45657.666666666599</v>
      </c>
      <c r="AR45" s="231">
        <f ca="1">IFERROR(__xludf.DUMMYFUNCTION("""COMPUTED_VALUE"""),78.8)</f>
        <v>78.8</v>
      </c>
      <c r="AS45" s="27"/>
      <c r="AT45" s="232"/>
      <c r="AU45" s="219"/>
      <c r="AV45" s="219"/>
      <c r="AW45" s="219"/>
      <c r="AX45" s="219"/>
      <c r="AY45" s="232"/>
      <c r="AZ45" s="232"/>
      <c r="BA45" s="219"/>
      <c r="BB45" s="232"/>
      <c r="BC45" s="232"/>
      <c r="BD45" s="232"/>
      <c r="BE45" s="232"/>
      <c r="BF45" s="232"/>
      <c r="BG45" s="219"/>
      <c r="BH45" s="219"/>
      <c r="BI45" s="219"/>
      <c r="BJ45" s="219"/>
      <c r="BK45" s="219"/>
      <c r="BL45" s="219"/>
      <c r="BM45" s="219"/>
      <c r="BN45" s="219"/>
      <c r="BO45" s="219"/>
      <c r="BP45" s="219"/>
      <c r="BQ45" s="232"/>
      <c r="BR45" s="232"/>
      <c r="BS45" s="232"/>
      <c r="BT45" s="232"/>
      <c r="BU45" s="232"/>
      <c r="BV45" s="232"/>
      <c r="BW45" s="232"/>
      <c r="BX45" s="232"/>
      <c r="BY45" s="232"/>
      <c r="BZ45" s="232"/>
      <c r="CA45" s="232"/>
      <c r="CB45" s="232"/>
      <c r="CC45" s="232"/>
      <c r="CD45" s="232"/>
    </row>
    <row r="46" spans="1:82" ht="13.2">
      <c r="A46" s="3">
        <f t="shared" si="4"/>
        <v>22</v>
      </c>
      <c r="B46" s="1" t="s">
        <v>365</v>
      </c>
      <c r="C46" s="438" t="str">
        <f ca="1">IFERROR(__xludf.DUMMYFUNCTION("GoogleFinance(B46,""name"")"),"Onto Innovation Inc")</f>
        <v>Onto Innovation Inc</v>
      </c>
      <c r="D46" s="234">
        <f ca="1">IFERROR(__xludf.DUMMYFUNCTION("GoogleFinance(B46,""marketcap"")/1000000"),6251.87555)</f>
        <v>6251.8755499999997</v>
      </c>
      <c r="E46" s="246" t="s">
        <v>7</v>
      </c>
      <c r="F46" s="246" t="s">
        <v>23</v>
      </c>
      <c r="G46" s="230">
        <v>45910</v>
      </c>
      <c r="H46" s="228">
        <v>127.58</v>
      </c>
      <c r="I46" s="506">
        <v>105.1</v>
      </c>
      <c r="J46" s="507">
        <v>19.029495718363464</v>
      </c>
      <c r="K46" s="249">
        <v>2000</v>
      </c>
      <c r="L46" s="249">
        <v>2000</v>
      </c>
      <c r="M46" s="249">
        <v>2427.7830637488105</v>
      </c>
      <c r="N46" s="508">
        <v>427.78306374881049</v>
      </c>
      <c r="O46" s="509">
        <v>0.21389153187440524</v>
      </c>
      <c r="P46" s="626">
        <v>19</v>
      </c>
      <c r="Q46" s="228">
        <v>98</v>
      </c>
      <c r="R46" s="627">
        <v>-0.23185452265245332</v>
      </c>
      <c r="S46" s="23">
        <v>123</v>
      </c>
      <c r="T46" s="628">
        <v>-3.5899043737262826E-2</v>
      </c>
      <c r="U46" s="299">
        <v>-2.7000000000000001E-3</v>
      </c>
      <c r="V46" s="590">
        <v>4.0026086247656245E-2</v>
      </c>
      <c r="W46" s="394">
        <v>0.20358490566037735</v>
      </c>
      <c r="X46" s="394">
        <v>0.26404438719904877</v>
      </c>
      <c r="Y46" s="394">
        <v>5.1425745838140635E-2</v>
      </c>
      <c r="Z46" s="394">
        <v>-0.23453530929381405</v>
      </c>
      <c r="AA46" s="629" t="s">
        <v>84</v>
      </c>
      <c r="AB46" s="630" t="s">
        <v>85</v>
      </c>
      <c r="AC46" s="631" t="s">
        <v>85</v>
      </c>
      <c r="AD46" s="632" t="s">
        <v>100</v>
      </c>
      <c r="AE46" s="219"/>
      <c r="AF46" s="27"/>
      <c r="AG46" s="27"/>
      <c r="AH46" s="27"/>
      <c r="AI46" s="575" t="str">
        <f ca="1">IFERROR(__xludf.DUMMYFUNCTION("GoogleFinance(B46,""price"",DATE(2025,9,19))"),"Date")</f>
        <v>Date</v>
      </c>
      <c r="AJ46" s="576" t="str">
        <f ca="1">IFERROR(__xludf.DUMMYFUNCTION("""COMPUTED_VALUE"""),"Close")</f>
        <v>Close</v>
      </c>
      <c r="AK46" s="575" t="str">
        <f ca="1">IFERROR(__xludf.DUMMYFUNCTION("GoogleFinance(B46,""price"",DATE(2025,8,29))"),"Date")</f>
        <v>Date</v>
      </c>
      <c r="AL46" s="576" t="str">
        <f ca="1">IFERROR(__xludf.DUMMYFUNCTION("""COMPUTED_VALUE"""),"Close")</f>
        <v>Close</v>
      </c>
      <c r="AM46" s="575" t="str">
        <f ca="1">IFERROR(__xludf.DUMMYFUNCTION("GoogleFinance(B46,""price"",today()-93)"),"#N/A")</f>
        <v>#N/A</v>
      </c>
      <c r="AN46" s="576"/>
      <c r="AO46" s="575" t="str">
        <f ca="1">IFERROR(__xludf.DUMMYFUNCTION("GoogleFinance(B46,""price"",today()-183)"),"#N/A")</f>
        <v>#N/A</v>
      </c>
      <c r="AP46" s="576"/>
      <c r="AQ46" s="575" t="str">
        <f ca="1">IFERROR(__xludf.DUMMYFUNCTION("GoogleFinance(B46,""price"",DATE(2024,12,31))"),"Date")</f>
        <v>Date</v>
      </c>
      <c r="AR46" s="576" t="str">
        <f ca="1">IFERROR(__xludf.DUMMYFUNCTION("""COMPUTED_VALUE"""),"Close")</f>
        <v>Close</v>
      </c>
      <c r="AS46" s="27"/>
      <c r="AT46" s="232"/>
      <c r="AU46" s="219"/>
      <c r="AV46" s="219"/>
      <c r="AW46" s="219"/>
      <c r="AX46" s="219"/>
      <c r="AY46" s="232"/>
      <c r="AZ46" s="232"/>
      <c r="BA46" s="219"/>
      <c r="BB46" s="232"/>
      <c r="BC46" s="232"/>
      <c r="BD46" s="232"/>
      <c r="BE46" s="232"/>
      <c r="BF46" s="232"/>
      <c r="BG46" s="219"/>
      <c r="BH46" s="219"/>
      <c r="BI46" s="219"/>
      <c r="BJ46" s="219"/>
      <c r="BK46" s="219"/>
      <c r="BL46" s="219"/>
      <c r="BM46" s="219"/>
      <c r="BN46" s="219"/>
      <c r="BO46" s="219"/>
      <c r="BP46" s="219"/>
      <c r="BQ46" s="232"/>
      <c r="BR46" s="232"/>
      <c r="BS46" s="232"/>
      <c r="BT46" s="232"/>
      <c r="BU46" s="232"/>
      <c r="BV46" s="232"/>
      <c r="BW46" s="232"/>
      <c r="BX46" s="232"/>
      <c r="BY46" s="232"/>
      <c r="BZ46" s="232"/>
      <c r="CA46" s="232"/>
      <c r="CB46" s="232"/>
      <c r="CC46" s="232"/>
      <c r="CD46" s="232"/>
    </row>
    <row r="47" spans="1:82" ht="13.2" hidden="1">
      <c r="A47" s="3" t="e">
        <f t="shared" si="4"/>
        <v>#REF!</v>
      </c>
      <c r="B47" s="642"/>
      <c r="C47" s="643"/>
      <c r="D47" s="643"/>
      <c r="E47" s="644"/>
      <c r="F47" s="644"/>
      <c r="G47" s="645"/>
      <c r="H47" s="646"/>
      <c r="I47" s="647"/>
      <c r="J47" s="648"/>
      <c r="K47" s="649"/>
      <c r="L47" s="649"/>
      <c r="M47" s="649"/>
      <c r="N47" s="649"/>
      <c r="O47" s="650"/>
      <c r="P47" s="646"/>
      <c r="Q47" s="646"/>
      <c r="R47" s="650"/>
      <c r="S47" s="646"/>
      <c r="T47" s="650"/>
      <c r="U47" s="651"/>
      <c r="V47" s="652"/>
      <c r="W47" s="650"/>
      <c r="X47" s="650"/>
      <c r="Y47" s="650"/>
      <c r="Z47" s="650"/>
      <c r="AA47" s="653"/>
      <c r="AB47" s="654"/>
      <c r="AC47" s="655"/>
      <c r="AD47" s="655"/>
      <c r="AE47" s="646"/>
      <c r="AF47" s="650"/>
      <c r="AG47" s="650"/>
      <c r="AH47" s="650"/>
      <c r="AI47" s="656">
        <f ca="1">IFERROR(__xludf.DUMMYFUNCTION("""COMPUTED_VALUE"""),45919.6666666666)</f>
        <v>45919.666666666599</v>
      </c>
      <c r="AJ47" s="657">
        <f ca="1">IFERROR(__xludf.DUMMYFUNCTION("""COMPUTED_VALUE"""),122.67)</f>
        <v>122.67</v>
      </c>
      <c r="AK47" s="656">
        <f ca="1">IFERROR(__xludf.DUMMYFUNCTION("""COMPUTED_VALUE"""),45898.6666666666)</f>
        <v>45898.666666666599</v>
      </c>
      <c r="AL47" s="658">
        <f ca="1">IFERROR(__xludf.DUMMYFUNCTION("""COMPUTED_VALUE"""),106)</f>
        <v>106</v>
      </c>
      <c r="AM47" s="659"/>
      <c r="AN47" s="658"/>
      <c r="AO47" s="659"/>
      <c r="AP47" s="658"/>
      <c r="AQ47" s="659">
        <f ca="1">IFERROR(__xludf.DUMMYFUNCTION("""COMPUTED_VALUE"""),45657.6666666666)</f>
        <v>45657.666666666599</v>
      </c>
      <c r="AR47" s="658">
        <f ca="1">IFERROR(__xludf.DUMMYFUNCTION("""COMPUTED_VALUE"""),166.67)</f>
        <v>166.67</v>
      </c>
      <c r="AS47" s="650"/>
      <c r="AT47" s="660"/>
      <c r="AU47" s="646"/>
      <c r="AV47" s="646"/>
      <c r="AW47" s="646"/>
      <c r="AX47" s="646"/>
      <c r="AY47" s="660"/>
      <c r="AZ47" s="660"/>
      <c r="BA47" s="646"/>
      <c r="BB47" s="660"/>
      <c r="BC47" s="660"/>
      <c r="BD47" s="660"/>
      <c r="BE47" s="660"/>
      <c r="BF47" s="660"/>
      <c r="BG47" s="646"/>
      <c r="BH47" s="646"/>
      <c r="BI47" s="646"/>
      <c r="BJ47" s="646"/>
      <c r="BK47" s="646"/>
      <c r="BL47" s="646"/>
      <c r="BM47" s="646"/>
      <c r="BN47" s="646"/>
      <c r="BO47" s="646"/>
      <c r="BP47" s="646"/>
      <c r="BQ47" s="660"/>
      <c r="BR47" s="660"/>
      <c r="BS47" s="660"/>
      <c r="BT47" s="660"/>
      <c r="BU47" s="660"/>
      <c r="BV47" s="660"/>
      <c r="BW47" s="660"/>
      <c r="BX47" s="660"/>
      <c r="BY47" s="660"/>
      <c r="BZ47" s="660"/>
      <c r="CA47" s="660"/>
      <c r="CB47" s="660"/>
      <c r="CC47" s="660"/>
      <c r="CD47" s="660"/>
    </row>
    <row r="48" spans="1:82" ht="13.2">
      <c r="A48" s="3">
        <f t="shared" si="4"/>
        <v>23</v>
      </c>
      <c r="B48" s="1" t="s">
        <v>366</v>
      </c>
      <c r="C48" s="438" t="str">
        <f ca="1">IFERROR(__xludf.DUMMYFUNCTION("GoogleFinance(B48,""name"")"),"Quantumscape Corp")</f>
        <v>Quantumscape Corp</v>
      </c>
      <c r="D48" s="234">
        <f ca="1">IFERROR(__xludf.DUMMYFUNCTION("GoogleFinance(B48,""marketcap"")/1000000"),7165.839699)</f>
        <v>7165.8396990000001</v>
      </c>
      <c r="E48" s="246" t="s">
        <v>367</v>
      </c>
      <c r="F48" s="246" t="s">
        <v>368</v>
      </c>
      <c r="G48" s="230">
        <v>45891</v>
      </c>
      <c r="H48" s="228">
        <v>12.66</v>
      </c>
      <c r="I48" s="506">
        <v>8.19</v>
      </c>
      <c r="J48" s="507">
        <v>122.10012210012211</v>
      </c>
      <c r="K48" s="249">
        <v>1000</v>
      </c>
      <c r="L48" s="249">
        <v>1000</v>
      </c>
      <c r="M48" s="249">
        <v>1545.7875457875459</v>
      </c>
      <c r="N48" s="508">
        <v>545.78754578754592</v>
      </c>
      <c r="O48" s="509">
        <v>0.54578754578754596</v>
      </c>
      <c r="P48" s="626">
        <v>38</v>
      </c>
      <c r="Q48" s="228">
        <v>5.5</v>
      </c>
      <c r="R48" s="627">
        <v>-0.56556082148499209</v>
      </c>
      <c r="S48" s="23">
        <v>25</v>
      </c>
      <c r="T48" s="628">
        <v>0.97472353870458139</v>
      </c>
      <c r="U48" s="299">
        <v>1.2800000000000001E-2</v>
      </c>
      <c r="V48" s="590">
        <v>-5.663189269746649E-2</v>
      </c>
      <c r="W48" s="394">
        <v>0.59646910466582614</v>
      </c>
      <c r="X48" s="394">
        <v>0.88392857142857162</v>
      </c>
      <c r="Y48" s="394">
        <v>2.0432692307692308</v>
      </c>
      <c r="Z48" s="394">
        <v>1.4393063583815029</v>
      </c>
      <c r="AA48" s="629" t="s">
        <v>84</v>
      </c>
      <c r="AB48" s="630" t="s">
        <v>85</v>
      </c>
      <c r="AC48" s="631" t="s">
        <v>85</v>
      </c>
      <c r="AD48" s="632" t="s">
        <v>100</v>
      </c>
      <c r="AE48" s="219"/>
      <c r="AF48" s="27"/>
      <c r="AG48" s="27"/>
      <c r="AH48" s="27"/>
      <c r="AI48" s="575" t="str">
        <f ca="1">IFERROR(__xludf.DUMMYFUNCTION("GoogleFinance(B48,""price"",DATE(2025,9,19))"),"Date")</f>
        <v>Date</v>
      </c>
      <c r="AJ48" s="576" t="str">
        <f ca="1">IFERROR(__xludf.DUMMYFUNCTION("""COMPUTED_VALUE"""),"Close")</f>
        <v>Close</v>
      </c>
      <c r="AK48" s="575" t="str">
        <f ca="1">IFERROR(__xludf.DUMMYFUNCTION("GoogleFinance(B48,""price"",DATE(2025,8,29))"),"Date")</f>
        <v>Date</v>
      </c>
      <c r="AL48" s="576" t="str">
        <f ca="1">IFERROR(__xludf.DUMMYFUNCTION("""COMPUTED_VALUE"""),"Close")</f>
        <v>Close</v>
      </c>
      <c r="AM48" s="575" t="str">
        <f ca="1">IFERROR(__xludf.DUMMYFUNCTION("GoogleFinance(B48,""price"",today()-93)"),"#N/A")</f>
        <v>#N/A</v>
      </c>
      <c r="AN48" s="576"/>
      <c r="AO48" s="575" t="str">
        <f ca="1">IFERROR(__xludf.DUMMYFUNCTION("GoogleFinance(B48,""price"",today()-183)"),"#N/A")</f>
        <v>#N/A</v>
      </c>
      <c r="AP48" s="576"/>
      <c r="AQ48" s="575" t="str">
        <f ca="1">IFERROR(__xludf.DUMMYFUNCTION("GoogleFinance(B48,""price"",DATE(2024,12,31))"),"Date")</f>
        <v>Date</v>
      </c>
      <c r="AR48" s="576" t="str">
        <f ca="1">IFERROR(__xludf.DUMMYFUNCTION("""COMPUTED_VALUE"""),"Close")</f>
        <v>Close</v>
      </c>
      <c r="AS48" s="27"/>
      <c r="AT48" s="232"/>
      <c r="AU48" s="219"/>
      <c r="AV48" s="219"/>
      <c r="AW48" s="219"/>
      <c r="AX48" s="219"/>
      <c r="AY48" s="232"/>
      <c r="AZ48" s="232"/>
      <c r="BA48" s="219"/>
      <c r="BB48" s="232"/>
      <c r="BC48" s="232"/>
      <c r="BD48" s="232"/>
      <c r="BE48" s="232"/>
      <c r="BF48" s="232"/>
      <c r="BG48" s="219"/>
      <c r="BH48" s="219"/>
      <c r="BI48" s="219"/>
      <c r="BJ48" s="219"/>
      <c r="BK48" s="219"/>
      <c r="BL48" s="219"/>
      <c r="BM48" s="219"/>
      <c r="BN48" s="219"/>
      <c r="BO48" s="219"/>
      <c r="BP48" s="219"/>
      <c r="BQ48" s="232"/>
      <c r="BR48" s="232"/>
      <c r="BS48" s="232"/>
      <c r="BT48" s="232"/>
      <c r="BU48" s="232"/>
      <c r="BV48" s="232"/>
      <c r="BW48" s="232"/>
      <c r="BX48" s="232"/>
      <c r="BY48" s="232"/>
      <c r="BZ48" s="232"/>
      <c r="CA48" s="232"/>
      <c r="CB48" s="232"/>
      <c r="CC48" s="232"/>
      <c r="CD48" s="232"/>
    </row>
    <row r="49" spans="1:82" ht="13.2" hidden="1">
      <c r="A49" s="3" t="e">
        <f>#REF!+1</f>
        <v>#REF!</v>
      </c>
      <c r="B49" s="633"/>
      <c r="C49" s="634"/>
      <c r="D49" s="634"/>
      <c r="E49" s="220"/>
      <c r="F49" s="220"/>
      <c r="G49" s="221"/>
      <c r="H49" s="219"/>
      <c r="I49" s="223"/>
      <c r="J49" s="224"/>
      <c r="K49" s="225"/>
      <c r="L49" s="225"/>
      <c r="M49" s="225"/>
      <c r="N49" s="225"/>
      <c r="O49" s="27"/>
      <c r="P49" s="219"/>
      <c r="Q49" s="219"/>
      <c r="R49" s="27"/>
      <c r="S49" s="219"/>
      <c r="T49" s="27"/>
      <c r="U49" s="635"/>
      <c r="V49" s="636"/>
      <c r="W49" s="27"/>
      <c r="X49" s="27"/>
      <c r="Y49" s="27"/>
      <c r="Z49" s="27"/>
      <c r="AA49" s="637"/>
      <c r="AB49" s="638"/>
      <c r="AC49" s="639"/>
      <c r="AD49" s="639"/>
      <c r="AE49" s="219"/>
      <c r="AF49" s="27"/>
      <c r="AG49" s="27"/>
      <c r="AH49" s="27"/>
      <c r="AI49" s="640">
        <f ca="1">IFERROR(__xludf.DUMMYFUNCTION("""COMPUTED_VALUE"""),45919.6666666666)</f>
        <v>45919.666666666599</v>
      </c>
      <c r="AJ49" s="641">
        <f ca="1">IFERROR(__xludf.DUMMYFUNCTION("""COMPUTED_VALUE"""),13.42)</f>
        <v>13.42</v>
      </c>
      <c r="AK49" s="640">
        <f ca="1">IFERROR(__xludf.DUMMYFUNCTION("""COMPUTED_VALUE"""),45898.6666666666)</f>
        <v>45898.666666666599</v>
      </c>
      <c r="AL49" s="231">
        <f ca="1">IFERROR(__xludf.DUMMYFUNCTION("""COMPUTED_VALUE"""),7.93)</f>
        <v>7.93</v>
      </c>
      <c r="AM49" s="2"/>
      <c r="AN49" s="231"/>
      <c r="AO49" s="2"/>
      <c r="AP49" s="231"/>
      <c r="AQ49" s="2">
        <f ca="1">IFERROR(__xludf.DUMMYFUNCTION("""COMPUTED_VALUE"""),45657.6666666666)</f>
        <v>45657.666666666599</v>
      </c>
      <c r="AR49" s="231">
        <f ca="1">IFERROR(__xludf.DUMMYFUNCTION("""COMPUTED_VALUE"""),5.19)</f>
        <v>5.19</v>
      </c>
      <c r="AS49" s="27"/>
      <c r="AT49" s="232"/>
      <c r="AU49" s="219"/>
      <c r="AV49" s="219"/>
      <c r="AW49" s="219"/>
      <c r="AX49" s="219"/>
      <c r="AY49" s="232"/>
      <c r="AZ49" s="232"/>
      <c r="BA49" s="219"/>
      <c r="BB49" s="232"/>
      <c r="BC49" s="232"/>
      <c r="BD49" s="232"/>
      <c r="BE49" s="232"/>
      <c r="BF49" s="232"/>
      <c r="BG49" s="219"/>
      <c r="BH49" s="219"/>
      <c r="BI49" s="219"/>
      <c r="BJ49" s="219"/>
      <c r="BK49" s="219"/>
      <c r="BL49" s="219"/>
      <c r="BM49" s="219"/>
      <c r="BN49" s="219"/>
      <c r="BO49" s="219"/>
      <c r="BP49" s="219"/>
      <c r="BQ49" s="232"/>
      <c r="BR49" s="232"/>
      <c r="BS49" s="232"/>
      <c r="BT49" s="232"/>
      <c r="BU49" s="232"/>
      <c r="BV49" s="232"/>
      <c r="BW49" s="232"/>
      <c r="BX49" s="232"/>
      <c r="BY49" s="232"/>
      <c r="BZ49" s="232"/>
      <c r="CA49" s="232"/>
      <c r="CB49" s="232"/>
      <c r="CC49" s="232"/>
      <c r="CD49" s="232"/>
    </row>
    <row r="50" spans="1:82" ht="13.2">
      <c r="A50" s="3">
        <f t="shared" ref="A50:A54" si="5">A48+1</f>
        <v>24</v>
      </c>
      <c r="B50" s="1" t="s">
        <v>369</v>
      </c>
      <c r="C50" s="438" t="str">
        <f ca="1">IFERROR(__xludf.DUMMYFUNCTION("GoogleFinance(B50,""name"")"),"Quantum Computing Inc")</f>
        <v>Quantum Computing Inc</v>
      </c>
      <c r="D50" s="234">
        <f ca="1">IFERROR(__xludf.DUMMYFUNCTION("GoogleFinance(B50,""marketcap"")/1000000"),3762.086893)</f>
        <v>3762.0868930000001</v>
      </c>
      <c r="E50" s="246" t="s">
        <v>7</v>
      </c>
      <c r="F50" s="246" t="s">
        <v>370</v>
      </c>
      <c r="G50" s="230">
        <v>45919</v>
      </c>
      <c r="H50" s="228">
        <v>20.149999999999999</v>
      </c>
      <c r="I50" s="506">
        <v>18.95</v>
      </c>
      <c r="J50" s="507">
        <v>105.54089709762533</v>
      </c>
      <c r="K50" s="249">
        <v>2000</v>
      </c>
      <c r="L50" s="249">
        <v>2000</v>
      </c>
      <c r="M50" s="249">
        <v>2126.6490765171502</v>
      </c>
      <c r="N50" s="508">
        <v>126.64907651715021</v>
      </c>
      <c r="O50" s="509">
        <v>6.3324538258575105E-2</v>
      </c>
      <c r="P50" s="626">
        <v>10</v>
      </c>
      <c r="Q50" s="228">
        <v>15</v>
      </c>
      <c r="R50" s="627">
        <v>-0.25558312655086846</v>
      </c>
      <c r="S50" s="23">
        <v>28</v>
      </c>
      <c r="T50" s="628">
        <v>0.38957816377171217</v>
      </c>
      <c r="U50" s="299">
        <v>-2.1099999999999997E-2</v>
      </c>
      <c r="V50" s="590">
        <v>-0.13407821229050287</v>
      </c>
      <c r="W50" s="394">
        <v>0.27693282636248417</v>
      </c>
      <c r="X50" s="394">
        <v>5.1121544079290482E-2</v>
      </c>
      <c r="Y50" s="394">
        <v>1.5187499999999998</v>
      </c>
      <c r="Z50" s="394">
        <v>0.21752265861027187</v>
      </c>
      <c r="AA50" s="629" t="s">
        <v>84</v>
      </c>
      <c r="AB50" s="630" t="s">
        <v>85</v>
      </c>
      <c r="AC50" s="631" t="s">
        <v>85</v>
      </c>
      <c r="AD50" s="632" t="s">
        <v>100</v>
      </c>
      <c r="AE50" s="219"/>
      <c r="AF50" s="27"/>
      <c r="AG50" s="27"/>
      <c r="AH50" s="27"/>
      <c r="AI50" s="575" t="str">
        <f ca="1">IFERROR(__xludf.DUMMYFUNCTION("GoogleFinance(B50,""price"",DATE(2025,9,19))"),"Date")</f>
        <v>Date</v>
      </c>
      <c r="AJ50" s="576" t="str">
        <f ca="1">IFERROR(__xludf.DUMMYFUNCTION("""COMPUTED_VALUE"""),"Close")</f>
        <v>Close</v>
      </c>
      <c r="AK50" s="575" t="str">
        <f ca="1">IFERROR(__xludf.DUMMYFUNCTION("GoogleFinance(B50,""price"",DATE(2025,8,29))"),"Date")</f>
        <v>Date</v>
      </c>
      <c r="AL50" s="576" t="str">
        <f ca="1">IFERROR(__xludf.DUMMYFUNCTION("""COMPUTED_VALUE"""),"Close")</f>
        <v>Close</v>
      </c>
      <c r="AM50" s="575" t="str">
        <f ca="1">IFERROR(__xludf.DUMMYFUNCTION("GoogleFinance(B50,""price"",today()-93)"),"#N/A")</f>
        <v>#N/A</v>
      </c>
      <c r="AN50" s="576"/>
      <c r="AO50" s="575" t="str">
        <f ca="1">IFERROR(__xludf.DUMMYFUNCTION("GoogleFinance(B50,""price"",today()-183)"),"#N/A")</f>
        <v>#N/A</v>
      </c>
      <c r="AP50" s="576"/>
      <c r="AQ50" s="575" t="str">
        <f ca="1">IFERROR(__xludf.DUMMYFUNCTION("GoogleFinance(B50,""price"",DATE(2024,12,31))"),"Date")</f>
        <v>Date</v>
      </c>
      <c r="AR50" s="576" t="str">
        <f ca="1">IFERROR(__xludf.DUMMYFUNCTION("""COMPUTED_VALUE"""),"Close")</f>
        <v>Close</v>
      </c>
      <c r="AS50" s="27"/>
      <c r="AT50" s="232"/>
      <c r="AU50" s="219"/>
      <c r="AV50" s="219"/>
      <c r="AW50" s="219"/>
      <c r="AX50" s="219"/>
      <c r="AY50" s="232"/>
      <c r="AZ50" s="232"/>
      <c r="BA50" s="219"/>
      <c r="BB50" s="232"/>
      <c r="BC50" s="232"/>
      <c r="BD50" s="232"/>
      <c r="BE50" s="232"/>
      <c r="BF50" s="232"/>
      <c r="BG50" s="219"/>
      <c r="BH50" s="219"/>
      <c r="BI50" s="219"/>
      <c r="BJ50" s="219"/>
      <c r="BK50" s="219"/>
      <c r="BL50" s="219"/>
      <c r="BM50" s="219"/>
      <c r="BN50" s="219"/>
      <c r="BO50" s="219"/>
      <c r="BP50" s="219"/>
      <c r="BQ50" s="232"/>
      <c r="BR50" s="232"/>
      <c r="BS50" s="232"/>
      <c r="BT50" s="232"/>
      <c r="BU50" s="232"/>
      <c r="BV50" s="232"/>
      <c r="BW50" s="232"/>
      <c r="BX50" s="232"/>
      <c r="BY50" s="232"/>
      <c r="BZ50" s="232"/>
      <c r="CA50" s="232"/>
      <c r="CB50" s="232"/>
      <c r="CC50" s="232"/>
      <c r="CD50" s="232"/>
    </row>
    <row r="51" spans="1:82" ht="13.2" hidden="1">
      <c r="A51" s="3" t="e">
        <f t="shared" si="5"/>
        <v>#REF!</v>
      </c>
      <c r="B51" s="633"/>
      <c r="C51" s="634"/>
      <c r="D51" s="634"/>
      <c r="E51" s="220"/>
      <c r="F51" s="220"/>
      <c r="G51" s="221"/>
      <c r="H51" s="219"/>
      <c r="I51" s="223"/>
      <c r="J51" s="224"/>
      <c r="K51" s="225"/>
      <c r="L51" s="225"/>
      <c r="M51" s="225"/>
      <c r="N51" s="225"/>
      <c r="O51" s="27"/>
      <c r="P51" s="219"/>
      <c r="Q51" s="219"/>
      <c r="R51" s="27"/>
      <c r="S51" s="219"/>
      <c r="T51" s="27"/>
      <c r="U51" s="635"/>
      <c r="V51" s="636"/>
      <c r="W51" s="27"/>
      <c r="X51" s="27"/>
      <c r="Y51" s="27"/>
      <c r="Z51" s="27"/>
      <c r="AA51" s="637"/>
      <c r="AB51" s="638"/>
      <c r="AC51" s="639"/>
      <c r="AD51" s="639"/>
      <c r="AE51" s="219"/>
      <c r="AF51" s="27"/>
      <c r="AG51" s="27"/>
      <c r="AH51" s="27"/>
      <c r="AI51" s="640">
        <f ca="1">IFERROR(__xludf.DUMMYFUNCTION("""COMPUTED_VALUE"""),45919.6666666666)</f>
        <v>45919.666666666599</v>
      </c>
      <c r="AJ51" s="641">
        <f ca="1">IFERROR(__xludf.DUMMYFUNCTION("""COMPUTED_VALUE"""),23.27)</f>
        <v>23.27</v>
      </c>
      <c r="AK51" s="640">
        <f ca="1">IFERROR(__xludf.DUMMYFUNCTION("""COMPUTED_VALUE"""),45898.6666666666)</f>
        <v>45898.666666666599</v>
      </c>
      <c r="AL51" s="231">
        <f ca="1">IFERROR(__xludf.DUMMYFUNCTION("""COMPUTED_VALUE"""),15.78)</f>
        <v>15.78</v>
      </c>
      <c r="AM51" s="2"/>
      <c r="AN51" s="231"/>
      <c r="AO51" s="2"/>
      <c r="AP51" s="231"/>
      <c r="AQ51" s="2">
        <f ca="1">IFERROR(__xludf.DUMMYFUNCTION("""COMPUTED_VALUE"""),45657.6666666666)</f>
        <v>45657.666666666599</v>
      </c>
      <c r="AR51" s="231">
        <f ca="1">IFERROR(__xludf.DUMMYFUNCTION("""COMPUTED_VALUE"""),16.55)</f>
        <v>16.55</v>
      </c>
      <c r="AS51" s="27"/>
      <c r="AT51" s="232"/>
      <c r="AU51" s="219"/>
      <c r="AV51" s="219"/>
      <c r="AW51" s="219"/>
      <c r="AX51" s="219"/>
      <c r="AY51" s="232"/>
      <c r="AZ51" s="232"/>
      <c r="BA51" s="219"/>
      <c r="BB51" s="232"/>
      <c r="BC51" s="232"/>
      <c r="BD51" s="232"/>
      <c r="BE51" s="232"/>
      <c r="BF51" s="232"/>
      <c r="BG51" s="219"/>
      <c r="BH51" s="219"/>
      <c r="BI51" s="219"/>
      <c r="BJ51" s="219"/>
      <c r="BK51" s="219"/>
      <c r="BL51" s="219"/>
      <c r="BM51" s="219"/>
      <c r="BN51" s="219"/>
      <c r="BO51" s="219"/>
      <c r="BP51" s="219"/>
      <c r="BQ51" s="232"/>
      <c r="BR51" s="232"/>
      <c r="BS51" s="232"/>
      <c r="BT51" s="232"/>
      <c r="BU51" s="232"/>
      <c r="BV51" s="232"/>
      <c r="BW51" s="232"/>
      <c r="BX51" s="232"/>
      <c r="BY51" s="232"/>
      <c r="BZ51" s="232"/>
      <c r="CA51" s="232"/>
      <c r="CB51" s="232"/>
      <c r="CC51" s="232"/>
      <c r="CD51" s="232"/>
    </row>
    <row r="52" spans="1:82" ht="13.2">
      <c r="A52" s="3">
        <f t="shared" si="5"/>
        <v>25</v>
      </c>
      <c r="B52" s="1" t="s">
        <v>371</v>
      </c>
      <c r="C52" s="438" t="str">
        <f ca="1">IFERROR(__xludf.DUMMYFUNCTION("GoogleFinance(B52,""name"")"),"Quantum Corp")</f>
        <v>Quantum Corp</v>
      </c>
      <c r="D52" s="234">
        <f ca="1">IFERROR(__xludf.DUMMYFUNCTION("GoogleFinance(B52,""marketcap"")/1000000"),126.266483)</f>
        <v>126.26648299999999</v>
      </c>
      <c r="E52" s="246" t="s">
        <v>7</v>
      </c>
      <c r="F52" s="246" t="s">
        <v>370</v>
      </c>
      <c r="G52" s="230">
        <v>45919</v>
      </c>
      <c r="H52" s="228">
        <v>9.48</v>
      </c>
      <c r="I52" s="506">
        <v>10.4</v>
      </c>
      <c r="J52" s="507">
        <v>96.153846153846146</v>
      </c>
      <c r="K52" s="249">
        <v>1000</v>
      </c>
      <c r="L52" s="249">
        <v>1000</v>
      </c>
      <c r="M52" s="249">
        <v>911.53846153846155</v>
      </c>
      <c r="N52" s="508">
        <v>-88.461538461538453</v>
      </c>
      <c r="O52" s="509">
        <v>-8.8461538461538453E-2</v>
      </c>
      <c r="P52" s="626">
        <v>10</v>
      </c>
      <c r="Q52" s="228">
        <v>6</v>
      </c>
      <c r="R52" s="627">
        <v>-0.36708860759493678</v>
      </c>
      <c r="S52" s="23">
        <v>41</v>
      </c>
      <c r="T52" s="628">
        <v>3.3248945147679319</v>
      </c>
      <c r="U52" s="299">
        <v>-1.46E-2</v>
      </c>
      <c r="V52" s="590">
        <v>-0.20202020202020199</v>
      </c>
      <c r="W52" s="394">
        <v>0.27590847913862726</v>
      </c>
      <c r="X52" s="394">
        <v>-4.9147442326980983E-2</v>
      </c>
      <c r="Y52" s="394">
        <v>-0.34075104311543813</v>
      </c>
      <c r="Z52" s="394">
        <v>-0.8241839762611276</v>
      </c>
      <c r="AA52" s="629" t="s">
        <v>84</v>
      </c>
      <c r="AB52" s="630" t="s">
        <v>85</v>
      </c>
      <c r="AC52" s="631" t="s">
        <v>85</v>
      </c>
      <c r="AD52" s="632" t="s">
        <v>100</v>
      </c>
      <c r="AE52" s="219"/>
      <c r="AF52" s="27"/>
      <c r="AG52" s="27"/>
      <c r="AH52" s="27"/>
      <c r="AI52" s="575" t="str">
        <f ca="1">IFERROR(__xludf.DUMMYFUNCTION("GoogleFinance(B52,""price"",DATE(2025,9,19))"),"Date")</f>
        <v>Date</v>
      </c>
      <c r="AJ52" s="576" t="str">
        <f ca="1">IFERROR(__xludf.DUMMYFUNCTION("""COMPUTED_VALUE"""),"Close")</f>
        <v>Close</v>
      </c>
      <c r="AK52" s="575" t="str">
        <f ca="1">IFERROR(__xludf.DUMMYFUNCTION("GoogleFinance(B52,""price"",DATE(2025,8,29))"),"Date")</f>
        <v>Date</v>
      </c>
      <c r="AL52" s="576" t="str">
        <f ca="1">IFERROR(__xludf.DUMMYFUNCTION("""COMPUTED_VALUE"""),"Close")</f>
        <v>Close</v>
      </c>
      <c r="AM52" s="575" t="str">
        <f ca="1">IFERROR(__xludf.DUMMYFUNCTION("GoogleFinance(B52,""price"",today()-93)"),"#N/A")</f>
        <v>#N/A</v>
      </c>
      <c r="AN52" s="576"/>
      <c r="AO52" s="575" t="str">
        <f ca="1">IFERROR(__xludf.DUMMYFUNCTION("GoogleFinance(B52,""price"",today()-183)"),"#N/A")</f>
        <v>#N/A</v>
      </c>
      <c r="AP52" s="576"/>
      <c r="AQ52" s="575" t="str">
        <f ca="1">IFERROR(__xludf.DUMMYFUNCTION("GoogleFinance(B52,""price"",DATE(2024,12,31))"),"Date")</f>
        <v>Date</v>
      </c>
      <c r="AR52" s="576" t="str">
        <f ca="1">IFERROR(__xludf.DUMMYFUNCTION("""COMPUTED_VALUE"""),"Close")</f>
        <v>Close</v>
      </c>
      <c r="AS52" s="27"/>
      <c r="AT52" s="232"/>
      <c r="AU52" s="219"/>
      <c r="AV52" s="219"/>
      <c r="AW52" s="219"/>
      <c r="AX52" s="219"/>
      <c r="AY52" s="232"/>
      <c r="AZ52" s="232"/>
      <c r="BA52" s="219"/>
      <c r="BB52" s="232"/>
      <c r="BC52" s="232"/>
      <c r="BD52" s="232"/>
      <c r="BE52" s="232"/>
      <c r="BF52" s="232"/>
      <c r="BG52" s="219"/>
      <c r="BH52" s="219"/>
      <c r="BI52" s="219"/>
      <c r="BJ52" s="219"/>
      <c r="BK52" s="219"/>
      <c r="BL52" s="219"/>
      <c r="BM52" s="219"/>
      <c r="BN52" s="219"/>
      <c r="BO52" s="219"/>
      <c r="BP52" s="219"/>
      <c r="BQ52" s="232"/>
      <c r="BR52" s="232"/>
      <c r="BS52" s="232"/>
      <c r="BT52" s="232"/>
      <c r="BU52" s="232"/>
      <c r="BV52" s="232"/>
      <c r="BW52" s="232"/>
      <c r="BX52" s="232"/>
      <c r="BY52" s="232"/>
      <c r="BZ52" s="232"/>
      <c r="CA52" s="232"/>
      <c r="CB52" s="232"/>
      <c r="CC52" s="232"/>
      <c r="CD52" s="232"/>
    </row>
    <row r="53" spans="1:82" ht="13.2" hidden="1">
      <c r="A53" s="661" t="e">
        <f t="shared" si="5"/>
        <v>#REF!</v>
      </c>
      <c r="B53" s="642"/>
      <c r="C53" s="643"/>
      <c r="D53" s="643"/>
      <c r="E53" s="644"/>
      <c r="F53" s="644"/>
      <c r="G53" s="645"/>
      <c r="H53" s="646"/>
      <c r="I53" s="647"/>
      <c r="J53" s="648"/>
      <c r="K53" s="649"/>
      <c r="L53" s="649"/>
      <c r="M53" s="649"/>
      <c r="N53" s="649"/>
      <c r="O53" s="650"/>
      <c r="P53" s="646"/>
      <c r="Q53" s="646"/>
      <c r="R53" s="650"/>
      <c r="S53" s="646"/>
      <c r="T53" s="650"/>
      <c r="U53" s="651"/>
      <c r="V53" s="652"/>
      <c r="W53" s="650"/>
      <c r="X53" s="650"/>
      <c r="Y53" s="650"/>
      <c r="Z53" s="650"/>
      <c r="AA53" s="653"/>
      <c r="AB53" s="654"/>
      <c r="AC53" s="655"/>
      <c r="AD53" s="655"/>
      <c r="AE53" s="646"/>
      <c r="AF53" s="650"/>
      <c r="AG53" s="650"/>
      <c r="AH53" s="650"/>
      <c r="AI53" s="656">
        <f ca="1">IFERROR(__xludf.DUMMYFUNCTION("""COMPUTED_VALUE"""),45919.6666666666)</f>
        <v>45919.666666666599</v>
      </c>
      <c r="AJ53" s="657">
        <f ca="1">IFERROR(__xludf.DUMMYFUNCTION("""COMPUTED_VALUE"""),11.88)</f>
        <v>11.88</v>
      </c>
      <c r="AK53" s="656">
        <f ca="1">IFERROR(__xludf.DUMMYFUNCTION("""COMPUTED_VALUE"""),45898.6666666666)</f>
        <v>45898.666666666599</v>
      </c>
      <c r="AL53" s="658">
        <f ca="1">IFERROR(__xludf.DUMMYFUNCTION("""COMPUTED_VALUE"""),7.43)</f>
        <v>7.43</v>
      </c>
      <c r="AM53" s="659"/>
      <c r="AN53" s="658"/>
      <c r="AO53" s="659"/>
      <c r="AP53" s="658"/>
      <c r="AQ53" s="659">
        <f ca="1">IFERROR(__xludf.DUMMYFUNCTION("""COMPUTED_VALUE"""),45657.6666666666)</f>
        <v>45657.666666666599</v>
      </c>
      <c r="AR53" s="658">
        <f ca="1">IFERROR(__xludf.DUMMYFUNCTION("""COMPUTED_VALUE"""),53.92)</f>
        <v>53.92</v>
      </c>
      <c r="AS53" s="650"/>
      <c r="AT53" s="660"/>
      <c r="AU53" s="646"/>
      <c r="AV53" s="646"/>
      <c r="AW53" s="646"/>
      <c r="AX53" s="646"/>
      <c r="AY53" s="660"/>
      <c r="AZ53" s="660"/>
      <c r="BA53" s="646"/>
      <c r="BB53" s="660"/>
      <c r="BC53" s="660"/>
      <c r="BD53" s="660"/>
      <c r="BE53" s="660"/>
      <c r="BF53" s="660"/>
      <c r="BG53" s="646"/>
      <c r="BH53" s="646"/>
      <c r="BI53" s="646"/>
      <c r="BJ53" s="646"/>
      <c r="BK53" s="646"/>
      <c r="BL53" s="646"/>
      <c r="BM53" s="646"/>
      <c r="BN53" s="646"/>
      <c r="BO53" s="646"/>
      <c r="BP53" s="646"/>
      <c r="BQ53" s="660"/>
      <c r="BR53" s="660"/>
      <c r="BS53" s="660"/>
      <c r="BT53" s="660"/>
      <c r="BU53" s="660"/>
      <c r="BV53" s="660"/>
      <c r="BW53" s="660"/>
      <c r="BX53" s="660"/>
      <c r="BY53" s="660"/>
      <c r="BZ53" s="660"/>
      <c r="CA53" s="660"/>
      <c r="CB53" s="660"/>
      <c r="CC53" s="660"/>
      <c r="CD53" s="660"/>
    </row>
    <row r="54" spans="1:82" ht="13.2">
      <c r="A54" s="3">
        <f t="shared" si="5"/>
        <v>26</v>
      </c>
      <c r="B54" s="1" t="s">
        <v>372</v>
      </c>
      <c r="C54" s="438" t="str">
        <f ca="1">IFERROR(__xludf.DUMMYFUNCTION("GoogleFinance(B54,""name"")"),"CoreWeave Inc")</f>
        <v>CoreWeave Inc</v>
      </c>
      <c r="D54" s="234">
        <f ca="1">IFERROR(__xludf.DUMMYFUNCTION("GoogleFinance(B54,""marketcap"")/1000000"),58794.788792)</f>
        <v>58794.788791999999</v>
      </c>
      <c r="E54" s="246" t="s">
        <v>7</v>
      </c>
      <c r="F54" s="246" t="s">
        <v>373</v>
      </c>
      <c r="G54" s="266">
        <v>45909</v>
      </c>
      <c r="H54" s="228">
        <v>120.34</v>
      </c>
      <c r="I54" s="506">
        <v>97.74</v>
      </c>
      <c r="J54" s="507">
        <v>10.23122570083896</v>
      </c>
      <c r="K54" s="249">
        <v>999.99999999999989</v>
      </c>
      <c r="L54" s="249">
        <v>999.99999999999989</v>
      </c>
      <c r="M54" s="249">
        <v>1231.2257008389606</v>
      </c>
      <c r="N54" s="508">
        <v>231.22570083896073</v>
      </c>
      <c r="O54" s="509">
        <v>0.23122570083896077</v>
      </c>
      <c r="P54" s="626">
        <v>20</v>
      </c>
      <c r="Q54" s="228">
        <v>60</v>
      </c>
      <c r="R54" s="627">
        <v>-0.50141266411833141</v>
      </c>
      <c r="S54" s="23">
        <v>280</v>
      </c>
      <c r="T54" s="628">
        <v>1.3267409007811199</v>
      </c>
      <c r="U54" s="299">
        <v>-4.99E-2</v>
      </c>
      <c r="V54" s="590">
        <v>-3.6200544609963137E-2</v>
      </c>
      <c r="W54" s="394">
        <v>0.16789596273291929</v>
      </c>
      <c r="X54" s="394">
        <v>-0.26198945173555743</v>
      </c>
      <c r="Y54" s="394">
        <v>2.2454153182308523</v>
      </c>
      <c r="Z54" s="394" t="e">
        <v>#DIV/0!</v>
      </c>
      <c r="AA54" s="629" t="s">
        <v>84</v>
      </c>
      <c r="AB54" s="630" t="s">
        <v>85</v>
      </c>
      <c r="AC54" s="631" t="s">
        <v>85</v>
      </c>
      <c r="AD54" s="632" t="s">
        <v>100</v>
      </c>
      <c r="AE54" s="219"/>
      <c r="AF54" s="27"/>
      <c r="AG54" s="27"/>
      <c r="AH54" s="27"/>
      <c r="AI54" s="575" t="str">
        <f ca="1">IFERROR(__xludf.DUMMYFUNCTION("GoogleFinance(B54,""price"",DATE(2025,9,19))"),"Date")</f>
        <v>Date</v>
      </c>
      <c r="AJ54" s="576" t="str">
        <f ca="1">IFERROR(__xludf.DUMMYFUNCTION("""COMPUTED_VALUE"""),"Close")</f>
        <v>Close</v>
      </c>
      <c r="AK54" s="575" t="str">
        <f ca="1">IFERROR(__xludf.DUMMYFUNCTION("GoogleFinance(B54,""price"",DATE(2025,8,29))"),"Date")</f>
        <v>Date</v>
      </c>
      <c r="AL54" s="576" t="str">
        <f ca="1">IFERROR(__xludf.DUMMYFUNCTION("""COMPUTED_VALUE"""),"Close")</f>
        <v>Close</v>
      </c>
      <c r="AM54" s="575" t="str">
        <f ca="1">IFERROR(__xludf.DUMMYFUNCTION("GoogleFinance(B54,""price"",today()-93)"),"#N/A")</f>
        <v>#N/A</v>
      </c>
      <c r="AN54" s="576"/>
      <c r="AO54" s="575" t="str">
        <f ca="1">IFERROR(__xludf.DUMMYFUNCTION("GoogleFinance(B54,""price"",today()-183)"),"#N/A")</f>
        <v>#N/A</v>
      </c>
      <c r="AP54" s="576"/>
      <c r="AQ54" s="575" t="str">
        <f ca="1">IFERROR(__xludf.DUMMYFUNCTION("GoogleFinance(B54,""price"",DATE(2024,12,31))"),"#N/A")</f>
        <v>#N/A</v>
      </c>
      <c r="AR54" s="576"/>
      <c r="AS54" s="27"/>
      <c r="AT54" s="232"/>
      <c r="AU54" s="219"/>
      <c r="AV54" s="219"/>
      <c r="AW54" s="219"/>
      <c r="AX54" s="219"/>
      <c r="AY54" s="232"/>
      <c r="AZ54" s="232"/>
      <c r="BA54" s="219"/>
      <c r="BB54" s="232"/>
      <c r="BC54" s="232"/>
      <c r="BD54" s="232"/>
      <c r="BE54" s="232"/>
      <c r="BF54" s="232"/>
      <c r="BG54" s="219"/>
      <c r="BH54" s="219"/>
      <c r="BI54" s="219"/>
      <c r="BJ54" s="219"/>
      <c r="BK54" s="219"/>
      <c r="BL54" s="219"/>
      <c r="BM54" s="219"/>
      <c r="BN54" s="219"/>
      <c r="BO54" s="219"/>
      <c r="BP54" s="219"/>
      <c r="BQ54" s="232"/>
      <c r="BR54" s="232"/>
      <c r="BS54" s="232"/>
      <c r="BT54" s="232"/>
      <c r="BU54" s="232"/>
      <c r="BV54" s="232"/>
      <c r="BW54" s="232"/>
      <c r="BX54" s="232"/>
      <c r="BY54" s="232"/>
      <c r="BZ54" s="232"/>
      <c r="CA54" s="232"/>
      <c r="CB54" s="232"/>
      <c r="CC54" s="232"/>
      <c r="CD54" s="232"/>
    </row>
    <row r="55" spans="1:82" ht="13.2" hidden="1">
      <c r="A55" s="661" t="e">
        <f>A49+1</f>
        <v>#REF!</v>
      </c>
      <c r="B55" s="642"/>
      <c r="C55" s="643"/>
      <c r="D55" s="643"/>
      <c r="E55" s="644"/>
      <c r="F55" s="644"/>
      <c r="G55" s="645"/>
      <c r="H55" s="646"/>
      <c r="I55" s="647"/>
      <c r="J55" s="648"/>
      <c r="K55" s="649"/>
      <c r="L55" s="649"/>
      <c r="M55" s="649"/>
      <c r="N55" s="649"/>
      <c r="O55" s="650"/>
      <c r="P55" s="646"/>
      <c r="Q55" s="646"/>
      <c r="R55" s="650"/>
      <c r="S55" s="646"/>
      <c r="T55" s="650"/>
      <c r="U55" s="651"/>
      <c r="V55" s="652"/>
      <c r="W55" s="650"/>
      <c r="X55" s="650"/>
      <c r="Y55" s="650"/>
      <c r="Z55" s="650"/>
      <c r="AA55" s="653"/>
      <c r="AB55" s="654"/>
      <c r="AC55" s="655"/>
      <c r="AD55" s="655"/>
      <c r="AE55" s="646"/>
      <c r="AF55" s="650"/>
      <c r="AG55" s="650"/>
      <c r="AH55" s="650"/>
      <c r="AI55" s="656">
        <f ca="1">IFERROR(__xludf.DUMMYFUNCTION("""COMPUTED_VALUE"""),45919.6666666666)</f>
        <v>45919.666666666599</v>
      </c>
      <c r="AJ55" s="657">
        <f ca="1">IFERROR(__xludf.DUMMYFUNCTION("""COMPUTED_VALUE"""),124.86)</f>
        <v>124.86</v>
      </c>
      <c r="AK55" s="656">
        <f ca="1">IFERROR(__xludf.DUMMYFUNCTION("""COMPUTED_VALUE"""),45898.6666666666)</f>
        <v>45898.666666666599</v>
      </c>
      <c r="AL55" s="658">
        <f ca="1">IFERROR(__xludf.DUMMYFUNCTION("""COMPUTED_VALUE"""),103.04)</f>
        <v>103.04</v>
      </c>
      <c r="AM55" s="659"/>
      <c r="AN55" s="658"/>
      <c r="AO55" s="659"/>
      <c r="AP55" s="658"/>
      <c r="AQ55" s="659"/>
      <c r="AR55" s="658"/>
      <c r="AS55" s="650"/>
      <c r="AT55" s="660"/>
      <c r="AU55" s="646"/>
      <c r="AV55" s="646"/>
      <c r="AW55" s="646"/>
      <c r="AX55" s="646"/>
      <c r="AY55" s="660"/>
      <c r="AZ55" s="660"/>
      <c r="BA55" s="646"/>
      <c r="BB55" s="660"/>
      <c r="BC55" s="660"/>
      <c r="BD55" s="660"/>
      <c r="BE55" s="660"/>
      <c r="BF55" s="660"/>
      <c r="BG55" s="646"/>
      <c r="BH55" s="646"/>
      <c r="BI55" s="646"/>
      <c r="BJ55" s="646"/>
      <c r="BK55" s="646"/>
      <c r="BL55" s="646"/>
      <c r="BM55" s="646"/>
      <c r="BN55" s="646"/>
      <c r="BO55" s="646"/>
      <c r="BP55" s="646"/>
      <c r="BQ55" s="660"/>
      <c r="BR55" s="660"/>
      <c r="BS55" s="660"/>
      <c r="BT55" s="660"/>
      <c r="BU55" s="660"/>
      <c r="BV55" s="660"/>
      <c r="BW55" s="660"/>
      <c r="BX55" s="660"/>
      <c r="BY55" s="660"/>
      <c r="BZ55" s="660"/>
      <c r="CA55" s="660"/>
      <c r="CB55" s="660"/>
      <c r="CC55" s="660"/>
      <c r="CD55" s="660"/>
    </row>
    <row r="56" spans="1:82" ht="13.2">
      <c r="A56" s="3">
        <f>A54+1</f>
        <v>27</v>
      </c>
      <c r="B56" s="7" t="s">
        <v>374</v>
      </c>
      <c r="C56" s="377" t="str">
        <f ca="1">IFERROR(__xludf.DUMMYFUNCTION("GoogleFinance(B56,""name"")"),"Redwire Corp")</f>
        <v>Redwire Corp</v>
      </c>
      <c r="D56" s="378">
        <f ca="1">IFERROR(__xludf.DUMMYFUNCTION("GoogleFinance(B56,""marketcap"")/1000000"),1370.310028)</f>
        <v>1370.3100280000001</v>
      </c>
      <c r="E56" s="392" t="s">
        <v>11</v>
      </c>
      <c r="F56" s="392" t="s">
        <v>362</v>
      </c>
      <c r="G56" s="266">
        <v>45881</v>
      </c>
      <c r="H56" s="588">
        <v>8.83</v>
      </c>
      <c r="I56" s="490">
        <v>9.5500000000000007</v>
      </c>
      <c r="J56" s="589">
        <v>104.71204188481674</v>
      </c>
      <c r="K56" s="395">
        <v>1000</v>
      </c>
      <c r="L56" s="395">
        <v>1000</v>
      </c>
      <c r="M56" s="395">
        <v>924.60732984293179</v>
      </c>
      <c r="N56" s="395">
        <v>-75.39267015706821</v>
      </c>
      <c r="O56" s="396">
        <v>-7.5392670157068215E-2</v>
      </c>
      <c r="P56" s="571">
        <v>48</v>
      </c>
      <c r="Q56" s="588">
        <v>6.5</v>
      </c>
      <c r="R56" s="394">
        <v>-0.26387315968289926</v>
      </c>
      <c r="S56" s="393">
        <v>38</v>
      </c>
      <c r="T56" s="396">
        <v>3.3035107587768966</v>
      </c>
      <c r="U56" s="299">
        <v>-1.4499999999999999E-2</v>
      </c>
      <c r="V56" s="590">
        <v>0.11069182389937104</v>
      </c>
      <c r="W56" s="394">
        <v>-8.9786756453422711E-3</v>
      </c>
      <c r="X56" s="394">
        <v>-0.45828220858895707</v>
      </c>
      <c r="Y56" s="394">
        <v>6.5138721351025497E-2</v>
      </c>
      <c r="Z56" s="394">
        <v>-0.46354799513973266</v>
      </c>
      <c r="AA56" s="566" t="s">
        <v>84</v>
      </c>
      <c r="AB56" s="63" t="s">
        <v>85</v>
      </c>
      <c r="AC56" s="591" t="s">
        <v>85</v>
      </c>
      <c r="AD56" s="591" t="s">
        <v>100</v>
      </c>
      <c r="AE56" s="592"/>
      <c r="AF56" s="396"/>
      <c r="AG56" s="396"/>
      <c r="AH56" s="396"/>
      <c r="AI56" s="575" t="str">
        <f ca="1">IFERROR(__xludf.DUMMYFUNCTION("GoogleFinance(B56,""price"",DATE(2025,9,19))"),"Date")</f>
        <v>Date</v>
      </c>
      <c r="AJ56" s="576" t="str">
        <f ca="1">IFERROR(__xludf.DUMMYFUNCTION("""COMPUTED_VALUE"""),"Close")</f>
        <v>Close</v>
      </c>
      <c r="AK56" s="575" t="str">
        <f ca="1">IFERROR(__xludf.DUMMYFUNCTION("GoogleFinance(B56,""price"",DATE(2025,8,29))"),"Date")</f>
        <v>Date</v>
      </c>
      <c r="AL56" s="576" t="str">
        <f ca="1">IFERROR(__xludf.DUMMYFUNCTION("""COMPUTED_VALUE"""),"Close")</f>
        <v>Close</v>
      </c>
      <c r="AM56" s="575" t="str">
        <f ca="1">IFERROR(__xludf.DUMMYFUNCTION("GoogleFinance(B56,""price"",today()-93)"),"#N/A")</f>
        <v>#N/A</v>
      </c>
      <c r="AN56" s="576"/>
      <c r="AO56" s="575" t="str">
        <f ca="1">IFERROR(__xludf.DUMMYFUNCTION("GoogleFinance(B56,""price"",today()-183)"),"#N/A")</f>
        <v>#N/A</v>
      </c>
      <c r="AP56" s="576"/>
      <c r="AQ56" s="575" t="str">
        <f ca="1">IFERROR(__xludf.DUMMYFUNCTION("GoogleFinance(B56,""price"",DATE(2024,12,31))"),"Date")</f>
        <v>Date</v>
      </c>
      <c r="AR56" s="576" t="str">
        <f ca="1">IFERROR(__xludf.DUMMYFUNCTION("""COMPUTED_VALUE"""),"Close")</f>
        <v>Close</v>
      </c>
      <c r="AS56" s="396"/>
      <c r="AT56" s="389"/>
      <c r="AU56" s="257"/>
      <c r="AV56" s="257"/>
      <c r="AW56" s="257"/>
      <c r="AX56" s="257"/>
      <c r="AY56" s="268"/>
      <c r="AZ56" s="268"/>
      <c r="BA56" s="257"/>
      <c r="BB56" s="268"/>
      <c r="BC56" s="268"/>
      <c r="BD56" s="268"/>
      <c r="BE56" s="268"/>
      <c r="BF56" s="268"/>
      <c r="BG56" s="257"/>
      <c r="BH56" s="257"/>
      <c r="BI56" s="257"/>
      <c r="BJ56" s="257"/>
      <c r="BK56" s="257"/>
      <c r="BL56" s="257"/>
      <c r="BM56" s="257"/>
      <c r="BN56" s="257"/>
      <c r="BO56" s="257"/>
      <c r="BP56" s="257"/>
      <c r="BQ56" s="268"/>
      <c r="BR56" s="268"/>
      <c r="BS56" s="268"/>
      <c r="BT56" s="268"/>
      <c r="BU56" s="268"/>
      <c r="BV56" s="268"/>
      <c r="BW56" s="268"/>
      <c r="BX56" s="268"/>
      <c r="BY56" s="268"/>
      <c r="BZ56" s="268"/>
      <c r="CA56" s="268"/>
      <c r="CB56" s="268"/>
      <c r="CC56" s="268"/>
      <c r="CD56" s="268"/>
    </row>
    <row r="57" spans="1:82" ht="13.2" hidden="1">
      <c r="A57" s="3" t="e">
        <f>A49+1</f>
        <v>#REF!</v>
      </c>
      <c r="B57" s="606"/>
      <c r="C57" s="607"/>
      <c r="D57" s="606"/>
      <c r="E57" s="606"/>
      <c r="F57" s="606"/>
      <c r="G57" s="606"/>
      <c r="H57" s="608"/>
      <c r="I57" s="608"/>
      <c r="J57" s="608"/>
      <c r="K57" s="608"/>
      <c r="L57" s="608"/>
      <c r="M57" s="608"/>
      <c r="N57" s="384"/>
      <c r="O57" s="582"/>
      <c r="P57" s="608"/>
      <c r="Q57" s="608"/>
      <c r="R57" s="609"/>
      <c r="S57" s="609"/>
      <c r="T57" s="609"/>
      <c r="U57" s="610"/>
      <c r="V57" s="606"/>
      <c r="W57" s="606"/>
      <c r="X57" s="606"/>
      <c r="Y57" s="606"/>
      <c r="Z57" s="606"/>
      <c r="AA57" s="571" t="s">
        <v>93</v>
      </c>
      <c r="AB57" s="63" t="s">
        <v>93</v>
      </c>
      <c r="AC57" s="611"/>
      <c r="AD57" s="611"/>
      <c r="AE57" s="612"/>
      <c r="AF57" s="396"/>
      <c r="AG57" s="396"/>
      <c r="AH57" s="396"/>
      <c r="AI57" s="380">
        <f ca="1">IFERROR(__xludf.DUMMYFUNCTION("""COMPUTED_VALUE"""),45919.6666666666)</f>
        <v>45919.666666666599</v>
      </c>
      <c r="AJ57" s="389">
        <f ca="1">IFERROR(__xludf.DUMMYFUNCTION("""COMPUTED_VALUE"""),7.95)</f>
        <v>7.95</v>
      </c>
      <c r="AK57" s="380">
        <f ca="1">IFERROR(__xludf.DUMMYFUNCTION("""COMPUTED_VALUE"""),45898.6666666666)</f>
        <v>45898.666666666599</v>
      </c>
      <c r="AL57" s="389">
        <f ca="1">IFERROR(__xludf.DUMMYFUNCTION("""COMPUTED_VALUE"""),8.91)</f>
        <v>8.91</v>
      </c>
      <c r="AM57" s="380"/>
      <c r="AN57" s="389"/>
      <c r="AO57" s="380"/>
      <c r="AP57" s="389"/>
      <c r="AQ57" s="380">
        <f ca="1">IFERROR(__xludf.DUMMYFUNCTION("""COMPUTED_VALUE"""),45657.6666666666)</f>
        <v>45657.666666666599</v>
      </c>
      <c r="AR57" s="389">
        <f ca="1">IFERROR(__xludf.DUMMYFUNCTION("""COMPUTED_VALUE"""),16.46)</f>
        <v>16.46</v>
      </c>
      <c r="AS57" s="613"/>
      <c r="AT57" s="613"/>
      <c r="AU57" s="613"/>
      <c r="AV57" s="613"/>
      <c r="AW57" s="614"/>
      <c r="AX57" s="614"/>
      <c r="AY57" s="613"/>
      <c r="AZ57" s="614"/>
      <c r="BA57" s="614"/>
      <c r="BB57" s="614"/>
      <c r="BC57" s="614"/>
      <c r="BD57" s="614"/>
      <c r="BE57" s="613"/>
      <c r="BF57" s="613"/>
      <c r="BG57" s="613"/>
      <c r="BH57" s="613"/>
      <c r="BI57" s="613"/>
      <c r="BJ57" s="613"/>
      <c r="BK57" s="613"/>
      <c r="BL57" s="613"/>
      <c r="BM57" s="613"/>
      <c r="BN57" s="613"/>
      <c r="BO57" s="614"/>
      <c r="BP57" s="614"/>
      <c r="BQ57" s="614"/>
      <c r="BR57" s="614"/>
      <c r="BS57" s="614"/>
      <c r="BT57" s="614"/>
      <c r="BU57" s="614"/>
      <c r="BV57" s="614"/>
      <c r="BW57" s="614"/>
      <c r="BX57" s="614"/>
      <c r="BY57" s="614"/>
      <c r="BZ57" s="614"/>
      <c r="CA57" s="614"/>
      <c r="CB57" s="614"/>
      <c r="CC57" s="614"/>
      <c r="CD57" s="614"/>
    </row>
    <row r="58" spans="1:82" ht="13.2">
      <c r="A58" s="3">
        <f t="shared" ref="A58:A60" si="6">A56+1</f>
        <v>28</v>
      </c>
      <c r="B58" s="7" t="s">
        <v>375</v>
      </c>
      <c r="C58" s="377" t="str">
        <f ca="1">IFERROR(__xludf.DUMMYFUNCTION("GoogleFinance(B58,""name"")"),"Tempus AI Inc")</f>
        <v>Tempus AI Inc</v>
      </c>
      <c r="D58" s="378">
        <f ca="1">IFERROR(__xludf.DUMMYFUNCTION("GoogleFinance(B58,""marketcap"")/1000000"),13634.134783)</f>
        <v>13634.134783</v>
      </c>
      <c r="E58" s="392" t="s">
        <v>17</v>
      </c>
      <c r="F58" s="392" t="s">
        <v>272</v>
      </c>
      <c r="G58" s="266">
        <v>45883</v>
      </c>
      <c r="H58" s="588">
        <v>78.48</v>
      </c>
      <c r="I58" s="490">
        <v>71.95</v>
      </c>
      <c r="J58" s="589">
        <v>13.898540653231411</v>
      </c>
      <c r="K58" s="395">
        <v>1000</v>
      </c>
      <c r="L58" s="395">
        <v>1000</v>
      </c>
      <c r="M58" s="395">
        <v>1090.7574704656013</v>
      </c>
      <c r="N58" s="395">
        <v>90.757470465601273</v>
      </c>
      <c r="O58" s="396">
        <v>9.0757470465601273E-2</v>
      </c>
      <c r="P58" s="571">
        <v>46</v>
      </c>
      <c r="Q58" s="588">
        <v>50</v>
      </c>
      <c r="R58" s="394">
        <v>-0.36289500509684003</v>
      </c>
      <c r="S58" s="393">
        <v>140</v>
      </c>
      <c r="T58" s="396">
        <v>0.78389398572884805</v>
      </c>
      <c r="U58" s="299">
        <v>1.49E-2</v>
      </c>
      <c r="V58" s="590">
        <v>-0.11060743427017217</v>
      </c>
      <c r="W58" s="394">
        <v>3.4537305562879039E-2</v>
      </c>
      <c r="X58" s="394">
        <v>0.23512747875354112</v>
      </c>
      <c r="Y58" s="394">
        <v>0.62686567164179108</v>
      </c>
      <c r="Z58" s="394">
        <v>1.3246445497630335</v>
      </c>
      <c r="AA58" s="566" t="s">
        <v>84</v>
      </c>
      <c r="AB58" s="63" t="s">
        <v>85</v>
      </c>
      <c r="AC58" s="591" t="s">
        <v>85</v>
      </c>
      <c r="AD58" s="591" t="s">
        <v>100</v>
      </c>
      <c r="AE58" s="592"/>
      <c r="AF58" s="396"/>
      <c r="AG58" s="396"/>
      <c r="AH58" s="396"/>
      <c r="AI58" s="575" t="str">
        <f ca="1">IFERROR(__xludf.DUMMYFUNCTION("GoogleFinance(B58,""price"",DATE(2025,9,19))"),"Date")</f>
        <v>Date</v>
      </c>
      <c r="AJ58" s="576" t="str">
        <f ca="1">IFERROR(__xludf.DUMMYFUNCTION("""COMPUTED_VALUE"""),"Close")</f>
        <v>Close</v>
      </c>
      <c r="AK58" s="575" t="str">
        <f ca="1">IFERROR(__xludf.DUMMYFUNCTION("GoogleFinance(B58,""price"",DATE(2025,8,29))"),"Date")</f>
        <v>Date</v>
      </c>
      <c r="AL58" s="576" t="str">
        <f ca="1">IFERROR(__xludf.DUMMYFUNCTION("""COMPUTED_VALUE"""),"Close")</f>
        <v>Close</v>
      </c>
      <c r="AM58" s="575" t="str">
        <f ca="1">IFERROR(__xludf.DUMMYFUNCTION("GoogleFinance(B58,""price"",today()-93)"),"#N/A")</f>
        <v>#N/A</v>
      </c>
      <c r="AN58" s="576"/>
      <c r="AO58" s="575" t="str">
        <f ca="1">IFERROR(__xludf.DUMMYFUNCTION("GoogleFinance(B58,""price"",today()-183)"),"#N/A")</f>
        <v>#N/A</v>
      </c>
      <c r="AP58" s="576"/>
      <c r="AQ58" s="575" t="str">
        <f ca="1">IFERROR(__xludf.DUMMYFUNCTION("GoogleFinance(B58,""price"",DATE(2024,12,31))"),"Date")</f>
        <v>Date</v>
      </c>
      <c r="AR58" s="576" t="str">
        <f ca="1">IFERROR(__xludf.DUMMYFUNCTION("""COMPUTED_VALUE"""),"Close")</f>
        <v>Close</v>
      </c>
      <c r="AS58" s="396"/>
      <c r="AT58" s="389"/>
      <c r="AU58" s="257"/>
      <c r="AV58" s="257"/>
      <c r="AW58" s="257"/>
      <c r="AX58" s="257"/>
      <c r="AY58" s="268"/>
      <c r="AZ58" s="268"/>
      <c r="BA58" s="257"/>
      <c r="BB58" s="268"/>
      <c r="BC58" s="268"/>
      <c r="BD58" s="268"/>
      <c r="BE58" s="268"/>
      <c r="BF58" s="268"/>
      <c r="BG58" s="257"/>
      <c r="BH58" s="257"/>
      <c r="BI58" s="257"/>
      <c r="BJ58" s="257"/>
      <c r="BK58" s="257"/>
      <c r="BL58" s="257"/>
      <c r="BM58" s="257"/>
      <c r="BN58" s="257"/>
      <c r="BO58" s="257"/>
      <c r="BP58" s="257"/>
      <c r="BQ58" s="268"/>
      <c r="BR58" s="268"/>
      <c r="BS58" s="268"/>
      <c r="BT58" s="268"/>
      <c r="BU58" s="268"/>
      <c r="BV58" s="268"/>
      <c r="BW58" s="268"/>
      <c r="BX58" s="268"/>
      <c r="BY58" s="268"/>
      <c r="BZ58" s="268"/>
      <c r="CA58" s="268"/>
      <c r="CB58" s="268"/>
      <c r="CC58" s="268"/>
      <c r="CD58" s="268"/>
    </row>
    <row r="59" spans="1:82" ht="13.2" hidden="1">
      <c r="A59" s="3" t="e">
        <f t="shared" si="6"/>
        <v>#REF!</v>
      </c>
      <c r="B59" s="606"/>
      <c r="C59" s="607"/>
      <c r="D59" s="606"/>
      <c r="E59" s="606"/>
      <c r="F59" s="606"/>
      <c r="G59" s="606"/>
      <c r="H59" s="608"/>
      <c r="I59" s="608"/>
      <c r="J59" s="608"/>
      <c r="K59" s="608"/>
      <c r="L59" s="608"/>
      <c r="M59" s="608"/>
      <c r="N59" s="384"/>
      <c r="O59" s="582"/>
      <c r="P59" s="608"/>
      <c r="Q59" s="608"/>
      <c r="R59" s="609"/>
      <c r="S59" s="609"/>
      <c r="T59" s="609"/>
      <c r="U59" s="610"/>
      <c r="V59" s="606"/>
      <c r="W59" s="606"/>
      <c r="X59" s="606"/>
      <c r="Y59" s="606"/>
      <c r="Z59" s="606"/>
      <c r="AA59" s="571" t="s">
        <v>93</v>
      </c>
      <c r="AB59" s="63" t="s">
        <v>93</v>
      </c>
      <c r="AC59" s="611"/>
      <c r="AD59" s="611"/>
      <c r="AE59" s="612"/>
      <c r="AF59" s="396"/>
      <c r="AG59" s="396"/>
      <c r="AH59" s="396"/>
      <c r="AI59" s="380">
        <f ca="1">IFERROR(__xludf.DUMMYFUNCTION("""COMPUTED_VALUE"""),45919.6666666666)</f>
        <v>45919.666666666599</v>
      </c>
      <c r="AJ59" s="389">
        <f ca="1">IFERROR(__xludf.DUMMYFUNCTION("""COMPUTED_VALUE"""),88.24)</f>
        <v>88.24</v>
      </c>
      <c r="AK59" s="380">
        <f ca="1">IFERROR(__xludf.DUMMYFUNCTION("""COMPUTED_VALUE"""),45898.6666666666)</f>
        <v>45898.666666666599</v>
      </c>
      <c r="AL59" s="389">
        <f ca="1">IFERROR(__xludf.DUMMYFUNCTION("""COMPUTED_VALUE"""),75.86)</f>
        <v>75.86</v>
      </c>
      <c r="AM59" s="380"/>
      <c r="AN59" s="389"/>
      <c r="AO59" s="380"/>
      <c r="AP59" s="389"/>
      <c r="AQ59" s="380">
        <f ca="1">IFERROR(__xludf.DUMMYFUNCTION("""COMPUTED_VALUE"""),45657.6666666666)</f>
        <v>45657.666666666599</v>
      </c>
      <c r="AR59" s="389">
        <f ca="1">IFERROR(__xludf.DUMMYFUNCTION("""COMPUTED_VALUE"""),33.76)</f>
        <v>33.76</v>
      </c>
      <c r="AS59" s="613"/>
      <c r="AT59" s="613"/>
      <c r="AU59" s="613"/>
      <c r="AV59" s="613"/>
      <c r="AW59" s="614"/>
      <c r="AX59" s="614"/>
      <c r="AY59" s="613"/>
      <c r="AZ59" s="614"/>
      <c r="BA59" s="614"/>
      <c r="BB59" s="614"/>
      <c r="BC59" s="614"/>
      <c r="BD59" s="614"/>
      <c r="BE59" s="613"/>
      <c r="BF59" s="613"/>
      <c r="BG59" s="613"/>
      <c r="BH59" s="613"/>
      <c r="BI59" s="613"/>
      <c r="BJ59" s="613"/>
      <c r="BK59" s="613"/>
      <c r="BL59" s="613"/>
      <c r="BM59" s="613"/>
      <c r="BN59" s="613"/>
      <c r="BO59" s="614"/>
      <c r="BP59" s="614"/>
      <c r="BQ59" s="614"/>
      <c r="BR59" s="614"/>
      <c r="BS59" s="614"/>
      <c r="BT59" s="614"/>
      <c r="BU59" s="614"/>
      <c r="BV59" s="614"/>
      <c r="BW59" s="614"/>
      <c r="BX59" s="614"/>
      <c r="BY59" s="614"/>
      <c r="BZ59" s="614"/>
      <c r="CA59" s="614"/>
      <c r="CB59" s="614"/>
      <c r="CC59" s="614"/>
      <c r="CD59" s="614"/>
    </row>
    <row r="60" spans="1:82" ht="13.2">
      <c r="A60" s="3">
        <f t="shared" si="6"/>
        <v>29</v>
      </c>
      <c r="B60" s="7" t="s">
        <v>376</v>
      </c>
      <c r="C60" s="377" t="str">
        <f ca="1">IFERROR(__xludf.DUMMYFUNCTION("GoogleFinance(B60,""name"")"),"Grupo Financiero Galicia SA")</f>
        <v>Grupo Financiero Galicia SA</v>
      </c>
      <c r="D60" s="378">
        <f ca="1">IFERROR(__xludf.DUMMYFUNCTION("GoogleFinance(B60,""marketcap"")/1000000"),4112.099185)</f>
        <v>4112.099185</v>
      </c>
      <c r="E60" s="392" t="s">
        <v>14</v>
      </c>
      <c r="F60" s="392" t="s">
        <v>36</v>
      </c>
      <c r="G60" s="266">
        <v>45904</v>
      </c>
      <c r="H60" s="588">
        <v>29.58</v>
      </c>
      <c r="I60" s="490">
        <v>36.42</v>
      </c>
      <c r="J60" s="589">
        <v>54.914881933003841</v>
      </c>
      <c r="K60" s="395">
        <v>2000</v>
      </c>
      <c r="L60" s="395">
        <v>2000</v>
      </c>
      <c r="M60" s="395">
        <v>1624.3822075782534</v>
      </c>
      <c r="N60" s="395">
        <v>-375.61779242174657</v>
      </c>
      <c r="O60" s="396">
        <v>-0.18780889621087329</v>
      </c>
      <c r="P60" s="571">
        <v>25</v>
      </c>
      <c r="Q60" s="588">
        <v>24</v>
      </c>
      <c r="R60" s="394">
        <v>-0.18864097363083154</v>
      </c>
      <c r="S60" s="393">
        <v>84</v>
      </c>
      <c r="T60" s="396">
        <v>1.8397565922920895</v>
      </c>
      <c r="U60" s="299">
        <v>-3.1099999999999999E-2</v>
      </c>
      <c r="V60" s="590">
        <v>0.11833648393194696</v>
      </c>
      <c r="W60" s="394">
        <v>-0.24694501018329951</v>
      </c>
      <c r="X60" s="394">
        <v>-0.41297876562810087</v>
      </c>
      <c r="Y60" s="394">
        <v>-0.45694877914448317</v>
      </c>
      <c r="Z60" s="394">
        <v>-0.52535301668806167</v>
      </c>
      <c r="AA60" s="571" t="s">
        <v>93</v>
      </c>
      <c r="AB60" s="63" t="s">
        <v>85</v>
      </c>
      <c r="AC60" s="591" t="s">
        <v>85</v>
      </c>
      <c r="AD60" s="591" t="s">
        <v>105</v>
      </c>
      <c r="AE60" s="592"/>
      <c r="AF60" s="396"/>
      <c r="AG60" s="396"/>
      <c r="AH60" s="396"/>
      <c r="AI60" s="575" t="str">
        <f ca="1">IFERROR(__xludf.DUMMYFUNCTION("GoogleFinance(B60,""price"",DATE(2025,9,19))"),"Date")</f>
        <v>Date</v>
      </c>
      <c r="AJ60" s="576" t="str">
        <f ca="1">IFERROR(__xludf.DUMMYFUNCTION("""COMPUTED_VALUE"""),"Close")</f>
        <v>Close</v>
      </c>
      <c r="AK60" s="575" t="str">
        <f ca="1">IFERROR(__xludf.DUMMYFUNCTION("GoogleFinance(B60,""price"",DATE(2025,8,29))"),"Date")</f>
        <v>Date</v>
      </c>
      <c r="AL60" s="576" t="str">
        <f ca="1">IFERROR(__xludf.DUMMYFUNCTION("""COMPUTED_VALUE"""),"Close")</f>
        <v>Close</v>
      </c>
      <c r="AM60" s="575" t="str">
        <f ca="1">IFERROR(__xludf.DUMMYFUNCTION("GoogleFinance(B60,""price"",today()-93)"),"#N/A")</f>
        <v>#N/A</v>
      </c>
      <c r="AN60" s="576"/>
      <c r="AO60" s="575" t="str">
        <f ca="1">IFERROR(__xludf.DUMMYFUNCTION("GoogleFinance(B60,""price"",today()-183)"),"#N/A")</f>
        <v>#N/A</v>
      </c>
      <c r="AP60" s="576"/>
      <c r="AQ60" s="575" t="str">
        <f ca="1">IFERROR(__xludf.DUMMYFUNCTION("GoogleFinance(B60,""price"",DATE(2024,12,31))"),"Date")</f>
        <v>Date</v>
      </c>
      <c r="AR60" s="576" t="str">
        <f ca="1">IFERROR(__xludf.DUMMYFUNCTION("""COMPUTED_VALUE"""),"Close")</f>
        <v>Close</v>
      </c>
      <c r="AS60" s="396"/>
      <c r="AT60" s="389"/>
      <c r="AU60" s="257"/>
      <c r="AV60" s="257"/>
      <c r="AW60" s="257"/>
      <c r="AX60" s="257"/>
      <c r="AY60" s="268"/>
      <c r="AZ60" s="268"/>
      <c r="BA60" s="257"/>
      <c r="BB60" s="268"/>
      <c r="BC60" s="268"/>
      <c r="BD60" s="268"/>
      <c r="BE60" s="268"/>
      <c r="BF60" s="268"/>
      <c r="BG60" s="257"/>
      <c r="BH60" s="257"/>
      <c r="BI60" s="257"/>
      <c r="BJ60" s="257"/>
      <c r="BK60" s="257"/>
      <c r="BL60" s="257"/>
      <c r="BM60" s="257"/>
      <c r="BN60" s="257"/>
      <c r="BO60" s="257"/>
      <c r="BP60" s="257"/>
      <c r="BQ60" s="268"/>
      <c r="BR60" s="268"/>
      <c r="BS60" s="268"/>
      <c r="BT60" s="268"/>
      <c r="BU60" s="268"/>
      <c r="BV60" s="268"/>
      <c r="BW60" s="268"/>
      <c r="BX60" s="268"/>
      <c r="BY60" s="268"/>
      <c r="BZ60" s="268"/>
      <c r="CA60" s="268"/>
      <c r="CB60" s="268"/>
      <c r="CC60" s="268"/>
      <c r="CD60" s="268"/>
    </row>
    <row r="61" spans="1:82" ht="13.2" hidden="1">
      <c r="A61" s="593" t="e">
        <f>#REF!+1</f>
        <v>#REF!</v>
      </c>
      <c r="B61" s="606"/>
      <c r="C61" s="607"/>
      <c r="D61" s="606"/>
      <c r="E61" s="606"/>
      <c r="F61" s="606"/>
      <c r="G61" s="606"/>
      <c r="H61" s="608"/>
      <c r="I61" s="608"/>
      <c r="J61" s="608"/>
      <c r="K61" s="608"/>
      <c r="L61" s="608"/>
      <c r="M61" s="608"/>
      <c r="N61" s="384"/>
      <c r="O61" s="582"/>
      <c r="P61" s="608"/>
      <c r="Q61" s="608"/>
      <c r="R61" s="609"/>
      <c r="S61" s="609"/>
      <c r="T61" s="609"/>
      <c r="U61" s="610"/>
      <c r="V61" s="606"/>
      <c r="W61" s="606"/>
      <c r="X61" s="606"/>
      <c r="Y61" s="606"/>
      <c r="Z61" s="606"/>
      <c r="AA61" s="571" t="s">
        <v>93</v>
      </c>
      <c r="AB61" s="63" t="s">
        <v>93</v>
      </c>
      <c r="AC61" s="611"/>
      <c r="AD61" s="611"/>
      <c r="AE61" s="612"/>
      <c r="AF61" s="396"/>
      <c r="AG61" s="396"/>
      <c r="AH61" s="396"/>
      <c r="AI61" s="380">
        <f ca="1">IFERROR(__xludf.DUMMYFUNCTION("""COMPUTED_VALUE"""),45919.6666666666)</f>
        <v>45919.666666666599</v>
      </c>
      <c r="AJ61" s="389">
        <f ca="1">IFERROR(__xludf.DUMMYFUNCTION("""COMPUTED_VALUE"""),26.45)</f>
        <v>26.45</v>
      </c>
      <c r="AK61" s="380">
        <f ca="1">IFERROR(__xludf.DUMMYFUNCTION("""COMPUTED_VALUE"""),45898.6666666666)</f>
        <v>45898.666666666599</v>
      </c>
      <c r="AL61" s="389">
        <f ca="1">IFERROR(__xludf.DUMMYFUNCTION("""COMPUTED_VALUE"""),39.28)</f>
        <v>39.28</v>
      </c>
      <c r="AM61" s="380"/>
      <c r="AN61" s="389"/>
      <c r="AO61" s="380"/>
      <c r="AP61" s="389"/>
      <c r="AQ61" s="380">
        <f ca="1">IFERROR(__xludf.DUMMYFUNCTION("""COMPUTED_VALUE"""),45657.6666666666)</f>
        <v>45657.666666666599</v>
      </c>
      <c r="AR61" s="389">
        <f ca="1">IFERROR(__xludf.DUMMYFUNCTION("""COMPUTED_VALUE"""),62.32)</f>
        <v>62.32</v>
      </c>
      <c r="AS61" s="613"/>
      <c r="AT61" s="613"/>
      <c r="AU61" s="613"/>
      <c r="AV61" s="613"/>
      <c r="AW61" s="614"/>
      <c r="AX61" s="614"/>
      <c r="AY61" s="613"/>
      <c r="AZ61" s="614"/>
      <c r="BA61" s="614"/>
      <c r="BB61" s="614"/>
      <c r="BC61" s="614"/>
      <c r="BD61" s="614"/>
      <c r="BE61" s="613"/>
      <c r="BF61" s="613"/>
      <c r="BG61" s="613"/>
      <c r="BH61" s="613"/>
      <c r="BI61" s="613"/>
      <c r="BJ61" s="613"/>
      <c r="BK61" s="613"/>
      <c r="BL61" s="613"/>
      <c r="BM61" s="613"/>
      <c r="BN61" s="613"/>
      <c r="BO61" s="614"/>
      <c r="BP61" s="614"/>
      <c r="BQ61" s="614"/>
      <c r="BR61" s="614"/>
      <c r="BS61" s="614"/>
      <c r="BT61" s="614"/>
      <c r="BU61" s="614"/>
      <c r="BV61" s="614"/>
      <c r="BW61" s="614"/>
      <c r="BX61" s="614"/>
      <c r="BY61" s="614"/>
      <c r="BZ61" s="614"/>
      <c r="CA61" s="614"/>
      <c r="CB61" s="614"/>
      <c r="CC61" s="614"/>
      <c r="CD61" s="614"/>
    </row>
    <row r="62" spans="1:82" ht="13.2">
      <c r="A62" s="294">
        <f t="shared" ref="A62:A64" si="7">A60+1</f>
        <v>30</v>
      </c>
      <c r="B62" s="7" t="s">
        <v>377</v>
      </c>
      <c r="C62" s="377" t="s">
        <v>378</v>
      </c>
      <c r="D62" s="378"/>
      <c r="E62" s="392" t="s">
        <v>38</v>
      </c>
      <c r="F62" s="392" t="s">
        <v>379</v>
      </c>
      <c r="G62" s="266">
        <v>45887</v>
      </c>
      <c r="H62" s="588">
        <v>18.53</v>
      </c>
      <c r="I62" s="490">
        <v>17.7</v>
      </c>
      <c r="J62" s="589">
        <v>169.49152542372883</v>
      </c>
      <c r="K62" s="395">
        <v>3000</v>
      </c>
      <c r="L62" s="395">
        <v>3000</v>
      </c>
      <c r="M62" s="395">
        <v>3140.6779661016953</v>
      </c>
      <c r="N62" s="395">
        <v>140.67796610169535</v>
      </c>
      <c r="O62" s="396">
        <v>4.6892655367231785E-2</v>
      </c>
      <c r="P62" s="571">
        <v>42</v>
      </c>
      <c r="Q62" s="588">
        <v>16.3</v>
      </c>
      <c r="R62" s="394">
        <v>-0.12034538586076637</v>
      </c>
      <c r="S62" s="393">
        <v>21</v>
      </c>
      <c r="T62" s="396">
        <v>0.1332973556395034</v>
      </c>
      <c r="U62" s="299"/>
      <c r="V62" s="590"/>
      <c r="W62" s="394"/>
      <c r="X62" s="394"/>
      <c r="Y62" s="394"/>
      <c r="Z62" s="394"/>
      <c r="AA62" s="566" t="s">
        <v>84</v>
      </c>
      <c r="AB62" s="63" t="s">
        <v>85</v>
      </c>
      <c r="AC62" s="591" t="s">
        <v>85</v>
      </c>
      <c r="AD62" s="591" t="s">
        <v>88</v>
      </c>
      <c r="AE62" s="592"/>
      <c r="AF62" s="396"/>
      <c r="AG62" s="396"/>
      <c r="AH62" s="396"/>
      <c r="AI62" s="575" t="str">
        <f ca="1">IFERROR(__xludf.DUMMYFUNCTION("GoogleFinance(B62,""price"",DATE(2025,9,12))"),"#N/A")</f>
        <v>#N/A</v>
      </c>
      <c r="AJ62" s="576"/>
      <c r="AK62" s="575" t="str">
        <f ca="1">IFERROR(__xludf.DUMMYFUNCTION("GoogleFinance(B62,""price"",DATE(2025,8,29))"),"#N/A")</f>
        <v>#N/A</v>
      </c>
      <c r="AL62" s="576"/>
      <c r="AM62" s="575" t="str">
        <f ca="1">IFERROR(__xludf.DUMMYFUNCTION("GoogleFinance(B62,""price"",today()-93)"),"#N/A")</f>
        <v>#N/A</v>
      </c>
      <c r="AN62" s="576"/>
      <c r="AO62" s="575" t="str">
        <f ca="1">IFERROR(__xludf.DUMMYFUNCTION("GoogleFinance(B62,""price"",today()-183)"),"#N/A")</f>
        <v>#N/A</v>
      </c>
      <c r="AP62" s="576"/>
      <c r="AQ62" s="575" t="str">
        <f ca="1">IFERROR(__xludf.DUMMYFUNCTION("GoogleFinance(B62,""price"",DATE(2024,12,31))"),"#N/A")</f>
        <v>#N/A</v>
      </c>
      <c r="AR62" s="576"/>
      <c r="AS62" s="396"/>
      <c r="AT62" s="389"/>
      <c r="AU62" s="257"/>
      <c r="AV62" s="257"/>
      <c r="AW62" s="257"/>
      <c r="AX62" s="257"/>
      <c r="AY62" s="268"/>
      <c r="AZ62" s="268"/>
      <c r="BA62" s="257"/>
      <c r="BB62" s="268"/>
      <c r="BC62" s="268"/>
      <c r="BD62" s="268"/>
      <c r="BE62" s="268"/>
      <c r="BF62" s="268"/>
      <c r="BG62" s="257"/>
      <c r="BH62" s="257"/>
      <c r="BI62" s="257"/>
      <c r="BJ62" s="257"/>
      <c r="BK62" s="257"/>
      <c r="BL62" s="257"/>
      <c r="BM62" s="257"/>
      <c r="BN62" s="257"/>
      <c r="BO62" s="257"/>
      <c r="BP62" s="257"/>
      <c r="BQ62" s="268"/>
      <c r="BR62" s="268"/>
      <c r="BS62" s="268"/>
      <c r="BT62" s="268"/>
      <c r="BU62" s="268"/>
      <c r="BV62" s="268"/>
      <c r="BW62" s="268"/>
      <c r="BX62" s="268"/>
      <c r="BY62" s="268"/>
      <c r="BZ62" s="268"/>
      <c r="CA62" s="268"/>
      <c r="CB62" s="268"/>
      <c r="CC62" s="268"/>
      <c r="CD62" s="268"/>
    </row>
    <row r="63" spans="1:82" ht="13.2" hidden="1">
      <c r="A63" s="294" t="e">
        <f t="shared" si="7"/>
        <v>#REF!</v>
      </c>
      <c r="B63" s="615"/>
      <c r="C63" s="616"/>
      <c r="D63" s="615"/>
      <c r="E63" s="615"/>
      <c r="F63" s="615"/>
      <c r="G63" s="615"/>
      <c r="H63" s="617"/>
      <c r="I63" s="617"/>
      <c r="J63" s="617"/>
      <c r="K63" s="617"/>
      <c r="L63" s="617"/>
      <c r="M63" s="617"/>
      <c r="N63" s="421"/>
      <c r="O63" s="597"/>
      <c r="P63" s="617"/>
      <c r="Q63" s="617"/>
      <c r="R63" s="618"/>
      <c r="S63" s="618"/>
      <c r="T63" s="618"/>
      <c r="U63" s="619"/>
      <c r="V63" s="615"/>
      <c r="W63" s="615"/>
      <c r="X63" s="615"/>
      <c r="Y63" s="615"/>
      <c r="Z63" s="615"/>
      <c r="AA63" s="600" t="s">
        <v>93</v>
      </c>
      <c r="AB63" s="601" t="s">
        <v>93</v>
      </c>
      <c r="AC63" s="620"/>
      <c r="AD63" s="620"/>
      <c r="AE63" s="621"/>
      <c r="AF63" s="622"/>
      <c r="AG63" s="622"/>
      <c r="AH63" s="622"/>
      <c r="AI63" s="414"/>
      <c r="AJ63" s="623"/>
      <c r="AK63" s="414"/>
      <c r="AL63" s="623"/>
      <c r="AM63" s="414"/>
      <c r="AN63" s="623"/>
      <c r="AO63" s="414"/>
      <c r="AP63" s="623"/>
      <c r="AQ63" s="414"/>
      <c r="AR63" s="623"/>
      <c r="AS63" s="624"/>
      <c r="AT63" s="624"/>
      <c r="AU63" s="624"/>
      <c r="AV63" s="624"/>
      <c r="AW63" s="625"/>
      <c r="AX63" s="625"/>
      <c r="AY63" s="624"/>
      <c r="AZ63" s="625"/>
      <c r="BA63" s="625"/>
      <c r="BB63" s="625"/>
      <c r="BC63" s="625"/>
      <c r="BD63" s="625"/>
      <c r="BE63" s="624"/>
      <c r="BF63" s="624"/>
      <c r="BG63" s="624"/>
      <c r="BH63" s="624"/>
      <c r="BI63" s="624"/>
      <c r="BJ63" s="624"/>
      <c r="BK63" s="624"/>
      <c r="BL63" s="624"/>
      <c r="BM63" s="624"/>
      <c r="BN63" s="624"/>
      <c r="BO63" s="625"/>
      <c r="BP63" s="625"/>
      <c r="BQ63" s="625"/>
      <c r="BR63" s="625"/>
      <c r="BS63" s="625"/>
      <c r="BT63" s="625"/>
      <c r="BU63" s="625"/>
      <c r="BV63" s="625"/>
      <c r="BW63" s="625"/>
      <c r="BX63" s="625"/>
      <c r="BY63" s="625"/>
      <c r="BZ63" s="625"/>
      <c r="CA63" s="625"/>
      <c r="CB63" s="625"/>
      <c r="CC63" s="625"/>
      <c r="CD63" s="625"/>
    </row>
    <row r="64" spans="1:82" ht="13.2">
      <c r="A64" s="294">
        <f t="shared" si="7"/>
        <v>31</v>
      </c>
      <c r="B64" s="7" t="s">
        <v>214</v>
      </c>
      <c r="C64" s="377" t="str">
        <f ca="1">IFERROR(__xludf.DUMMYFUNCTION("GoogleFinance(B64,""name"")"),"JPMorgan US Tech Leaders ETF")</f>
        <v>JPMorgan US Tech Leaders ETF</v>
      </c>
      <c r="D64" s="378" t="str">
        <f ca="1">IFERROR(__xludf.DUMMYFUNCTION("GoogleFinance(B64,""marketcap"")/1000000"),"#N/A")</f>
        <v>#N/A</v>
      </c>
      <c r="E64" s="392" t="s">
        <v>380</v>
      </c>
      <c r="F64" s="392" t="s">
        <v>7</v>
      </c>
      <c r="G64" s="266">
        <v>45908</v>
      </c>
      <c r="H64" s="588">
        <v>90.84</v>
      </c>
      <c r="I64" s="490">
        <v>88.2</v>
      </c>
      <c r="J64" s="589">
        <v>396.82539682539681</v>
      </c>
      <c r="K64" s="395">
        <v>35000</v>
      </c>
      <c r="L64" s="395">
        <v>35000</v>
      </c>
      <c r="M64" s="395">
        <v>36047.619047619046</v>
      </c>
      <c r="N64" s="395">
        <v>1047.6190476190459</v>
      </c>
      <c r="O64" s="396">
        <v>2.9931972789115597E-2</v>
      </c>
      <c r="P64" s="571">
        <v>21</v>
      </c>
      <c r="Q64" s="588">
        <v>85</v>
      </c>
      <c r="R64" s="394">
        <v>-6.4288859533245257E-2</v>
      </c>
      <c r="S64" s="393">
        <v>95</v>
      </c>
      <c r="T64" s="396">
        <v>4.5794804051078719E-2</v>
      </c>
      <c r="U64" s="299">
        <v>3.4999999999999996E-3</v>
      </c>
      <c r="V64" s="590">
        <v>-2.49033920137397E-2</v>
      </c>
      <c r="W64" s="394">
        <v>6.5696855936180354E-2</v>
      </c>
      <c r="X64" s="394">
        <v>7.5538716552214114E-2</v>
      </c>
      <c r="Y64" s="394">
        <v>0.35198690281291878</v>
      </c>
      <c r="Z64" s="394">
        <v>0.20047574996696182</v>
      </c>
      <c r="AA64" s="571" t="s">
        <v>93</v>
      </c>
      <c r="AB64" s="63" t="s">
        <v>93</v>
      </c>
      <c r="AC64" s="591" t="s">
        <v>85</v>
      </c>
      <c r="AD64" s="591" t="s">
        <v>100</v>
      </c>
      <c r="AE64" s="592"/>
      <c r="AF64" s="396"/>
      <c r="AG64" s="396"/>
      <c r="AH64" s="396"/>
      <c r="AI64" s="575" t="str">
        <f ca="1">IFERROR(__xludf.DUMMYFUNCTION("GoogleFinance(B64,""price"",DATE(2025,9,19))"),"Date")</f>
        <v>Date</v>
      </c>
      <c r="AJ64" s="576" t="str">
        <f ca="1">IFERROR(__xludf.DUMMYFUNCTION("""COMPUTED_VALUE"""),"Close")</f>
        <v>Close</v>
      </c>
      <c r="AK64" s="575" t="str">
        <f ca="1">IFERROR(__xludf.DUMMYFUNCTION("GoogleFinance(B64,""price"",DATE(2025,8,29))"),"Date")</f>
        <v>Date</v>
      </c>
      <c r="AL64" s="576" t="str">
        <f ca="1">IFERROR(__xludf.DUMMYFUNCTION("""COMPUTED_VALUE"""),"Close")</f>
        <v>Close</v>
      </c>
      <c r="AM64" s="575" t="str">
        <f ca="1">IFERROR(__xludf.DUMMYFUNCTION("GoogleFinance(B64,""price"",today()-93)"),"#N/A")</f>
        <v>#N/A</v>
      </c>
      <c r="AN64" s="576"/>
      <c r="AO64" s="575" t="str">
        <f ca="1">IFERROR(__xludf.DUMMYFUNCTION("GoogleFinance(B64,""price"",today()-183)"),"#N/A")</f>
        <v>#N/A</v>
      </c>
      <c r="AP64" s="576"/>
      <c r="AQ64" s="575" t="str">
        <f ca="1">IFERROR(__xludf.DUMMYFUNCTION("GoogleFinance(B64,""price"",DATE(2024,12,31))"),"Date")</f>
        <v>Date</v>
      </c>
      <c r="AR64" s="576" t="str">
        <f ca="1">IFERROR(__xludf.DUMMYFUNCTION("""COMPUTED_VALUE"""),"Close")</f>
        <v>Close</v>
      </c>
      <c r="AS64" s="396"/>
      <c r="AT64" s="389"/>
      <c r="AU64" s="257"/>
      <c r="AV64" s="257"/>
      <c r="AW64" s="257"/>
      <c r="AX64" s="257"/>
      <c r="AY64" s="268"/>
      <c r="AZ64" s="268"/>
      <c r="BA64" s="257"/>
      <c r="BB64" s="268"/>
      <c r="BC64" s="268"/>
      <c r="BD64" s="268"/>
      <c r="BE64" s="268"/>
      <c r="BF64" s="268"/>
      <c r="BG64" s="257"/>
      <c r="BH64" s="257"/>
      <c r="BI64" s="257"/>
      <c r="BJ64" s="257"/>
      <c r="BK64" s="257"/>
      <c r="BL64" s="257"/>
      <c r="BM64" s="257"/>
      <c r="BN64" s="257"/>
      <c r="BO64" s="257"/>
      <c r="BP64" s="257"/>
      <c r="BQ64" s="268"/>
      <c r="BR64" s="268"/>
      <c r="BS64" s="268"/>
      <c r="BT64" s="268"/>
      <c r="BU64" s="268"/>
      <c r="BV64" s="268"/>
      <c r="BW64" s="268"/>
      <c r="BX64" s="268"/>
      <c r="BY64" s="268"/>
      <c r="BZ64" s="268"/>
      <c r="CA64" s="268"/>
      <c r="CB64" s="268"/>
      <c r="CC64" s="268"/>
      <c r="CD64" s="268"/>
    </row>
    <row r="65" spans="1:82" ht="13.2" hidden="1">
      <c r="A65" s="294" t="e">
        <f>#REF!+1</f>
        <v>#REF!</v>
      </c>
      <c r="B65" s="579"/>
      <c r="C65" s="580"/>
      <c r="D65" s="579"/>
      <c r="E65" s="579"/>
      <c r="F65" s="579"/>
      <c r="G65" s="579"/>
      <c r="H65" s="581"/>
      <c r="I65" s="581"/>
      <c r="J65" s="581"/>
      <c r="K65" s="581"/>
      <c r="L65" s="581"/>
      <c r="M65" s="581"/>
      <c r="N65" s="226"/>
      <c r="O65" s="582"/>
      <c r="P65" s="581"/>
      <c r="Q65" s="581"/>
      <c r="R65" s="583"/>
      <c r="S65" s="583"/>
      <c r="T65" s="583"/>
      <c r="U65" s="584"/>
      <c r="V65" s="579"/>
      <c r="W65" s="579"/>
      <c r="X65" s="579"/>
      <c r="Y65" s="579"/>
      <c r="Z65" s="579"/>
      <c r="AA65" s="585"/>
      <c r="AB65" s="585"/>
      <c r="AC65" s="585"/>
      <c r="AD65" s="585"/>
      <c r="AE65" s="586"/>
      <c r="AF65" s="242"/>
      <c r="AG65" s="242"/>
      <c r="AH65" s="242"/>
      <c r="AI65" s="235">
        <f ca="1">IFERROR(__xludf.DUMMYFUNCTION("""COMPUTED_VALUE"""),45919.6666666666)</f>
        <v>45919.666666666599</v>
      </c>
      <c r="AJ65" s="29">
        <f ca="1">IFERROR(__xludf.DUMMYFUNCTION("""COMPUTED_VALUE"""),93.16)</f>
        <v>93.16</v>
      </c>
      <c r="AK65" s="235">
        <f ca="1">IFERROR(__xludf.DUMMYFUNCTION("""COMPUTED_VALUE"""),45898.6666666666)</f>
        <v>45898.666666666599</v>
      </c>
      <c r="AL65" s="29">
        <f ca="1">IFERROR(__xludf.DUMMYFUNCTION("""COMPUTED_VALUE"""),85.24)</f>
        <v>85.24</v>
      </c>
      <c r="AM65" s="235"/>
      <c r="AN65" s="29"/>
      <c r="AO65" s="235"/>
      <c r="AP65" s="29"/>
      <c r="AQ65" s="235">
        <f ca="1">IFERROR(__xludf.DUMMYFUNCTION("""COMPUTED_VALUE"""),45657.6666666666)</f>
        <v>45657.666666666599</v>
      </c>
      <c r="AR65" s="29">
        <f ca="1">IFERROR(__xludf.DUMMYFUNCTION("""COMPUTED_VALUE"""),75.67)</f>
        <v>75.67</v>
      </c>
      <c r="AS65" s="24"/>
      <c r="AT65" s="24"/>
      <c r="AU65" s="24"/>
      <c r="AV65" s="24"/>
      <c r="AW65" s="587"/>
      <c r="AX65" s="587"/>
      <c r="AY65" s="24"/>
      <c r="AZ65" s="587"/>
      <c r="BA65" s="587"/>
      <c r="BB65" s="587"/>
      <c r="BC65" s="587"/>
      <c r="BD65" s="587"/>
      <c r="BE65" s="24"/>
      <c r="BF65" s="24"/>
      <c r="BG65" s="24"/>
      <c r="BH65" s="24"/>
      <c r="BI65" s="24"/>
      <c r="BJ65" s="24"/>
      <c r="BK65" s="24"/>
      <c r="BL65" s="24"/>
      <c r="BM65" s="24"/>
      <c r="BN65" s="24"/>
      <c r="BO65" s="587"/>
      <c r="BP65" s="587"/>
      <c r="BQ65" s="587"/>
      <c r="BR65" s="587"/>
      <c r="BS65" s="587"/>
      <c r="BT65" s="587"/>
      <c r="BU65" s="587"/>
      <c r="BV65" s="587"/>
      <c r="BW65" s="587"/>
      <c r="BX65" s="587"/>
      <c r="BY65" s="587"/>
      <c r="BZ65" s="587"/>
      <c r="CA65" s="587"/>
      <c r="CB65" s="587"/>
      <c r="CC65" s="587"/>
      <c r="CD65" s="587"/>
    </row>
    <row r="66" spans="1:82" ht="5.25" customHeight="1">
      <c r="A66" s="294"/>
      <c r="B66" s="662"/>
      <c r="C66" s="663"/>
      <c r="D66" s="662"/>
      <c r="E66" s="662"/>
      <c r="F66" s="662"/>
      <c r="G66" s="662"/>
      <c r="H66" s="662"/>
      <c r="I66" s="662"/>
      <c r="J66" s="662"/>
      <c r="K66" s="662"/>
      <c r="L66" s="662"/>
      <c r="M66" s="662"/>
      <c r="N66" s="664"/>
      <c r="O66" s="665"/>
      <c r="P66" s="666"/>
      <c r="Q66" s="662"/>
      <c r="R66" s="667"/>
      <c r="S66" s="667"/>
      <c r="T66" s="667"/>
      <c r="U66" s="666"/>
      <c r="V66" s="662"/>
      <c r="W66" s="662"/>
      <c r="X66" s="662"/>
      <c r="Y66" s="662"/>
      <c r="Z66" s="662"/>
      <c r="AA66" s="668"/>
      <c r="AB66" s="668"/>
      <c r="AC66" s="668"/>
      <c r="AD66" s="668"/>
      <c r="AE66" s="669"/>
      <c r="AF66" s="242"/>
      <c r="AG66" s="242"/>
      <c r="AH66" s="242"/>
      <c r="AI66" s="575" t="str">
        <f ca="1">IFERROR(__xludf.DUMMYFUNCTION("GoogleFinance(B66,""price"",DATE(2025,9,5))"),"#N/A")</f>
        <v>#N/A</v>
      </c>
      <c r="AJ66" s="576"/>
      <c r="AK66" s="575" t="str">
        <f ca="1">IFERROR(__xludf.DUMMYFUNCTION("GoogleFinance(B66,""price"",DATE(2025,8,29))"),"#N/A")</f>
        <v>#N/A</v>
      </c>
      <c r="AL66" s="576"/>
      <c r="AM66" s="575" t="str">
        <f ca="1">IFERROR(__xludf.DUMMYFUNCTION("GoogleFinance(B66,""price"",today()-93)"),"#N/A")</f>
        <v>#N/A</v>
      </c>
      <c r="AN66" s="576"/>
      <c r="AO66" s="575" t="str">
        <f ca="1">IFERROR(__xludf.DUMMYFUNCTION("GoogleFinance(B66,""price"",today()-183)"),"#N/A")</f>
        <v>#N/A</v>
      </c>
      <c r="AP66" s="576"/>
      <c r="AQ66" s="575" t="str">
        <f ca="1">IFERROR(__xludf.DUMMYFUNCTION("GoogleFinance(B66,""price"",DATE(2024,12,31))"),"#N/A")</f>
        <v>#N/A</v>
      </c>
      <c r="AR66" s="576"/>
      <c r="AS66" s="24"/>
      <c r="AT66" s="24"/>
      <c r="AU66" s="24"/>
      <c r="AV66" s="24"/>
      <c r="AY66" s="24"/>
      <c r="BE66" s="24"/>
      <c r="BF66" s="24"/>
      <c r="BG66" s="24"/>
      <c r="BH66" s="24"/>
      <c r="BI66" s="24"/>
      <c r="BJ66" s="24"/>
      <c r="BK66" s="24"/>
      <c r="BL66" s="24"/>
      <c r="BM66" s="24"/>
      <c r="BN66" s="24"/>
    </row>
    <row r="67" spans="1:82" ht="48">
      <c r="A67" s="256"/>
      <c r="B67" s="37" t="s">
        <v>0</v>
      </c>
      <c r="C67" s="38" t="s">
        <v>1</v>
      </c>
      <c r="D67" s="37" t="s">
        <v>50</v>
      </c>
      <c r="E67" s="37" t="s">
        <v>2</v>
      </c>
      <c r="F67" s="37" t="s">
        <v>51</v>
      </c>
      <c r="G67" s="37" t="s">
        <v>52</v>
      </c>
      <c r="H67" s="39" t="s">
        <v>3</v>
      </c>
      <c r="I67" s="39" t="s">
        <v>381</v>
      </c>
      <c r="J67" s="39" t="s">
        <v>56</v>
      </c>
      <c r="K67" s="39" t="s">
        <v>382</v>
      </c>
      <c r="L67" s="39" t="s">
        <v>334</v>
      </c>
      <c r="M67" s="39" t="s">
        <v>58</v>
      </c>
      <c r="N67" s="39" t="s">
        <v>59</v>
      </c>
      <c r="O67" s="39" t="s">
        <v>60</v>
      </c>
      <c r="P67" s="39" t="s">
        <v>61</v>
      </c>
      <c r="Q67" s="39" t="s">
        <v>62</v>
      </c>
      <c r="R67" s="40" t="s">
        <v>63</v>
      </c>
      <c r="S67" s="40" t="s">
        <v>64</v>
      </c>
      <c r="T67" s="40" t="s">
        <v>65</v>
      </c>
      <c r="U67" s="41" t="s">
        <v>4</v>
      </c>
      <c r="V67" s="37" t="s">
        <v>66</v>
      </c>
      <c r="W67" s="37" t="s">
        <v>67</v>
      </c>
      <c r="X67" s="37" t="s">
        <v>68</v>
      </c>
      <c r="Y67" s="37" t="s">
        <v>69</v>
      </c>
      <c r="Z67" s="37" t="s">
        <v>70</v>
      </c>
      <c r="AA67" s="42" t="s">
        <v>383</v>
      </c>
      <c r="AB67" s="42" t="s">
        <v>335</v>
      </c>
      <c r="AC67" s="42" t="s">
        <v>336</v>
      </c>
      <c r="AD67" s="42" t="s">
        <v>76</v>
      </c>
      <c r="AE67" s="43" t="s">
        <v>78</v>
      </c>
      <c r="AF67" s="242"/>
      <c r="AG67" s="242"/>
      <c r="AH67" s="242"/>
      <c r="AI67" s="242"/>
      <c r="AJ67" s="29"/>
      <c r="AK67" s="242"/>
      <c r="AL67" s="29"/>
      <c r="AM67" s="242"/>
      <c r="AN67" s="29"/>
      <c r="AO67" s="242"/>
      <c r="AP67" s="29"/>
      <c r="AQ67" s="242"/>
      <c r="AR67" s="29"/>
      <c r="AS67" s="24"/>
      <c r="AT67" s="24"/>
      <c r="AU67" s="24"/>
      <c r="AV67" s="24"/>
      <c r="AY67" s="24"/>
      <c r="BE67" s="24"/>
      <c r="BF67" s="24"/>
      <c r="BG67" s="24"/>
      <c r="BH67" s="24"/>
      <c r="BI67" s="24"/>
      <c r="BJ67" s="24"/>
      <c r="BK67" s="24"/>
      <c r="BL67" s="24"/>
      <c r="BM67" s="24"/>
      <c r="BN67" s="24"/>
    </row>
    <row r="68" spans="1:82" ht="13.2">
      <c r="A68" s="256"/>
      <c r="B68" s="670" t="s">
        <v>384</v>
      </c>
      <c r="C68" s="671"/>
      <c r="D68" s="672"/>
      <c r="E68" s="673"/>
      <c r="F68" s="673"/>
      <c r="G68" s="674"/>
      <c r="H68" s="674"/>
      <c r="I68" s="674"/>
      <c r="J68" s="674"/>
      <c r="K68" s="674"/>
      <c r="L68" s="674"/>
      <c r="M68" s="674"/>
      <c r="N68" s="674"/>
      <c r="O68" s="674"/>
      <c r="P68" s="674"/>
      <c r="Q68" s="674"/>
      <c r="R68" s="674"/>
      <c r="S68" s="674"/>
      <c r="T68" s="674"/>
      <c r="U68" s="674"/>
      <c r="V68" s="674"/>
      <c r="W68" s="674"/>
      <c r="X68" s="674"/>
      <c r="Y68" s="674"/>
      <c r="Z68" s="674"/>
      <c r="AA68" s="674"/>
      <c r="AB68" s="674"/>
      <c r="AC68" s="674"/>
      <c r="AD68" s="674"/>
      <c r="AE68" s="674"/>
      <c r="AF68" s="242"/>
      <c r="AG68" s="242"/>
      <c r="AH68" s="242"/>
      <c r="AI68" s="242"/>
      <c r="AJ68" s="29"/>
      <c r="AK68" s="242"/>
      <c r="AL68" s="29"/>
      <c r="AM68" s="242"/>
      <c r="AN68" s="29"/>
      <c r="AO68" s="242"/>
      <c r="AP68" s="29"/>
      <c r="AQ68" s="242"/>
      <c r="AR68" s="29"/>
      <c r="AS68" s="24"/>
      <c r="AT68" s="24"/>
      <c r="AU68" s="24"/>
      <c r="AV68" s="24"/>
      <c r="AY68" s="24"/>
      <c r="BE68" s="24"/>
      <c r="BF68" s="24"/>
      <c r="BG68" s="24"/>
      <c r="BH68" s="24"/>
      <c r="BI68" s="24"/>
      <c r="BJ68" s="24"/>
      <c r="BK68" s="24"/>
      <c r="BL68" s="24"/>
      <c r="BM68" s="24"/>
      <c r="BN68" s="24"/>
    </row>
    <row r="69" spans="1:82" ht="17.25" customHeight="1">
      <c r="A69" s="294">
        <v>1</v>
      </c>
      <c r="B69" s="1" t="s">
        <v>385</v>
      </c>
      <c r="C69" s="233" t="str">
        <f ca="1">IFERROR(__xludf.DUMMYFUNCTION("GoogleFinance(B69,""name"")"),"Costco Wholesale Corp")</f>
        <v>Costco Wholesale Corp</v>
      </c>
      <c r="D69" s="234">
        <f ca="1">IFERROR(__xludf.DUMMYFUNCTION("GoogleFinance(B69,""marketcap"")/1000000"),406202.855158)</f>
        <v>406202.85515800002</v>
      </c>
      <c r="E69" s="229" t="s">
        <v>18</v>
      </c>
      <c r="F69" s="229" t="s">
        <v>104</v>
      </c>
      <c r="G69" s="266">
        <v>45757</v>
      </c>
      <c r="H69" s="588">
        <f ca="1">IFERROR(__xludf.DUMMYFUNCTION("GOOGLEFINANCE(B69)"),915.95)</f>
        <v>915.95</v>
      </c>
      <c r="I69" s="237">
        <v>989.65</v>
      </c>
      <c r="J69" s="507">
        <f>3000/I69</f>
        <v>3.0313747284393475</v>
      </c>
      <c r="K69" s="249">
        <f>J69*I69</f>
        <v>3000</v>
      </c>
      <c r="L69" s="249">
        <f t="shared" ref="L69:L72" ca="1" si="8">M69</f>
        <v>2776.5876825140203</v>
      </c>
      <c r="M69" s="249">
        <f ca="1">J69*H69</f>
        <v>2776.5876825140203</v>
      </c>
      <c r="N69" s="508">
        <f ca="1">K69-M69</f>
        <v>223.41231748597966</v>
      </c>
      <c r="O69" s="509">
        <f ca="1">N69/M69</f>
        <v>8.046290736393899E-2</v>
      </c>
      <c r="P69" s="571">
        <f ca="1">TODAY()-G69</f>
        <v>172</v>
      </c>
      <c r="Q69" s="228">
        <v>1071</v>
      </c>
      <c r="R69" s="254">
        <f ca="1">H69/Q69-1</f>
        <v>-0.14477124183006529</v>
      </c>
      <c r="S69" s="229">
        <v>760</v>
      </c>
      <c r="T69" s="300">
        <f ca="1">H69/S69-1</f>
        <v>0.20519736842105263</v>
      </c>
      <c r="U69" s="299">
        <f ca="1">IFERROR(__xludf.DUMMYFUNCTION("GoogleFinance(B69,""changepct"")/100"),-0.0289999999999999)</f>
        <v>-2.8999999999999901E-2</v>
      </c>
      <c r="V69" s="675">
        <f ca="1">H69/AJ70-1</f>
        <v>-5.3672900092984754E-2</v>
      </c>
      <c r="W69" s="447">
        <f ca="1">H69/AL70-1</f>
        <v>-2.5211783236132934E-2</v>
      </c>
      <c r="X69" s="676" t="e">
        <f ca="1">H69/AN70-1</f>
        <v>#DIV/0!</v>
      </c>
      <c r="Y69" s="676" t="e">
        <f ca="1">H69/AP70-1</f>
        <v>#DIV/0!</v>
      </c>
      <c r="Z69" s="447">
        <f ca="1">H69/AR70-1</f>
        <v>0.38763483214155858</v>
      </c>
      <c r="AA69" s="217" t="s">
        <v>84</v>
      </c>
      <c r="AB69" s="125" t="s">
        <v>94</v>
      </c>
      <c r="AC69" s="125" t="s">
        <v>94</v>
      </c>
      <c r="AD69" s="111" t="s">
        <v>105</v>
      </c>
      <c r="AE69" s="592"/>
      <c r="AF69" s="2"/>
      <c r="AG69" s="2"/>
      <c r="AH69" s="2"/>
      <c r="AI69" s="575" t="str">
        <f ca="1">IFERROR(__xludf.DUMMYFUNCTION("GoogleFinance(B69,""price"",DATE(2025,9,12))"),"Date")</f>
        <v>Date</v>
      </c>
      <c r="AJ69" s="576" t="str">
        <f ca="1">IFERROR(__xludf.DUMMYFUNCTION("""COMPUTED_VALUE"""),"Close")</f>
        <v>Close</v>
      </c>
      <c r="AK69" s="575" t="str">
        <f ca="1">IFERROR(__xludf.DUMMYFUNCTION("GoogleFinance(B69,""price"",DATE(2025,7,31))"),"Date")</f>
        <v>Date</v>
      </c>
      <c r="AL69" s="29" t="str">
        <f ca="1">IFERROR(__xludf.DUMMYFUNCTION("""COMPUTED_VALUE"""),"Close")</f>
        <v>Close</v>
      </c>
      <c r="AM69" s="575" t="str">
        <f ca="1">IFERROR(__xludf.DUMMYFUNCTION("GoogleFinance(B69,""price"",today()-93)"),"#N/A")</f>
        <v>#N/A</v>
      </c>
      <c r="AN69" s="576"/>
      <c r="AO69" s="575" t="str">
        <f ca="1">IFERROR(__xludf.DUMMYFUNCTION("GoogleFinance(B69,""price"",today()-183)"),"#N/A")</f>
        <v>#N/A</v>
      </c>
      <c r="AP69" s="29"/>
      <c r="AQ69" s="242" t="str">
        <f ca="1">IFERROR(__xludf.DUMMYFUNCTION("GoogleFinance(B69,""price"",DATE(2023,12,29))"),"Date")</f>
        <v>Date</v>
      </c>
      <c r="AR69" s="29" t="str">
        <f ca="1">IFERROR(__xludf.DUMMYFUNCTION("""COMPUTED_VALUE"""),"Close")</f>
        <v>Close</v>
      </c>
      <c r="AS69" s="4"/>
      <c r="AT69" s="4"/>
      <c r="AU69" s="4"/>
      <c r="AV69" s="4"/>
      <c r="AY69" s="4"/>
      <c r="BE69" s="4"/>
      <c r="BF69" s="4"/>
      <c r="BG69" s="4"/>
      <c r="BH69" s="4"/>
      <c r="BI69" s="4"/>
      <c r="BJ69" s="4"/>
      <c r="BK69" s="4"/>
      <c r="BL69" s="4"/>
      <c r="BM69" s="4"/>
      <c r="BN69" s="4"/>
    </row>
    <row r="70" spans="1:82" ht="13.2" hidden="1">
      <c r="A70" s="555" t="e">
        <f>#REF!+1</f>
        <v>#REF!</v>
      </c>
      <c r="B70" s="22"/>
      <c r="C70" s="245"/>
      <c r="D70" s="246"/>
      <c r="E70" s="23"/>
      <c r="F70" s="23"/>
      <c r="G70" s="677"/>
      <c r="H70" s="248"/>
      <c r="I70" s="506"/>
      <c r="J70" s="507"/>
      <c r="K70" s="225"/>
      <c r="L70" s="249">
        <f t="shared" si="8"/>
        <v>0</v>
      </c>
      <c r="M70" s="249"/>
      <c r="N70" s="249"/>
      <c r="O70" s="27"/>
      <c r="P70" s="626"/>
      <c r="Q70" s="23"/>
      <c r="R70" s="27"/>
      <c r="S70" s="23"/>
      <c r="T70" s="222"/>
      <c r="U70" s="27"/>
      <c r="V70" s="27"/>
      <c r="W70" s="27"/>
      <c r="X70" s="27"/>
      <c r="Y70" s="27"/>
      <c r="Z70" s="222"/>
      <c r="AA70" s="219"/>
      <c r="AB70" s="678"/>
      <c r="AC70" s="678"/>
      <c r="AD70" s="219"/>
      <c r="AE70" s="679"/>
      <c r="AF70" s="27"/>
      <c r="AG70" s="27"/>
      <c r="AH70" s="27"/>
      <c r="AI70" s="230">
        <f ca="1">IFERROR(__xludf.DUMMYFUNCTION("""COMPUTED_VALUE"""),45912.6666666666)</f>
        <v>45912.666666666599</v>
      </c>
      <c r="AJ70" s="231">
        <f ca="1">IFERROR(__xludf.DUMMYFUNCTION("""COMPUTED_VALUE"""),967.9)</f>
        <v>967.9</v>
      </c>
      <c r="AK70" s="230">
        <f ca="1">IFERROR(__xludf.DUMMYFUNCTION("""COMPUTED_VALUE"""),45869.6666666666)</f>
        <v>45869.666666666599</v>
      </c>
      <c r="AL70" s="231">
        <f ca="1">IFERROR(__xludf.DUMMYFUNCTION("""COMPUTED_VALUE"""),939.64)</f>
        <v>939.64</v>
      </c>
      <c r="AM70" s="230"/>
      <c r="AN70" s="231"/>
      <c r="AO70" s="230"/>
      <c r="AP70" s="231"/>
      <c r="AQ70" s="230">
        <f ca="1">IFERROR(__xludf.DUMMYFUNCTION("""COMPUTED_VALUE"""),45289.6666666666)</f>
        <v>45289.666666666599</v>
      </c>
      <c r="AR70" s="231">
        <f ca="1">IFERROR(__xludf.DUMMYFUNCTION("""COMPUTED_VALUE"""),660.08)</f>
        <v>660.08</v>
      </c>
      <c r="AS70" s="219"/>
      <c r="AT70" s="219"/>
      <c r="AU70" s="219" t="s">
        <v>386</v>
      </c>
      <c r="AV70" s="680">
        <v>4.65E-2</v>
      </c>
      <c r="AW70" s="681">
        <v>-1.0200000000000001E-2</v>
      </c>
      <c r="AX70" s="232"/>
      <c r="AY70" s="219"/>
      <c r="AZ70" s="232"/>
      <c r="BA70" s="232"/>
      <c r="BB70" s="232"/>
      <c r="BC70" s="232"/>
      <c r="BD70" s="232"/>
      <c r="BE70" s="219"/>
      <c r="BF70" s="219"/>
      <c r="BG70" s="219"/>
      <c r="BH70" s="219"/>
      <c r="BI70" s="219"/>
      <c r="BJ70" s="219"/>
      <c r="BK70" s="219"/>
      <c r="BL70" s="219"/>
      <c r="BM70" s="219"/>
      <c r="BN70" s="219"/>
      <c r="BO70" s="232"/>
      <c r="BP70" s="232"/>
      <c r="BQ70" s="232"/>
      <c r="BR70" s="232"/>
      <c r="BS70" s="232"/>
      <c r="BT70" s="232"/>
      <c r="BU70" s="232"/>
      <c r="BV70" s="232"/>
      <c r="BW70" s="232"/>
      <c r="BX70" s="232"/>
      <c r="BY70" s="232"/>
      <c r="BZ70" s="232"/>
      <c r="CA70" s="232"/>
      <c r="CB70" s="232"/>
      <c r="CC70" s="232"/>
      <c r="CD70" s="232"/>
    </row>
    <row r="71" spans="1:82" ht="17.25" customHeight="1">
      <c r="A71" s="294">
        <f>A69+1</f>
        <v>2</v>
      </c>
      <c r="B71" s="1" t="s">
        <v>387</v>
      </c>
      <c r="C71" s="233" t="str">
        <f ca="1">IFERROR(__xludf.DUMMYFUNCTION("GoogleFinance(B71,""name"")"),"ServiceNow Inc")</f>
        <v>ServiceNow Inc</v>
      </c>
      <c r="D71" s="234">
        <f ca="1">IFERROR(__xludf.DUMMYFUNCTION("GoogleFinance(B71,""marketcap"")/1000000"),194688)</f>
        <v>194688</v>
      </c>
      <c r="E71" s="229" t="s">
        <v>7</v>
      </c>
      <c r="F71" s="229" t="s">
        <v>263</v>
      </c>
      <c r="G71" s="266">
        <v>45862</v>
      </c>
      <c r="H71" s="588">
        <f ca="1">IFERROR(__xludf.DUMMYFUNCTION("GOOGLEFINANCE(B71)"),936)</f>
        <v>936</v>
      </c>
      <c r="I71" s="237">
        <v>1010</v>
      </c>
      <c r="J71" s="507">
        <f>3000/I71</f>
        <v>2.9702970297029703</v>
      </c>
      <c r="K71" s="249">
        <f>J71*I71</f>
        <v>3000</v>
      </c>
      <c r="L71" s="249">
        <f t="shared" ca="1" si="8"/>
        <v>2780.1980198019801</v>
      </c>
      <c r="M71" s="249">
        <f ca="1">J71*H71</f>
        <v>2780.1980198019801</v>
      </c>
      <c r="N71" s="508">
        <f ca="1">K71-M71</f>
        <v>219.80198019801992</v>
      </c>
      <c r="O71" s="509">
        <f ca="1">N71/M71</f>
        <v>7.9059829059829112E-2</v>
      </c>
      <c r="P71" s="571">
        <f ca="1">TODAY()-G71</f>
        <v>67</v>
      </c>
      <c r="Q71" s="228">
        <v>1100</v>
      </c>
      <c r="R71" s="254">
        <f ca="1">H71/Q71-1</f>
        <v>-0.14909090909090905</v>
      </c>
      <c r="S71" s="229">
        <v>700</v>
      </c>
      <c r="T71" s="300">
        <f ca="1">H71/S71-1</f>
        <v>0.33714285714285719</v>
      </c>
      <c r="U71" s="299">
        <f ca="1">IFERROR(__xludf.DUMMYFUNCTION("GoogleFinance(B71,""changepct"")/100"),0.0189)</f>
        <v>1.89E-2</v>
      </c>
      <c r="V71" s="675">
        <f ca="1">H71/AJ72-1</f>
        <v>7.5783672063383101E-3</v>
      </c>
      <c r="W71" s="447">
        <f ca="1">H71/AL72-1</f>
        <v>-7.5494104673848872E-3</v>
      </c>
      <c r="X71" s="676" t="e">
        <f ca="1">H71/AN72-1</f>
        <v>#DIV/0!</v>
      </c>
      <c r="Y71" s="676" t="e">
        <f ca="1">H71/AP72-1</f>
        <v>#DIV/0!</v>
      </c>
      <c r="Z71" s="447">
        <f ca="1">H71/AR72-1</f>
        <v>0.32485951676598401</v>
      </c>
      <c r="AA71" s="217" t="s">
        <v>84</v>
      </c>
      <c r="AB71" s="125" t="s">
        <v>94</v>
      </c>
      <c r="AC71" s="125" t="s">
        <v>94</v>
      </c>
      <c r="AD71" s="111" t="s">
        <v>88</v>
      </c>
      <c r="AE71" s="592"/>
      <c r="AF71" s="2"/>
      <c r="AG71" s="2"/>
      <c r="AH71" s="2"/>
      <c r="AI71" s="575" t="str">
        <f ca="1">IFERROR(__xludf.DUMMYFUNCTION("GoogleFinance(B71,""price"",DATE(2025,9,12))"),"Date")</f>
        <v>Date</v>
      </c>
      <c r="AJ71" s="576" t="str">
        <f ca="1">IFERROR(__xludf.DUMMYFUNCTION("""COMPUTED_VALUE"""),"Close")</f>
        <v>Close</v>
      </c>
      <c r="AK71" s="575" t="str">
        <f ca="1">IFERROR(__xludf.DUMMYFUNCTION("GoogleFinance(B71,""price"",DATE(2025,7,31))"),"Date")</f>
        <v>Date</v>
      </c>
      <c r="AL71" s="29" t="str">
        <f ca="1">IFERROR(__xludf.DUMMYFUNCTION("""COMPUTED_VALUE"""),"Close")</f>
        <v>Close</v>
      </c>
      <c r="AM71" s="575" t="str">
        <f ca="1">IFERROR(__xludf.DUMMYFUNCTION("GoogleFinance(B71,""price"",today()-93)"),"#N/A")</f>
        <v>#N/A</v>
      </c>
      <c r="AN71" s="576"/>
      <c r="AO71" s="575" t="str">
        <f ca="1">IFERROR(__xludf.DUMMYFUNCTION("GoogleFinance(B71,""price"",today()-183)"),"#N/A")</f>
        <v>#N/A</v>
      </c>
      <c r="AP71" s="29"/>
      <c r="AQ71" s="242" t="str">
        <f ca="1">IFERROR(__xludf.DUMMYFUNCTION("GoogleFinance(B71,""price"",DATE(2023,12,29))"),"Date")</f>
        <v>Date</v>
      </c>
      <c r="AR71" s="29" t="str">
        <f ca="1">IFERROR(__xludf.DUMMYFUNCTION("""COMPUTED_VALUE"""),"Close")</f>
        <v>Close</v>
      </c>
      <c r="AS71" s="4"/>
      <c r="AT71" s="4"/>
      <c r="AU71" s="4"/>
      <c r="AV71" s="4"/>
      <c r="AY71" s="4"/>
      <c r="BE71" s="4"/>
      <c r="BF71" s="4"/>
      <c r="BG71" s="4"/>
      <c r="BH71" s="4"/>
      <c r="BI71" s="4"/>
      <c r="BJ71" s="4"/>
      <c r="BK71" s="4"/>
      <c r="BL71" s="4"/>
      <c r="BM71" s="4"/>
      <c r="BN71" s="4"/>
    </row>
    <row r="72" spans="1:82" ht="13.2" hidden="1">
      <c r="A72" s="294" t="e">
        <f>#REF!+1</f>
        <v>#REF!</v>
      </c>
      <c r="B72" s="22"/>
      <c r="C72" s="245"/>
      <c r="D72" s="246"/>
      <c r="E72" s="23"/>
      <c r="F72" s="23"/>
      <c r="G72" s="677"/>
      <c r="H72" s="248"/>
      <c r="I72" s="506"/>
      <c r="J72" s="507"/>
      <c r="K72" s="225"/>
      <c r="L72" s="249">
        <f t="shared" si="8"/>
        <v>0</v>
      </c>
      <c r="M72" s="249"/>
      <c r="N72" s="249"/>
      <c r="O72" s="27"/>
      <c r="P72" s="626"/>
      <c r="Q72" s="23"/>
      <c r="R72" s="27"/>
      <c r="S72" s="23"/>
      <c r="T72" s="222"/>
      <c r="U72" s="27"/>
      <c r="V72" s="27"/>
      <c r="W72" s="27"/>
      <c r="X72" s="27"/>
      <c r="Y72" s="27"/>
      <c r="Z72" s="222"/>
      <c r="AA72" s="219"/>
      <c r="AB72" s="678"/>
      <c r="AC72" s="678"/>
      <c r="AD72" s="219"/>
      <c r="AE72" s="679"/>
      <c r="AF72" s="27"/>
      <c r="AG72" s="27"/>
      <c r="AH72" s="27"/>
      <c r="AI72" s="230">
        <f ca="1">IFERROR(__xludf.DUMMYFUNCTION("""COMPUTED_VALUE"""),45912.6666666666)</f>
        <v>45912.666666666599</v>
      </c>
      <c r="AJ72" s="231">
        <f ca="1">IFERROR(__xludf.DUMMYFUNCTION("""COMPUTED_VALUE"""),928.96)</f>
        <v>928.96</v>
      </c>
      <c r="AK72" s="230">
        <f ca="1">IFERROR(__xludf.DUMMYFUNCTION("""COMPUTED_VALUE"""),45869.6666666666)</f>
        <v>45869.666666666599</v>
      </c>
      <c r="AL72" s="231">
        <f ca="1">IFERROR(__xludf.DUMMYFUNCTION("""COMPUTED_VALUE"""),943.12)</f>
        <v>943.12</v>
      </c>
      <c r="AM72" s="230"/>
      <c r="AN72" s="231"/>
      <c r="AO72" s="230"/>
      <c r="AP72" s="231"/>
      <c r="AQ72" s="230">
        <f ca="1">IFERROR(__xludf.DUMMYFUNCTION("""COMPUTED_VALUE"""),45289.6666666666)</f>
        <v>45289.666666666599</v>
      </c>
      <c r="AR72" s="231">
        <f ca="1">IFERROR(__xludf.DUMMYFUNCTION("""COMPUTED_VALUE"""),706.49)</f>
        <v>706.49</v>
      </c>
      <c r="AS72" s="219"/>
      <c r="AT72" s="219"/>
      <c r="AU72" s="219" t="s">
        <v>386</v>
      </c>
      <c r="AV72" s="680">
        <v>4.65E-2</v>
      </c>
      <c r="AW72" s="681">
        <v>-1.0200000000000001E-2</v>
      </c>
      <c r="AX72" s="232"/>
      <c r="AY72" s="219"/>
      <c r="AZ72" s="232"/>
      <c r="BA72" s="232"/>
      <c r="BB72" s="232"/>
      <c r="BC72" s="232"/>
      <c r="BD72" s="232"/>
      <c r="BE72" s="219"/>
      <c r="BF72" s="219"/>
      <c r="BG72" s="219"/>
      <c r="BH72" s="219"/>
      <c r="BI72" s="219"/>
      <c r="BJ72" s="219"/>
      <c r="BK72" s="219"/>
      <c r="BL72" s="219"/>
      <c r="BM72" s="219"/>
      <c r="BN72" s="219"/>
      <c r="BO72" s="232"/>
      <c r="BP72" s="232"/>
      <c r="BQ72" s="232"/>
      <c r="BR72" s="232"/>
      <c r="BS72" s="232"/>
      <c r="BT72" s="232"/>
      <c r="BU72" s="232"/>
      <c r="BV72" s="232"/>
      <c r="BW72" s="232"/>
      <c r="BX72" s="232"/>
      <c r="BY72" s="232"/>
      <c r="BZ72" s="232"/>
      <c r="CA72" s="232"/>
      <c r="CB72" s="232"/>
      <c r="CC72" s="232"/>
      <c r="CD72" s="232"/>
    </row>
    <row r="73" spans="1:82" ht="6.75" customHeight="1">
      <c r="A73" s="682"/>
      <c r="B73" s="682"/>
      <c r="C73" s="683"/>
      <c r="D73" s="684"/>
      <c r="E73" s="685"/>
      <c r="F73" s="686"/>
      <c r="G73" s="686"/>
      <c r="H73" s="687"/>
      <c r="I73" s="682"/>
      <c r="J73" s="682"/>
      <c r="K73" s="682"/>
      <c r="L73" s="682"/>
      <c r="M73" s="682"/>
      <c r="N73" s="682"/>
      <c r="O73" s="682"/>
      <c r="P73" s="688"/>
      <c r="Q73" s="687"/>
      <c r="R73" s="682"/>
      <c r="S73" s="682"/>
      <c r="T73" s="689"/>
      <c r="U73" s="690"/>
      <c r="V73" s="691"/>
      <c r="W73" s="691"/>
      <c r="X73" s="691"/>
      <c r="Y73" s="691"/>
      <c r="Z73" s="691"/>
      <c r="AA73" s="692"/>
      <c r="AB73" s="693"/>
      <c r="AC73" s="693"/>
      <c r="AD73" s="693"/>
      <c r="AE73" s="693"/>
      <c r="AF73" s="2"/>
      <c r="AG73" s="2"/>
      <c r="AH73" s="2"/>
      <c r="AI73" s="5"/>
      <c r="AJ73" s="3"/>
      <c r="AK73" s="235"/>
      <c r="AL73" s="3"/>
      <c r="AM73" s="235"/>
      <c r="AN73" s="3"/>
      <c r="AO73" s="235"/>
      <c r="AP73" s="3"/>
      <c r="AQ73" s="5"/>
      <c r="AR73" s="3"/>
      <c r="AS73" s="4"/>
      <c r="AT73" s="4"/>
      <c r="AU73" s="4"/>
      <c r="AV73" s="4"/>
      <c r="AW73" s="4"/>
      <c r="AX73" s="4"/>
      <c r="AY73" s="4"/>
      <c r="AZ73" s="4"/>
      <c r="BA73" s="4"/>
      <c r="BB73" s="4"/>
      <c r="BC73" s="4"/>
      <c r="BD73" s="4"/>
      <c r="BE73" s="4"/>
      <c r="BF73" s="4"/>
      <c r="BG73" s="4"/>
      <c r="BH73" s="4"/>
      <c r="BI73" s="4"/>
      <c r="BJ73" s="4"/>
      <c r="BK73" s="4"/>
      <c r="BL73" s="4"/>
      <c r="BM73" s="4"/>
      <c r="BN73" s="4"/>
    </row>
    <row r="74" spans="1:82" ht="15.75" customHeight="1">
      <c r="A74" s="322"/>
      <c r="B74" s="322"/>
      <c r="C74" s="322"/>
      <c r="D74" s="322"/>
      <c r="E74" s="322"/>
      <c r="F74" s="322"/>
      <c r="G74" s="325"/>
      <c r="H74" s="694" t="s">
        <v>46</v>
      </c>
      <c r="I74" s="695"/>
      <c r="J74" s="695"/>
      <c r="K74" s="696">
        <f ca="1">SUM(K4:K64,M69:M72)</f>
        <v>106556.78570231599</v>
      </c>
      <c r="L74" s="696">
        <f ca="1">SUM(L4:L64,L69:L72)</f>
        <v>106556.78570231599</v>
      </c>
      <c r="M74" s="696">
        <f>SUM(M4:M64,K69:K72)</f>
        <v>116051.63651757615</v>
      </c>
      <c r="N74" s="697">
        <f ca="1">M74-K74</f>
        <v>9494.8508152601571</v>
      </c>
      <c r="O74" s="530">
        <f ca="1">N74/100000</f>
        <v>9.4948508152601571E-2</v>
      </c>
      <c r="P74" s="698">
        <f ca="1">AVERAGE(P4:P72)</f>
        <v>43.878787878787875</v>
      </c>
      <c r="Q74" s="330"/>
      <c r="R74" s="323"/>
      <c r="S74" s="323"/>
      <c r="T74" s="323"/>
      <c r="U74" s="323"/>
      <c r="V74" s="332"/>
      <c r="W74" s="332"/>
      <c r="X74" s="332"/>
      <c r="Y74" s="332"/>
      <c r="Z74" s="332"/>
      <c r="AA74" s="14"/>
      <c r="AB74" s="14"/>
      <c r="AC74" s="14"/>
      <c r="AD74" s="14"/>
      <c r="AE74" s="14"/>
      <c r="AF74" s="2"/>
      <c r="AG74" s="2"/>
      <c r="AH74" s="2"/>
      <c r="AI74" s="14"/>
      <c r="AJ74" s="28"/>
      <c r="AK74" s="28"/>
      <c r="AL74" s="28"/>
      <c r="AM74" s="28"/>
      <c r="AN74" s="28"/>
      <c r="AO74" s="28"/>
      <c r="AP74" s="28"/>
      <c r="AQ74" s="28"/>
      <c r="AR74" s="28"/>
      <c r="AS74" s="28"/>
      <c r="AT74" s="28"/>
      <c r="AU74" s="4"/>
      <c r="AV74" s="4"/>
      <c r="AW74" s="4"/>
      <c r="AX74" s="4"/>
      <c r="AY74" s="4"/>
      <c r="AZ74" s="4"/>
      <c r="BA74" s="4"/>
      <c r="BB74" s="28"/>
      <c r="BC74" s="28"/>
      <c r="BD74" s="28"/>
      <c r="BE74" s="28"/>
      <c r="BF74" s="28"/>
      <c r="BG74" s="28"/>
      <c r="BH74" s="28"/>
      <c r="BI74" s="28"/>
      <c r="BJ74" s="28"/>
      <c r="BK74" s="28"/>
      <c r="BL74" s="28"/>
      <c r="BM74" s="28"/>
      <c r="BN74" s="28"/>
      <c r="BO74" s="28"/>
      <c r="BP74" s="28"/>
      <c r="BQ74" s="28"/>
      <c r="BR74" s="28"/>
      <c r="BS74" s="28"/>
      <c r="BT74" s="28"/>
      <c r="BU74" s="28"/>
      <c r="BV74" s="28"/>
      <c r="BW74" s="28"/>
      <c r="BX74" s="311"/>
      <c r="BY74" s="311"/>
      <c r="BZ74" s="311"/>
      <c r="CA74" s="311"/>
      <c r="CB74" s="311"/>
      <c r="CC74" s="311"/>
      <c r="CD74" s="311"/>
    </row>
    <row r="75" spans="1:82" ht="15.75" customHeight="1">
      <c r="A75" s="322"/>
      <c r="B75" s="322"/>
      <c r="C75" s="322"/>
      <c r="D75" s="322"/>
      <c r="E75" s="322"/>
      <c r="F75" s="322"/>
      <c r="G75" s="322"/>
      <c r="H75" s="312"/>
      <c r="I75" s="312"/>
      <c r="J75" s="312"/>
      <c r="K75" s="312"/>
      <c r="L75" s="312"/>
      <c r="M75" s="312"/>
      <c r="N75" s="319"/>
      <c r="O75" s="319"/>
      <c r="P75" s="320"/>
      <c r="Q75" s="323"/>
      <c r="R75" s="323"/>
      <c r="S75" s="323"/>
      <c r="T75" s="323"/>
      <c r="U75" s="323"/>
      <c r="V75" s="332"/>
      <c r="W75" s="332"/>
      <c r="X75" s="332"/>
      <c r="Y75" s="332"/>
      <c r="Z75" s="332"/>
      <c r="AA75" s="14"/>
      <c r="AB75" s="14"/>
      <c r="AC75" s="14"/>
      <c r="AD75" s="14"/>
      <c r="AE75" s="14"/>
      <c r="AF75" s="14"/>
      <c r="AG75" s="14"/>
      <c r="AH75" s="14"/>
      <c r="AI75" s="323" t="s">
        <v>237</v>
      </c>
      <c r="AJ75" s="332"/>
      <c r="AK75" s="323" t="s">
        <v>238</v>
      </c>
      <c r="AL75" s="332"/>
      <c r="AM75" s="323" t="s">
        <v>239</v>
      </c>
      <c r="AN75" s="352"/>
      <c r="AO75" s="323" t="s">
        <v>240</v>
      </c>
      <c r="AP75" s="352"/>
      <c r="AQ75" s="323" t="s">
        <v>241</v>
      </c>
      <c r="AR75" s="352"/>
      <c r="AS75" s="28" t="s">
        <v>70</v>
      </c>
      <c r="AT75" s="332"/>
      <c r="AU75" s="4"/>
      <c r="AV75" s="4"/>
      <c r="AW75" s="4"/>
      <c r="AX75" s="4"/>
      <c r="AY75" s="4"/>
      <c r="AZ75" s="4"/>
      <c r="BA75" s="4"/>
      <c r="BB75" s="323"/>
      <c r="BC75" s="323"/>
      <c r="BD75" s="323"/>
      <c r="BE75" s="323"/>
      <c r="BF75" s="323"/>
      <c r="BG75" s="323"/>
      <c r="BH75" s="323"/>
      <c r="BI75" s="323"/>
      <c r="BJ75" s="323"/>
      <c r="BK75" s="323"/>
      <c r="BL75" s="323"/>
      <c r="BM75" s="323"/>
      <c r="BN75" s="323"/>
      <c r="BO75" s="323"/>
      <c r="BP75" s="323"/>
      <c r="BQ75" s="323"/>
      <c r="BR75" s="323"/>
      <c r="BS75" s="323"/>
      <c r="BT75" s="323"/>
      <c r="BU75" s="323"/>
      <c r="BV75" s="323"/>
      <c r="BW75" s="323"/>
      <c r="BX75" s="409"/>
      <c r="BY75" s="409"/>
      <c r="BZ75" s="409"/>
      <c r="CA75" s="409"/>
      <c r="CB75" s="409"/>
      <c r="CC75" s="409"/>
      <c r="CD75" s="409"/>
    </row>
    <row r="76" spans="1:82" ht="15.75" customHeight="1">
      <c r="A76" s="322"/>
      <c r="B76" s="322"/>
      <c r="C76" s="864" t="s">
        <v>388</v>
      </c>
      <c r="D76" s="862"/>
      <c r="E76" s="862"/>
      <c r="F76" s="862"/>
      <c r="G76" s="863"/>
      <c r="H76" s="322"/>
      <c r="I76" s="323"/>
      <c r="J76" s="254"/>
      <c r="K76" s="254"/>
      <c r="L76" s="254"/>
      <c r="M76" s="254"/>
      <c r="N76" s="323"/>
      <c r="O76" s="323"/>
      <c r="P76" s="323"/>
      <c r="Q76" s="323"/>
      <c r="R76" s="323"/>
      <c r="S76" s="323"/>
      <c r="T76" s="323"/>
      <c r="U76" s="323"/>
      <c r="V76" s="332"/>
      <c r="W76" s="332"/>
      <c r="X76" s="332"/>
      <c r="Y76" s="332"/>
      <c r="Z76" s="332"/>
      <c r="AA76" s="14"/>
      <c r="AB76" s="14"/>
      <c r="AC76" s="14"/>
      <c r="AD76" s="14"/>
      <c r="AE76" s="14"/>
      <c r="AF76" s="14"/>
      <c r="AG76" s="354" t="s">
        <v>5</v>
      </c>
      <c r="AH76" s="355" t="s">
        <v>4</v>
      </c>
      <c r="AI76" s="2" t="str">
        <f ca="1">IFERROR(__xludf.DUMMYFUNCTION("GoogleFinance(AG76,""price"",today()-6)"),"#N/A")</f>
        <v>#N/A</v>
      </c>
      <c r="AJ76" s="29"/>
      <c r="AK76" s="235" t="str">
        <f ca="1">IFERROR(__xludf.DUMMYFUNCTION("GoogleFinance(AG76,""price"",today()-32)"),"#N/A")</f>
        <v>#N/A</v>
      </c>
      <c r="AL76" s="29"/>
      <c r="AM76" s="235" t="str">
        <f ca="1">IFERROR(__xludf.DUMMYFUNCTION("GoogleFinance(AG76,""price"",today()-93)"),"#N/A")</f>
        <v>#N/A</v>
      </c>
      <c r="AN76" s="29"/>
      <c r="AO76" s="235" t="str">
        <f ca="1">IFERROR(__xludf.DUMMYFUNCTION("GoogleFinance(AG76,""price"",today()-182)"),"#N/A")</f>
        <v>#N/A</v>
      </c>
      <c r="AP76" s="29"/>
      <c r="AQ76" s="235" t="str">
        <f ca="1">IFERROR(__xludf.DUMMYFUNCTION("GoogleFinance(AG76,""price"",today()-365)"),"#N/A")</f>
        <v>#N/A</v>
      </c>
      <c r="AR76" s="29"/>
      <c r="AS76" s="235" t="str">
        <f ca="1">IFERROR(__xludf.DUMMYFUNCTION("GoogleFinance(AG76,""price"",DATE(2024,12,31))"),"#N/A")</f>
        <v>#N/A</v>
      </c>
      <c r="AT76" s="29"/>
      <c r="AU76" s="4"/>
      <c r="AV76" s="4"/>
      <c r="AW76" s="4"/>
      <c r="AX76" s="4"/>
      <c r="AY76" s="4"/>
      <c r="AZ76" s="4"/>
      <c r="BA76" s="4"/>
      <c r="BB76" s="323"/>
      <c r="BC76" s="323"/>
      <c r="BD76" s="323"/>
      <c r="BE76" s="323"/>
      <c r="BF76" s="323"/>
      <c r="BG76" s="323"/>
      <c r="BH76" s="323"/>
      <c r="BI76" s="323"/>
      <c r="BJ76" s="323"/>
      <c r="BK76" s="323"/>
      <c r="BL76" s="323"/>
      <c r="BM76" s="323"/>
      <c r="BN76" s="323"/>
      <c r="BO76" s="323"/>
      <c r="BP76" s="323"/>
      <c r="BQ76" s="323"/>
      <c r="BR76" s="323"/>
      <c r="BS76" s="323"/>
      <c r="BT76" s="323"/>
      <c r="BU76" s="323"/>
      <c r="BV76" s="323"/>
      <c r="BW76" s="323"/>
      <c r="BX76" s="409"/>
      <c r="BY76" s="409"/>
      <c r="BZ76" s="409"/>
      <c r="CA76" s="409"/>
      <c r="CB76" s="409"/>
      <c r="CC76" s="409"/>
      <c r="CD76" s="409"/>
    </row>
    <row r="77" spans="1:82" ht="15.75" customHeight="1">
      <c r="A77" s="322"/>
      <c r="B77" s="322"/>
      <c r="C77" s="354"/>
      <c r="D77" s="7"/>
      <c r="E77" s="14"/>
      <c r="F77" s="14"/>
      <c r="G77" s="14"/>
      <c r="H77" s="14"/>
      <c r="I77" s="322"/>
      <c r="J77" s="322"/>
      <c r="K77" s="322"/>
      <c r="L77" s="322"/>
      <c r="M77" s="322"/>
      <c r="N77" s="323"/>
      <c r="O77" s="323"/>
      <c r="P77" s="323"/>
      <c r="Q77" s="323"/>
      <c r="R77" s="323"/>
      <c r="S77" s="323"/>
      <c r="T77" s="323"/>
      <c r="U77" s="323"/>
      <c r="V77" s="332"/>
      <c r="W77" s="332"/>
      <c r="X77" s="332"/>
      <c r="Y77" s="332"/>
      <c r="Z77" s="332"/>
      <c r="AA77" s="332"/>
      <c r="AB77" s="332"/>
      <c r="AC77" s="332"/>
      <c r="AD77" s="332"/>
      <c r="AE77" s="14"/>
      <c r="AF77" s="14"/>
      <c r="AG77" s="14"/>
      <c r="AH77" s="294">
        <f ca="1">IFERROR(__xludf.DUMMYFUNCTION("GOOGLEFINANCE(AG76)"),661.82)</f>
        <v>661.82</v>
      </c>
      <c r="AI77" s="235"/>
      <c r="AJ77" s="29"/>
      <c r="AK77" s="235"/>
      <c r="AL77" s="29"/>
      <c r="AM77" s="235"/>
      <c r="AN77" s="29"/>
      <c r="AO77" s="235"/>
      <c r="AP77" s="29"/>
      <c r="AQ77" s="235"/>
      <c r="AR77" s="29"/>
      <c r="AS77" s="235"/>
      <c r="AT77" s="29"/>
      <c r="AU77" s="4"/>
      <c r="AV77" s="4"/>
      <c r="AW77" s="4"/>
      <c r="AX77" s="4"/>
      <c r="AY77" s="4"/>
      <c r="AZ77" s="4"/>
      <c r="BA77" s="4"/>
      <c r="BB77" s="323"/>
      <c r="BC77" s="323"/>
      <c r="BD77" s="323"/>
      <c r="BE77" s="323"/>
      <c r="BF77" s="323"/>
      <c r="BG77" s="323"/>
      <c r="BH77" s="323"/>
      <c r="BI77" s="323"/>
      <c r="BJ77" s="323"/>
      <c r="BK77" s="323"/>
      <c r="BL77" s="323"/>
      <c r="BM77" s="323"/>
      <c r="BN77" s="323"/>
      <c r="BO77" s="323"/>
      <c r="BP77" s="323"/>
      <c r="BQ77" s="323"/>
      <c r="BR77" s="323"/>
      <c r="BS77" s="323"/>
      <c r="BT77" s="323"/>
      <c r="BU77" s="323"/>
      <c r="BV77" s="323"/>
      <c r="BW77" s="323"/>
      <c r="BX77" s="409"/>
      <c r="BY77" s="409"/>
      <c r="BZ77" s="409"/>
      <c r="CA77" s="409"/>
      <c r="CB77" s="409"/>
      <c r="CC77" s="409"/>
      <c r="CD77" s="409"/>
    </row>
    <row r="78" spans="1:82" ht="15.75" customHeight="1">
      <c r="A78" s="322"/>
      <c r="B78" s="322"/>
      <c r="C78" s="699" t="s">
        <v>255</v>
      </c>
      <c r="D78" s="32">
        <f ca="1">R214</f>
        <v>0.15134149661953977</v>
      </c>
      <c r="E78" s="14"/>
      <c r="F78" s="14"/>
      <c r="G78" s="14"/>
      <c r="H78" s="14"/>
      <c r="I78" s="312"/>
      <c r="J78" s="320"/>
      <c r="K78" s="320"/>
      <c r="L78" s="320"/>
      <c r="M78" s="323"/>
      <c r="N78" s="323"/>
      <c r="O78" s="323"/>
      <c r="P78" s="323"/>
      <c r="Q78" s="323"/>
      <c r="R78" s="323"/>
      <c r="S78" s="323"/>
      <c r="T78" s="323"/>
      <c r="U78" s="323"/>
      <c r="V78" s="332"/>
      <c r="W78" s="332"/>
      <c r="X78" s="332"/>
      <c r="Y78" s="332"/>
      <c r="Z78" s="332"/>
      <c r="AA78" s="332"/>
      <c r="AB78" s="332"/>
      <c r="AC78" s="332"/>
      <c r="AD78" s="332"/>
      <c r="AE78" s="14"/>
      <c r="AF78" s="14"/>
      <c r="AG78" s="14"/>
      <c r="AH78" s="14"/>
      <c r="AI78" s="14"/>
      <c r="AJ78" s="456"/>
      <c r="AK78" s="332"/>
      <c r="AL78" s="456"/>
      <c r="AM78" s="332"/>
      <c r="AN78" s="456"/>
      <c r="AO78" s="332"/>
      <c r="AP78" s="456"/>
      <c r="AQ78" s="28"/>
      <c r="AR78" s="456"/>
      <c r="AS78" s="28"/>
      <c r="AT78" s="456"/>
      <c r="AU78" s="4"/>
      <c r="AV78" s="4"/>
      <c r="AW78" s="4"/>
      <c r="AX78" s="4"/>
      <c r="AY78" s="4"/>
      <c r="AZ78" s="4"/>
      <c r="BA78" s="4"/>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BX78" s="409"/>
      <c r="BY78" s="409"/>
      <c r="BZ78" s="409"/>
      <c r="CA78" s="409"/>
      <c r="CB78" s="409"/>
      <c r="CC78" s="409"/>
      <c r="CD78" s="409"/>
    </row>
    <row r="79" spans="1:82" ht="15.75" customHeight="1">
      <c r="A79" s="322"/>
      <c r="B79" s="322"/>
      <c r="C79" s="699" t="s">
        <v>46</v>
      </c>
      <c r="D79" s="700">
        <f ca="1">M74/L74-1</f>
        <v>8.9106017534965831E-2</v>
      </c>
      <c r="E79" s="14"/>
      <c r="F79" s="14"/>
      <c r="G79" s="4"/>
      <c r="H79" s="14"/>
      <c r="I79" s="312"/>
      <c r="J79" s="320"/>
      <c r="K79" s="320"/>
      <c r="L79" s="320"/>
      <c r="M79" s="323"/>
      <c r="N79" s="323"/>
      <c r="O79" s="323"/>
      <c r="P79" s="323"/>
      <c r="Q79" s="323"/>
      <c r="R79" s="323"/>
      <c r="S79" s="323"/>
      <c r="T79" s="323"/>
      <c r="U79" s="323"/>
      <c r="V79" s="332"/>
      <c r="W79" s="332"/>
      <c r="X79" s="332"/>
      <c r="Y79" s="332"/>
      <c r="Z79" s="332"/>
      <c r="AA79" s="332"/>
      <c r="AB79" s="332"/>
      <c r="AC79" s="332"/>
      <c r="AD79" s="332"/>
      <c r="AE79" s="14"/>
      <c r="AF79" s="14"/>
      <c r="AG79" s="14"/>
      <c r="AH79" s="14"/>
      <c r="AI79" s="14"/>
      <c r="AJ79" s="456"/>
      <c r="AK79" s="332"/>
      <c r="AL79" s="456"/>
      <c r="AM79" s="332"/>
      <c r="AN79" s="456"/>
      <c r="AO79" s="332"/>
      <c r="AP79" s="456"/>
      <c r="AQ79" s="28"/>
      <c r="AR79" s="456"/>
      <c r="AS79" s="28"/>
      <c r="AT79" s="456"/>
      <c r="AU79" s="4"/>
      <c r="AV79" s="4"/>
      <c r="AW79" s="4"/>
      <c r="AX79" s="4"/>
      <c r="AY79" s="4"/>
      <c r="AZ79" s="4"/>
      <c r="BA79" s="4"/>
      <c r="BB79" s="323"/>
      <c r="BC79" s="323"/>
      <c r="BD79" s="323"/>
      <c r="BE79" s="323"/>
      <c r="BF79" s="323"/>
      <c r="BG79" s="323"/>
      <c r="BH79" s="323"/>
      <c r="BI79" s="323"/>
      <c r="BJ79" s="323"/>
      <c r="BK79" s="323"/>
      <c r="BL79" s="323"/>
      <c r="BM79" s="323"/>
      <c r="BN79" s="323"/>
      <c r="BO79" s="323"/>
      <c r="BP79" s="323"/>
      <c r="BQ79" s="323"/>
      <c r="BR79" s="323"/>
      <c r="BS79" s="323"/>
      <c r="BT79" s="323"/>
      <c r="BU79" s="323"/>
      <c r="BV79" s="323"/>
      <c r="BW79" s="323"/>
      <c r="BX79" s="409"/>
      <c r="BY79" s="409"/>
      <c r="BZ79" s="409"/>
      <c r="CA79" s="409"/>
      <c r="CB79" s="409"/>
      <c r="CC79" s="409"/>
      <c r="CD79" s="409"/>
    </row>
    <row r="80" spans="1:82" ht="15.75" customHeight="1">
      <c r="A80" s="322"/>
      <c r="B80" s="322"/>
      <c r="C80" s="701" t="s">
        <v>389</v>
      </c>
      <c r="D80" s="700">
        <f ca="1">(M74-L74+Q214)/103588</f>
        <v>0.24300125272314402</v>
      </c>
      <c r="F80" s="14"/>
      <c r="G80" s="14"/>
      <c r="H80" s="14"/>
      <c r="I80" s="312"/>
      <c r="J80" s="320"/>
      <c r="K80" s="320"/>
      <c r="L80" s="320"/>
      <c r="M80" s="323"/>
      <c r="N80" s="323"/>
      <c r="O80" s="323"/>
      <c r="P80" s="323"/>
      <c r="Q80" s="323"/>
      <c r="R80" s="323"/>
      <c r="S80" s="323"/>
      <c r="T80" s="323"/>
      <c r="U80" s="323"/>
      <c r="V80" s="332"/>
      <c r="W80" s="332"/>
      <c r="X80" s="332"/>
      <c r="Y80" s="332"/>
      <c r="Z80" s="332"/>
      <c r="AA80" s="332"/>
      <c r="AB80" s="332"/>
      <c r="AC80" s="332"/>
      <c r="AD80" s="332"/>
      <c r="AE80" s="14"/>
      <c r="AF80" s="14"/>
      <c r="AG80" s="14"/>
      <c r="AH80" s="14"/>
      <c r="AI80" s="14"/>
      <c r="AJ80" s="456"/>
      <c r="AK80" s="332"/>
      <c r="AL80" s="456"/>
      <c r="AM80" s="332"/>
      <c r="AN80" s="456"/>
      <c r="AO80" s="332"/>
      <c r="AP80" s="456"/>
      <c r="AQ80" s="28"/>
      <c r="AR80" s="456"/>
      <c r="AS80" s="28"/>
      <c r="AT80" s="456"/>
      <c r="AU80" s="4"/>
      <c r="AV80" s="4"/>
      <c r="AW80" s="4"/>
      <c r="AX80" s="4"/>
      <c r="AY80" s="4"/>
      <c r="AZ80" s="4"/>
      <c r="BA80" s="4"/>
      <c r="BB80" s="323"/>
      <c r="BC80" s="323"/>
      <c r="BD80" s="323"/>
      <c r="BE80" s="323"/>
      <c r="BF80" s="323"/>
      <c r="BG80" s="323"/>
      <c r="BH80" s="323"/>
      <c r="BI80" s="323"/>
      <c r="BJ80" s="323"/>
      <c r="BK80" s="323"/>
      <c r="BL80" s="323"/>
      <c r="BM80" s="323"/>
      <c r="BN80" s="323"/>
      <c r="BO80" s="323"/>
      <c r="BP80" s="323"/>
      <c r="BQ80" s="323"/>
      <c r="BR80" s="323"/>
      <c r="BS80" s="323"/>
      <c r="BT80" s="323"/>
      <c r="BU80" s="323"/>
      <c r="BV80" s="323"/>
      <c r="BW80" s="323"/>
      <c r="BX80" s="409"/>
      <c r="BY80" s="409"/>
      <c r="BZ80" s="409"/>
      <c r="CA80" s="409"/>
      <c r="CB80" s="409"/>
      <c r="CC80" s="409"/>
      <c r="CD80" s="409"/>
    </row>
    <row r="81" spans="1:82" ht="15.75" customHeight="1">
      <c r="A81" s="322"/>
      <c r="B81" s="322"/>
      <c r="C81" s="354" t="s">
        <v>80</v>
      </c>
      <c r="D81" s="32">
        <v>0.129</v>
      </c>
      <c r="E81" s="14"/>
      <c r="F81" s="14"/>
      <c r="G81" s="14"/>
      <c r="H81" s="14"/>
      <c r="I81" s="312"/>
      <c r="J81" s="320"/>
      <c r="K81" s="320"/>
      <c r="L81" s="320"/>
      <c r="M81" s="323"/>
      <c r="N81" s="323"/>
      <c r="O81" s="323"/>
      <c r="P81" s="323"/>
      <c r="Q81" s="323"/>
      <c r="R81" s="323"/>
      <c r="S81" s="323"/>
      <c r="T81" s="323"/>
      <c r="U81" s="323"/>
      <c r="V81" s="332"/>
      <c r="W81" s="332"/>
      <c r="X81" s="332"/>
      <c r="Y81" s="332"/>
      <c r="Z81" s="332"/>
      <c r="AA81" s="332"/>
      <c r="AB81" s="332"/>
      <c r="AC81" s="332"/>
      <c r="AD81" s="332"/>
      <c r="AE81" s="14"/>
      <c r="AF81" s="14"/>
      <c r="AG81" s="339"/>
      <c r="AH81" s="339"/>
      <c r="AI81" s="339"/>
      <c r="AJ81" s="456"/>
      <c r="AK81" s="702"/>
      <c r="AL81" s="456"/>
      <c r="AM81" s="332"/>
      <c r="AN81" s="456"/>
      <c r="AO81" s="332"/>
      <c r="AP81" s="456"/>
      <c r="AQ81" s="28"/>
      <c r="AR81" s="456"/>
      <c r="AS81" s="28"/>
      <c r="AT81" s="456"/>
      <c r="AU81" s="4"/>
      <c r="AV81" s="4"/>
      <c r="AW81" s="4"/>
      <c r="AX81" s="4"/>
      <c r="AY81" s="4"/>
      <c r="AZ81" s="4"/>
      <c r="BA81" s="4"/>
      <c r="BB81" s="323"/>
      <c r="BC81" s="323"/>
      <c r="BD81" s="323"/>
      <c r="BE81" s="323"/>
      <c r="BF81" s="323"/>
      <c r="BG81" s="323"/>
      <c r="BH81" s="323"/>
      <c r="BI81" s="323"/>
      <c r="BJ81" s="323"/>
      <c r="BK81" s="323"/>
      <c r="BL81" s="323"/>
      <c r="BM81" s="323"/>
      <c r="BN81" s="323"/>
      <c r="BO81" s="323"/>
      <c r="BP81" s="323"/>
      <c r="BQ81" s="323"/>
      <c r="BR81" s="323"/>
      <c r="BS81" s="323"/>
      <c r="BT81" s="323"/>
      <c r="BU81" s="323"/>
      <c r="BV81" s="323"/>
      <c r="BW81" s="323"/>
      <c r="BX81" s="409"/>
      <c r="BY81" s="409"/>
      <c r="BZ81" s="409"/>
      <c r="CA81" s="409"/>
      <c r="CB81" s="409"/>
      <c r="CC81" s="409"/>
      <c r="CD81" s="409"/>
    </row>
    <row r="82" spans="1:82" ht="15.75" customHeight="1">
      <c r="A82" s="322"/>
      <c r="B82" s="322"/>
      <c r="C82" s="7"/>
      <c r="D82" s="7"/>
      <c r="E82" s="7"/>
      <c r="F82" s="7"/>
      <c r="G82" s="7"/>
      <c r="H82" s="312"/>
      <c r="I82" s="312"/>
      <c r="J82" s="320"/>
      <c r="K82" s="320"/>
      <c r="L82" s="320"/>
      <c r="M82" s="323"/>
      <c r="N82" s="323"/>
      <c r="O82" s="323"/>
      <c r="P82" s="323"/>
      <c r="Q82" s="323"/>
      <c r="R82" s="323"/>
      <c r="S82" s="323"/>
      <c r="T82" s="323"/>
      <c r="U82" s="323"/>
      <c r="V82" s="332"/>
      <c r="W82" s="332"/>
      <c r="X82" s="332"/>
      <c r="Y82" s="332"/>
      <c r="Z82" s="332"/>
      <c r="AA82" s="332"/>
      <c r="AB82" s="332"/>
      <c r="AC82" s="332"/>
      <c r="AD82" s="332"/>
      <c r="AE82" s="14"/>
      <c r="AF82" s="17"/>
      <c r="AG82" s="17"/>
      <c r="AH82" s="864" t="s">
        <v>390</v>
      </c>
      <c r="AI82" s="862"/>
      <c r="AJ82" s="862"/>
      <c r="AK82" s="862"/>
      <c r="AL82" s="863"/>
      <c r="AM82" s="703"/>
      <c r="AN82" s="456"/>
      <c r="AO82" s="332"/>
      <c r="AP82" s="456"/>
      <c r="AQ82" s="28"/>
      <c r="AR82" s="456"/>
      <c r="AS82" s="28"/>
      <c r="AT82" s="456"/>
      <c r="AU82" s="4"/>
      <c r="AV82" s="4"/>
      <c r="AW82" s="4"/>
      <c r="AX82" s="4"/>
      <c r="AY82" s="4"/>
      <c r="AZ82" s="4"/>
      <c r="BA82" s="4"/>
      <c r="BB82" s="323"/>
      <c r="BC82" s="323"/>
      <c r="BD82" s="323"/>
      <c r="BE82" s="323"/>
      <c r="BF82" s="323"/>
      <c r="BG82" s="323"/>
      <c r="BH82" s="323"/>
      <c r="BI82" s="323"/>
      <c r="BJ82" s="323"/>
      <c r="BK82" s="323"/>
      <c r="BL82" s="323"/>
      <c r="BM82" s="323"/>
      <c r="BN82" s="323"/>
      <c r="BO82" s="323"/>
      <c r="BP82" s="323"/>
      <c r="BQ82" s="323"/>
      <c r="BR82" s="323"/>
      <c r="BS82" s="323"/>
      <c r="BT82" s="323"/>
      <c r="BU82" s="323"/>
      <c r="BV82" s="323"/>
      <c r="BW82" s="323"/>
      <c r="BX82" s="409"/>
      <c r="BY82" s="409"/>
      <c r="BZ82" s="409"/>
      <c r="CA82" s="409"/>
      <c r="CB82" s="409"/>
      <c r="CC82" s="409"/>
      <c r="CD82" s="409"/>
    </row>
    <row r="83" spans="1:82" ht="15.75" customHeight="1">
      <c r="A83" s="322"/>
      <c r="B83" s="322"/>
      <c r="C83" s="704" t="s">
        <v>47</v>
      </c>
      <c r="D83" s="7"/>
      <c r="E83" s="705" t="s">
        <v>391</v>
      </c>
      <c r="F83" s="706" t="s">
        <v>392</v>
      </c>
      <c r="G83" s="354"/>
      <c r="H83" s="312"/>
      <c r="I83" s="312"/>
      <c r="J83" s="320"/>
      <c r="K83" s="320"/>
      <c r="L83" s="320"/>
      <c r="M83" s="323"/>
      <c r="N83" s="323"/>
      <c r="O83" s="323"/>
      <c r="P83" s="323"/>
      <c r="Q83" s="323"/>
      <c r="R83" s="323"/>
      <c r="S83" s="323"/>
      <c r="T83" s="323"/>
      <c r="U83" s="323"/>
      <c r="V83" s="332"/>
      <c r="W83" s="332"/>
      <c r="X83" s="332"/>
      <c r="Y83" s="332"/>
      <c r="Z83" s="332"/>
      <c r="AA83" s="332"/>
      <c r="AB83" s="332"/>
      <c r="AC83" s="332"/>
      <c r="AD83" s="332"/>
      <c r="AE83" s="14"/>
      <c r="AF83" s="14"/>
      <c r="AG83" s="707"/>
      <c r="AH83" s="708" t="s">
        <v>393</v>
      </c>
      <c r="AI83" s="709" t="s">
        <v>394</v>
      </c>
      <c r="AJ83" s="709" t="s">
        <v>395</v>
      </c>
      <c r="AK83" s="709" t="s">
        <v>396</v>
      </c>
      <c r="AL83" s="709" t="s">
        <v>397</v>
      </c>
      <c r="AM83" s="332"/>
      <c r="AN83" s="456"/>
      <c r="AO83" s="332"/>
      <c r="AP83" s="456"/>
      <c r="AQ83" s="28"/>
      <c r="AR83" s="456"/>
      <c r="AS83" s="28"/>
      <c r="AT83" s="456"/>
      <c r="AU83" s="4"/>
      <c r="AV83" s="4"/>
      <c r="AW83" s="4"/>
      <c r="AX83" s="4"/>
      <c r="AY83" s="4"/>
      <c r="AZ83" s="4"/>
      <c r="BA83" s="4"/>
      <c r="BB83" s="323"/>
      <c r="BC83" s="323"/>
      <c r="BD83" s="323"/>
      <c r="BE83" s="323"/>
      <c r="BF83" s="323"/>
      <c r="BG83" s="323"/>
      <c r="BH83" s="323"/>
      <c r="BI83" s="323"/>
      <c r="BJ83" s="323"/>
      <c r="BK83" s="323"/>
      <c r="BL83" s="323"/>
      <c r="BM83" s="323"/>
      <c r="BN83" s="323"/>
      <c r="BO83" s="323"/>
      <c r="BP83" s="323"/>
      <c r="BQ83" s="323"/>
      <c r="BR83" s="323"/>
      <c r="BS83" s="323"/>
      <c r="BT83" s="323"/>
      <c r="BU83" s="323"/>
      <c r="BV83" s="323"/>
      <c r="BW83" s="323"/>
      <c r="BX83" s="409"/>
      <c r="BY83" s="409"/>
      <c r="BZ83" s="409"/>
      <c r="CA83" s="409"/>
      <c r="CB83" s="409"/>
      <c r="CC83" s="409"/>
      <c r="CD83" s="409"/>
    </row>
    <row r="84" spans="1:82" ht="15.75" customHeight="1">
      <c r="A84" s="322"/>
      <c r="B84" s="322"/>
      <c r="C84" s="710"/>
      <c r="D84" s="711" t="s">
        <v>398</v>
      </c>
      <c r="E84" s="712">
        <f ca="1">AVERAGE(R107:R109,R111,R113,R114,R117,R120,R124,R129,R131,R133,R135:R144,R146:R152,R154,R164,R165,R171,R179,R182,R183,R187,R191:R199,R201:R203,R205,R207:R208,R211)</f>
        <v>-0.14338148476945284</v>
      </c>
      <c r="F84" s="713">
        <f>AVERAGE(O8:O10,O36:O38,O44,O52,O56,O60)</f>
        <v>-7.7355942887673945E-2</v>
      </c>
      <c r="G84" s="7"/>
      <c r="H84" s="312"/>
      <c r="I84" s="312"/>
      <c r="J84" s="320"/>
      <c r="K84" s="320"/>
      <c r="L84" s="320"/>
      <c r="M84" s="323"/>
      <c r="N84" s="323"/>
      <c r="O84" s="323"/>
      <c r="P84" s="323"/>
      <c r="Q84" s="323"/>
      <c r="R84" s="323"/>
      <c r="S84" s="323"/>
      <c r="T84" s="323"/>
      <c r="U84" s="323"/>
      <c r="V84" s="332"/>
      <c r="W84" s="332"/>
      <c r="X84" s="332"/>
      <c r="Y84" s="332"/>
      <c r="Z84" s="332"/>
      <c r="AA84" s="332"/>
      <c r="AB84" s="332"/>
      <c r="AC84" s="332"/>
      <c r="AD84" s="332"/>
      <c r="AE84" s="14"/>
      <c r="AF84" s="14"/>
      <c r="AG84" s="714">
        <v>2024</v>
      </c>
      <c r="AH84" s="294">
        <v>133</v>
      </c>
      <c r="AI84" s="715">
        <v>0.46</v>
      </c>
      <c r="AJ84" s="716">
        <v>1.65</v>
      </c>
      <c r="AK84" s="294" t="s">
        <v>399</v>
      </c>
      <c r="AL84" s="294" t="s">
        <v>400</v>
      </c>
      <c r="AM84" s="332"/>
      <c r="AN84" s="456"/>
      <c r="AO84" s="332"/>
      <c r="AP84" s="456"/>
      <c r="AQ84" s="28"/>
      <c r="AR84" s="456"/>
      <c r="AS84" s="28"/>
      <c r="AT84" s="456"/>
      <c r="AU84" s="4"/>
      <c r="AV84" s="4"/>
      <c r="AW84" s="4"/>
      <c r="AX84" s="4"/>
      <c r="AY84" s="4"/>
      <c r="AZ84" s="4"/>
      <c r="BA84" s="4"/>
      <c r="BB84" s="323"/>
      <c r="BC84" s="323"/>
      <c r="BD84" s="323"/>
      <c r="BE84" s="323"/>
      <c r="BF84" s="323"/>
      <c r="BG84" s="323"/>
      <c r="BH84" s="323"/>
      <c r="BI84" s="323"/>
      <c r="BJ84" s="323"/>
      <c r="BK84" s="323"/>
      <c r="BL84" s="323"/>
      <c r="BM84" s="323"/>
      <c r="BN84" s="323"/>
      <c r="BO84" s="323"/>
      <c r="BP84" s="323"/>
      <c r="BQ84" s="323"/>
      <c r="BR84" s="323"/>
      <c r="BS84" s="323"/>
      <c r="BT84" s="323"/>
      <c r="BU84" s="323"/>
      <c r="BV84" s="323"/>
      <c r="BW84" s="323"/>
      <c r="BX84" s="409"/>
      <c r="BY84" s="409"/>
      <c r="BZ84" s="409"/>
      <c r="CA84" s="409"/>
      <c r="CB84" s="409"/>
      <c r="CC84" s="409"/>
      <c r="CD84" s="409"/>
    </row>
    <row r="85" spans="1:82" ht="15.75" customHeight="1">
      <c r="A85" s="322"/>
      <c r="B85" s="322"/>
      <c r="C85" s="710"/>
      <c r="D85" s="717" t="s">
        <v>401</v>
      </c>
      <c r="E85" s="700">
        <f>AVERAGE(R102:R106,R110,R112,R115,R116,R118:R119,R121:R123,R125:R128,R130,R132,R134,R145,R153,R155:R163,R166,R167,R168,R169,R170,R172,R173,R174,R175,R176,R177,R178,R180,R181,R184:R186,R188:R190,R200,R204,R206,R209,R210)</f>
        <v>0.32894478132044103</v>
      </c>
      <c r="F85" s="718">
        <f ca="1">AVERAGE(O4:O6,O12:O34,O40:O54,O58,O62,O64,O69:O71)</f>
        <v>0.13508178431860868</v>
      </c>
      <c r="G85" s="7"/>
      <c r="H85" s="320" t="s">
        <v>402</v>
      </c>
      <c r="I85" s="312"/>
      <c r="J85" s="320"/>
      <c r="K85" s="320"/>
      <c r="L85" s="320"/>
      <c r="M85" s="323"/>
      <c r="N85" s="323"/>
      <c r="O85" s="323"/>
      <c r="P85" s="323"/>
      <c r="Q85" s="323"/>
      <c r="R85" s="323"/>
      <c r="S85" s="323"/>
      <c r="T85" s="323"/>
      <c r="U85" s="323"/>
      <c r="V85" s="332"/>
      <c r="W85" s="332"/>
      <c r="X85" s="332"/>
      <c r="Y85" s="332"/>
      <c r="Z85" s="332"/>
      <c r="AA85" s="332"/>
      <c r="AB85" s="332"/>
      <c r="AC85" s="332"/>
      <c r="AD85" s="332"/>
      <c r="AE85" s="14"/>
      <c r="AF85" s="14"/>
      <c r="AG85" s="714">
        <v>2023</v>
      </c>
      <c r="AH85" s="294">
        <v>103</v>
      </c>
      <c r="AI85" s="715">
        <v>0.47</v>
      </c>
      <c r="AJ85" s="294" t="s">
        <v>403</v>
      </c>
      <c r="AK85" s="294" t="s">
        <v>404</v>
      </c>
      <c r="AL85" s="294" t="s">
        <v>405</v>
      </c>
      <c r="AM85" s="332"/>
      <c r="AN85" s="456"/>
      <c r="AO85" s="332"/>
      <c r="AP85" s="456"/>
      <c r="AQ85" s="28"/>
      <c r="AR85" s="456"/>
      <c r="AS85" s="28"/>
      <c r="AT85" s="456"/>
      <c r="AU85" s="4"/>
      <c r="AV85" s="4"/>
      <c r="AW85" s="4"/>
      <c r="AX85" s="4"/>
      <c r="AY85" s="4"/>
      <c r="AZ85" s="4"/>
      <c r="BA85" s="4"/>
      <c r="BB85" s="323"/>
      <c r="BC85" s="323"/>
      <c r="BD85" s="323"/>
      <c r="BE85" s="323"/>
      <c r="BF85" s="323"/>
      <c r="BG85" s="323"/>
      <c r="BH85" s="323"/>
      <c r="BI85" s="323"/>
      <c r="BJ85" s="323"/>
      <c r="BK85" s="323"/>
      <c r="BL85" s="323"/>
      <c r="BM85" s="323"/>
      <c r="BN85" s="323"/>
      <c r="BO85" s="323"/>
      <c r="BP85" s="323"/>
      <c r="BQ85" s="323"/>
      <c r="BR85" s="323"/>
      <c r="BS85" s="323"/>
      <c r="BT85" s="323"/>
      <c r="BU85" s="323"/>
      <c r="BV85" s="323"/>
      <c r="BW85" s="323"/>
      <c r="BX85" s="409"/>
      <c r="BY85" s="409"/>
      <c r="BZ85" s="409"/>
      <c r="CA85" s="409"/>
      <c r="CB85" s="409"/>
      <c r="CC85" s="409"/>
      <c r="CD85" s="409"/>
    </row>
    <row r="86" spans="1:82" ht="15.75" customHeight="1">
      <c r="A86" s="322"/>
      <c r="B86" s="322"/>
      <c r="C86" s="719" t="s">
        <v>406</v>
      </c>
      <c r="D86" s="720"/>
      <c r="E86" s="721" t="s">
        <v>407</v>
      </c>
      <c r="F86" s="721" t="s">
        <v>408</v>
      </c>
      <c r="G86" s="7"/>
      <c r="H86" s="312"/>
      <c r="I86" s="312"/>
      <c r="J86" s="320"/>
      <c r="K86" s="320"/>
      <c r="L86" s="320"/>
      <c r="M86" s="323"/>
      <c r="N86" s="323"/>
      <c r="O86" s="323"/>
      <c r="P86" s="323"/>
      <c r="Q86" s="323"/>
      <c r="R86" s="323"/>
      <c r="S86" s="323"/>
      <c r="T86" s="323"/>
      <c r="U86" s="323"/>
      <c r="V86" s="332"/>
      <c r="W86" s="332"/>
      <c r="X86" s="332"/>
      <c r="Y86" s="332"/>
      <c r="Z86" s="332"/>
      <c r="AA86" s="332"/>
      <c r="AB86" s="332"/>
      <c r="AC86" s="332"/>
      <c r="AD86" s="332"/>
      <c r="AE86" s="14"/>
      <c r="AF86" s="14"/>
      <c r="AG86" s="714">
        <v>2022</v>
      </c>
      <c r="AH86" s="294">
        <v>101</v>
      </c>
      <c r="AI86" s="715">
        <v>0.51</v>
      </c>
      <c r="AJ86" s="294" t="s">
        <v>409</v>
      </c>
      <c r="AK86" s="294" t="s">
        <v>410</v>
      </c>
      <c r="AL86" s="294" t="s">
        <v>411</v>
      </c>
      <c r="AM86" s="332"/>
      <c r="AN86" s="456"/>
      <c r="AO86" s="332"/>
      <c r="AP86" s="456"/>
      <c r="AQ86" s="28"/>
      <c r="AR86" s="456"/>
      <c r="AS86" s="28"/>
      <c r="AT86" s="456"/>
      <c r="AU86" s="4"/>
      <c r="AV86" s="4"/>
      <c r="AW86" s="4"/>
      <c r="AX86" s="4"/>
      <c r="AY86" s="4"/>
      <c r="AZ86" s="4"/>
      <c r="BA86" s="4"/>
      <c r="BB86" s="323"/>
      <c r="BC86" s="323"/>
      <c r="BD86" s="323"/>
      <c r="BE86" s="323"/>
      <c r="BF86" s="323"/>
      <c r="BG86" s="323"/>
      <c r="BH86" s="323"/>
      <c r="BI86" s="323"/>
      <c r="BJ86" s="323"/>
      <c r="BK86" s="323"/>
      <c r="BL86" s="323"/>
      <c r="BM86" s="323"/>
      <c r="BN86" s="323"/>
      <c r="BO86" s="323"/>
      <c r="BP86" s="323"/>
      <c r="BQ86" s="323"/>
      <c r="BR86" s="323"/>
      <c r="BS86" s="323"/>
      <c r="BT86" s="323"/>
      <c r="BU86" s="323"/>
      <c r="BV86" s="323"/>
      <c r="BW86" s="323"/>
      <c r="BX86" s="409"/>
      <c r="BY86" s="409"/>
      <c r="BZ86" s="409"/>
      <c r="CA86" s="409"/>
      <c r="CB86" s="409"/>
      <c r="CC86" s="409"/>
      <c r="CD86" s="409"/>
    </row>
    <row r="87" spans="1:82" ht="15.75" customHeight="1">
      <c r="A87" s="322"/>
      <c r="B87" s="325"/>
      <c r="C87" s="722"/>
      <c r="D87" s="7"/>
      <c r="E87" s="7"/>
      <c r="F87" s="7"/>
      <c r="G87" s="7"/>
      <c r="H87" s="312"/>
      <c r="I87" s="312"/>
      <c r="J87" s="320"/>
      <c r="K87" s="320"/>
      <c r="L87" s="320"/>
      <c r="M87" s="323"/>
      <c r="N87" s="323"/>
      <c r="O87" s="323"/>
      <c r="P87" s="323"/>
      <c r="Q87" s="323"/>
      <c r="R87" s="323"/>
      <c r="S87" s="323"/>
      <c r="T87" s="323"/>
      <c r="U87" s="323"/>
      <c r="V87" s="332"/>
      <c r="W87" s="332"/>
      <c r="X87" s="332"/>
      <c r="Y87" s="332"/>
      <c r="Z87" s="332"/>
      <c r="AA87" s="332"/>
      <c r="AB87" s="332"/>
      <c r="AC87" s="332"/>
      <c r="AD87" s="332"/>
      <c r="AE87" s="14"/>
      <c r="AF87" s="14"/>
      <c r="AG87" s="714">
        <v>2021</v>
      </c>
      <c r="AH87" s="294">
        <v>107</v>
      </c>
      <c r="AI87" s="715">
        <v>0.62</v>
      </c>
      <c r="AJ87" s="294" t="s">
        <v>404</v>
      </c>
      <c r="AK87" s="294" t="s">
        <v>412</v>
      </c>
      <c r="AL87" s="294" t="s">
        <v>413</v>
      </c>
      <c r="AM87" s="332"/>
      <c r="AN87" s="456"/>
      <c r="AO87" s="332"/>
      <c r="AP87" s="456"/>
      <c r="AQ87" s="28"/>
      <c r="AR87" s="456"/>
      <c r="AS87" s="28"/>
      <c r="AT87" s="456"/>
      <c r="AU87" s="4"/>
      <c r="AV87" s="4"/>
      <c r="AW87" s="4"/>
      <c r="AX87" s="4"/>
      <c r="AY87" s="4"/>
      <c r="AZ87" s="4"/>
      <c r="BA87" s="4"/>
      <c r="BB87" s="323"/>
      <c r="BC87" s="323"/>
      <c r="BD87" s="323"/>
      <c r="BE87" s="323"/>
      <c r="BF87" s="323"/>
      <c r="BG87" s="323"/>
      <c r="BH87" s="323"/>
      <c r="BI87" s="323"/>
      <c r="BJ87" s="323"/>
      <c r="BK87" s="323"/>
      <c r="BL87" s="323"/>
      <c r="BM87" s="323"/>
      <c r="BN87" s="323"/>
      <c r="BO87" s="323"/>
      <c r="BP87" s="323"/>
      <c r="BQ87" s="323"/>
      <c r="BR87" s="323"/>
      <c r="BS87" s="323"/>
      <c r="BT87" s="323"/>
      <c r="BU87" s="323"/>
      <c r="BV87" s="323"/>
      <c r="BW87" s="323"/>
      <c r="BX87" s="409"/>
      <c r="BY87" s="409"/>
      <c r="BZ87" s="409"/>
      <c r="CA87" s="409"/>
      <c r="CB87" s="409"/>
      <c r="CC87" s="409"/>
      <c r="CD87" s="409"/>
    </row>
    <row r="88" spans="1:82" ht="15.75" customHeight="1">
      <c r="A88" s="322"/>
      <c r="B88" s="322"/>
      <c r="C88" s="723" t="s">
        <v>414</v>
      </c>
      <c r="D88" s="7"/>
      <c r="E88" s="706" t="s">
        <v>391</v>
      </c>
      <c r="F88" s="706" t="s">
        <v>392</v>
      </c>
      <c r="G88" s="7"/>
      <c r="H88" s="312"/>
      <c r="I88" s="312"/>
      <c r="J88" s="320"/>
      <c r="K88" s="320"/>
      <c r="L88" s="320"/>
      <c r="M88" s="323"/>
      <c r="N88" s="323"/>
      <c r="O88" s="323"/>
      <c r="P88" s="323"/>
      <c r="Q88" s="323"/>
      <c r="R88" s="323"/>
      <c r="S88" s="323"/>
      <c r="T88" s="323"/>
      <c r="U88" s="323"/>
      <c r="V88" s="332"/>
      <c r="W88" s="332"/>
      <c r="X88" s="332"/>
      <c r="Y88" s="332"/>
      <c r="Z88" s="332"/>
      <c r="AA88" s="332"/>
      <c r="AB88" s="332"/>
      <c r="AC88" s="332"/>
      <c r="AD88" s="332"/>
      <c r="AE88" s="14"/>
      <c r="AF88" s="14"/>
      <c r="AG88" s="724">
        <v>2020</v>
      </c>
      <c r="AH88" s="294">
        <v>127</v>
      </c>
      <c r="AI88" s="715">
        <v>0.56000000000000005</v>
      </c>
      <c r="AJ88" s="294" t="s">
        <v>415</v>
      </c>
      <c r="AK88" s="294" t="s">
        <v>416</v>
      </c>
      <c r="AL88" s="294" t="s">
        <v>417</v>
      </c>
      <c r="AM88" s="332"/>
      <c r="AN88" s="456"/>
      <c r="AO88" s="332"/>
      <c r="AP88" s="456"/>
      <c r="AQ88" s="28"/>
      <c r="AR88" s="456"/>
      <c r="AS88" s="28"/>
      <c r="AT88" s="456"/>
      <c r="AU88" s="4"/>
      <c r="AV88" s="4"/>
      <c r="AW88" s="4"/>
      <c r="AX88" s="4"/>
      <c r="AY88" s="4"/>
      <c r="AZ88" s="4"/>
      <c r="BA88" s="4"/>
      <c r="BB88" s="323"/>
      <c r="BC88" s="323"/>
      <c r="BD88" s="323"/>
      <c r="BE88" s="323"/>
      <c r="BF88" s="323"/>
      <c r="BG88" s="323"/>
      <c r="BH88" s="323"/>
      <c r="BI88" s="323"/>
      <c r="BJ88" s="323"/>
      <c r="BK88" s="323"/>
      <c r="BL88" s="323"/>
      <c r="BM88" s="323"/>
      <c r="BN88" s="323"/>
      <c r="BO88" s="323"/>
      <c r="BP88" s="323"/>
      <c r="BQ88" s="323"/>
      <c r="BR88" s="323"/>
      <c r="BS88" s="323"/>
      <c r="BT88" s="323"/>
      <c r="BU88" s="323"/>
      <c r="BV88" s="323"/>
      <c r="BW88" s="323"/>
      <c r="BX88" s="409"/>
      <c r="BY88" s="409"/>
      <c r="BZ88" s="409"/>
      <c r="CA88" s="409"/>
      <c r="CB88" s="409"/>
      <c r="CC88" s="409"/>
      <c r="CD88" s="409"/>
    </row>
    <row r="89" spans="1:82" ht="15.75" customHeight="1">
      <c r="A89" s="322"/>
      <c r="B89" s="322"/>
      <c r="C89" s="710"/>
      <c r="D89" s="711" t="s">
        <v>418</v>
      </c>
      <c r="E89" s="725">
        <v>54</v>
      </c>
      <c r="F89" s="726">
        <v>8</v>
      </c>
      <c r="G89" s="727">
        <f>E89+F89</f>
        <v>62</v>
      </c>
      <c r="H89" s="312"/>
      <c r="I89" s="312"/>
      <c r="J89" s="320"/>
      <c r="K89" s="320"/>
      <c r="L89" s="320"/>
      <c r="M89" s="323"/>
      <c r="N89" s="323"/>
      <c r="O89" s="323"/>
      <c r="P89" s="323"/>
      <c r="Q89" s="323"/>
      <c r="R89" s="323"/>
      <c r="S89" s="323"/>
      <c r="T89" s="323"/>
      <c r="U89" s="323"/>
      <c r="V89" s="332"/>
      <c r="W89" s="332"/>
      <c r="X89" s="332"/>
      <c r="Y89" s="332"/>
      <c r="Z89" s="332"/>
      <c r="AA89" s="332"/>
      <c r="AB89" s="332"/>
      <c r="AC89" s="332"/>
      <c r="AD89" s="332"/>
      <c r="AE89" s="14"/>
      <c r="AF89" s="14"/>
      <c r="AG89" s="724">
        <v>2019</v>
      </c>
      <c r="AH89" s="294">
        <v>120</v>
      </c>
      <c r="AI89" s="715">
        <v>0.68</v>
      </c>
      <c r="AJ89" s="294" t="s">
        <v>419</v>
      </c>
      <c r="AK89" s="294" t="s">
        <v>420</v>
      </c>
      <c r="AL89" s="294" t="s">
        <v>421</v>
      </c>
      <c r="AM89" s="332"/>
      <c r="AN89" s="456"/>
      <c r="AO89" s="332"/>
      <c r="AP89" s="456"/>
      <c r="AQ89" s="28"/>
      <c r="AR89" s="456"/>
      <c r="AS89" s="28"/>
      <c r="AT89" s="456"/>
      <c r="AU89" s="4"/>
      <c r="AV89" s="4"/>
      <c r="AW89" s="4"/>
      <c r="AX89" s="4"/>
      <c r="AY89" s="4"/>
      <c r="AZ89" s="4"/>
      <c r="BA89" s="4"/>
      <c r="BB89" s="323"/>
      <c r="BC89" s="323"/>
      <c r="BD89" s="323"/>
      <c r="BE89" s="323"/>
      <c r="BF89" s="323"/>
      <c r="BG89" s="323"/>
      <c r="BH89" s="323"/>
      <c r="BI89" s="323"/>
      <c r="BJ89" s="323"/>
      <c r="BK89" s="323"/>
      <c r="BL89" s="323"/>
      <c r="BM89" s="323"/>
      <c r="BN89" s="323"/>
      <c r="BO89" s="323"/>
      <c r="BP89" s="323"/>
      <c r="BQ89" s="323"/>
      <c r="BR89" s="323"/>
      <c r="BS89" s="323"/>
      <c r="BT89" s="323"/>
      <c r="BU89" s="323"/>
      <c r="BV89" s="323"/>
      <c r="BW89" s="323"/>
      <c r="BX89" s="409"/>
      <c r="BY89" s="409"/>
      <c r="BZ89" s="409"/>
      <c r="CA89" s="409"/>
      <c r="CB89" s="409"/>
      <c r="CC89" s="409"/>
      <c r="CD89" s="409"/>
    </row>
    <row r="90" spans="1:82" ht="15.75" customHeight="1">
      <c r="A90" s="322"/>
      <c r="B90" s="322"/>
      <c r="C90" s="728"/>
      <c r="D90" s="717" t="s">
        <v>422</v>
      </c>
      <c r="E90" s="729">
        <v>56</v>
      </c>
      <c r="F90" s="730">
        <v>23</v>
      </c>
      <c r="G90" s="727">
        <f>F90+E90</f>
        <v>79</v>
      </c>
      <c r="H90" s="312"/>
      <c r="I90" s="312"/>
      <c r="J90" s="320"/>
      <c r="K90" s="320"/>
      <c r="L90" s="320"/>
      <c r="M90" s="323"/>
      <c r="N90" s="323"/>
      <c r="O90" s="323"/>
      <c r="P90" s="323"/>
      <c r="Q90" s="323"/>
      <c r="R90" s="323"/>
      <c r="S90" s="323"/>
      <c r="T90" s="323"/>
      <c r="U90" s="323"/>
      <c r="V90" s="332"/>
      <c r="W90" s="332"/>
      <c r="X90" s="332"/>
      <c r="Y90" s="332"/>
      <c r="Z90" s="332"/>
      <c r="AA90" s="332"/>
      <c r="AB90" s="332"/>
      <c r="AC90" s="332"/>
      <c r="AD90" s="332"/>
      <c r="AE90" s="14"/>
      <c r="AF90" s="14"/>
      <c r="AG90" s="724">
        <v>2018</v>
      </c>
      <c r="AH90" s="294">
        <v>135</v>
      </c>
      <c r="AI90" s="715">
        <v>0.63</v>
      </c>
      <c r="AJ90" s="294" t="s">
        <v>423</v>
      </c>
      <c r="AK90" s="7"/>
      <c r="AL90" s="7"/>
      <c r="AM90" s="332"/>
      <c r="AN90" s="456"/>
      <c r="AO90" s="332"/>
      <c r="AP90" s="456"/>
      <c r="AQ90" s="28"/>
      <c r="AR90" s="456"/>
      <c r="AS90" s="28"/>
      <c r="AT90" s="456"/>
      <c r="AU90" s="4"/>
      <c r="AV90" s="4"/>
      <c r="AW90" s="4"/>
      <c r="AX90" s="4"/>
      <c r="AY90" s="4"/>
      <c r="AZ90" s="4"/>
      <c r="BA90" s="4"/>
      <c r="BB90" s="323"/>
      <c r="BC90" s="323"/>
      <c r="BD90" s="323"/>
      <c r="BE90" s="323"/>
      <c r="BF90" s="323"/>
      <c r="BG90" s="323"/>
      <c r="BH90" s="323"/>
      <c r="BI90" s="323"/>
      <c r="BJ90" s="323"/>
      <c r="BK90" s="323"/>
      <c r="BL90" s="323"/>
      <c r="BM90" s="323"/>
      <c r="BN90" s="323"/>
      <c r="BO90" s="323"/>
      <c r="BP90" s="323"/>
      <c r="BQ90" s="323"/>
      <c r="BR90" s="323"/>
      <c r="BS90" s="323"/>
      <c r="BT90" s="323"/>
      <c r="BU90" s="323"/>
      <c r="BV90" s="323"/>
      <c r="BW90" s="323"/>
      <c r="BX90" s="409"/>
      <c r="BY90" s="409"/>
      <c r="BZ90" s="409"/>
      <c r="CA90" s="409"/>
      <c r="CB90" s="409"/>
      <c r="CC90" s="409"/>
      <c r="CD90" s="409"/>
    </row>
    <row r="91" spans="1:82" ht="15.75" customHeight="1">
      <c r="A91" s="322"/>
      <c r="B91" s="322"/>
      <c r="C91" s="722"/>
      <c r="D91" s="7"/>
      <c r="E91" s="721">
        <f>E90+E89</f>
        <v>110</v>
      </c>
      <c r="F91" s="721">
        <f>F89+F90</f>
        <v>31</v>
      </c>
      <c r="G91" s="731">
        <f>G90+G89</f>
        <v>141</v>
      </c>
      <c r="H91" s="312"/>
      <c r="I91" s="312"/>
      <c r="J91" s="320"/>
      <c r="K91" s="320"/>
      <c r="L91" s="320"/>
      <c r="M91" s="323"/>
      <c r="N91" s="323"/>
      <c r="O91" s="323"/>
      <c r="P91" s="323"/>
      <c r="Q91" s="323"/>
      <c r="R91" s="323"/>
      <c r="S91" s="323"/>
      <c r="T91" s="323"/>
      <c r="U91" s="323"/>
      <c r="V91" s="332"/>
      <c r="W91" s="332"/>
      <c r="X91" s="332"/>
      <c r="Y91" s="332"/>
      <c r="Z91" s="332"/>
      <c r="AA91" s="332"/>
      <c r="AB91" s="332"/>
      <c r="AC91" s="332"/>
      <c r="AD91" s="332"/>
      <c r="AE91" s="14"/>
      <c r="AF91" s="14"/>
      <c r="AG91" s="724">
        <v>2017</v>
      </c>
      <c r="AH91" s="294">
        <v>143</v>
      </c>
      <c r="AI91" s="715">
        <v>0.72</v>
      </c>
      <c r="AJ91" s="294" t="s">
        <v>424</v>
      </c>
      <c r="AK91" s="7"/>
      <c r="AL91" s="7"/>
      <c r="AM91" s="332"/>
      <c r="AN91" s="456"/>
      <c r="AO91" s="332"/>
      <c r="AP91" s="456"/>
      <c r="AQ91" s="28"/>
      <c r="AR91" s="456"/>
      <c r="AS91" s="28"/>
      <c r="AT91" s="456"/>
      <c r="AU91" s="4"/>
      <c r="AV91" s="4"/>
      <c r="AW91" s="4"/>
      <c r="AX91" s="4"/>
      <c r="AY91" s="4"/>
      <c r="AZ91" s="4"/>
      <c r="BA91" s="4"/>
      <c r="BB91" s="323"/>
      <c r="BC91" s="323"/>
      <c r="BD91" s="323"/>
      <c r="BE91" s="323"/>
      <c r="BF91" s="323"/>
      <c r="BG91" s="323"/>
      <c r="BH91" s="323"/>
      <c r="BI91" s="323"/>
      <c r="BJ91" s="323"/>
      <c r="BK91" s="323"/>
      <c r="BL91" s="323"/>
      <c r="BM91" s="323"/>
      <c r="BN91" s="323"/>
      <c r="BO91" s="323"/>
      <c r="BP91" s="323"/>
      <c r="BQ91" s="323"/>
      <c r="BR91" s="323"/>
      <c r="BS91" s="323"/>
      <c r="BT91" s="323"/>
      <c r="BU91" s="323"/>
      <c r="BV91" s="323"/>
      <c r="BW91" s="323"/>
      <c r="BX91" s="409"/>
      <c r="BY91" s="409"/>
      <c r="BZ91" s="409"/>
      <c r="CA91" s="409"/>
      <c r="CB91" s="409"/>
      <c r="CC91" s="409"/>
      <c r="CD91" s="409"/>
    </row>
    <row r="92" spans="1:82" ht="15.75" customHeight="1">
      <c r="A92" s="322"/>
      <c r="B92" s="322"/>
      <c r="C92" s="722"/>
      <c r="D92" s="7"/>
      <c r="E92" s="7"/>
      <c r="F92" s="7"/>
      <c r="G92" s="7"/>
      <c r="H92" s="312"/>
      <c r="I92" s="312"/>
      <c r="J92" s="320"/>
      <c r="K92" s="320"/>
      <c r="L92" s="320"/>
      <c r="M92" s="323"/>
      <c r="N92" s="323"/>
      <c r="O92" s="323"/>
      <c r="P92" s="323"/>
      <c r="Q92" s="323"/>
      <c r="R92" s="323"/>
      <c r="S92" s="323"/>
      <c r="T92" s="323"/>
      <c r="U92" s="323"/>
      <c r="V92" s="332"/>
      <c r="W92" s="332"/>
      <c r="X92" s="332"/>
      <c r="Y92" s="332"/>
      <c r="Z92" s="332"/>
      <c r="AA92" s="332"/>
      <c r="AB92" s="332"/>
      <c r="AC92" s="332"/>
      <c r="AD92" s="332"/>
      <c r="AE92" s="14"/>
      <c r="AF92" s="14"/>
      <c r="AG92" s="14"/>
      <c r="AH92" s="14"/>
      <c r="AI92" s="14"/>
      <c r="AJ92" s="456"/>
      <c r="AK92" s="332"/>
      <c r="AL92" s="456"/>
      <c r="AM92" s="332"/>
      <c r="AN92" s="456"/>
      <c r="AO92" s="332"/>
      <c r="AP92" s="456"/>
      <c r="AQ92" s="28"/>
      <c r="AR92" s="456"/>
      <c r="AS92" s="28"/>
      <c r="AT92" s="456"/>
      <c r="AU92" s="4"/>
      <c r="AV92" s="4"/>
      <c r="AW92" s="4"/>
      <c r="AX92" s="4"/>
      <c r="AY92" s="4"/>
      <c r="AZ92" s="4"/>
      <c r="BA92" s="4"/>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BX92" s="409"/>
      <c r="BY92" s="409"/>
      <c r="BZ92" s="409"/>
      <c r="CA92" s="409"/>
      <c r="CB92" s="409"/>
      <c r="CC92" s="409"/>
      <c r="CD92" s="409"/>
    </row>
    <row r="93" spans="1:82" ht="15.75" customHeight="1">
      <c r="A93" s="322"/>
      <c r="B93" s="322"/>
      <c r="C93" s="723" t="s">
        <v>425</v>
      </c>
      <c r="D93" s="7"/>
      <c r="E93" s="706" t="s">
        <v>391</v>
      </c>
      <c r="F93" s="706" t="s">
        <v>392</v>
      </c>
      <c r="G93" s="7"/>
      <c r="H93" s="312"/>
      <c r="I93" s="312"/>
      <c r="J93" s="320"/>
      <c r="K93" s="320"/>
      <c r="L93" s="320"/>
      <c r="M93" s="323"/>
      <c r="N93" s="323"/>
      <c r="O93" s="323"/>
      <c r="P93" s="323"/>
      <c r="Q93" s="323"/>
      <c r="R93" s="323"/>
      <c r="S93" s="323"/>
      <c r="T93" s="323"/>
      <c r="U93" s="323"/>
      <c r="V93" s="332"/>
      <c r="W93" s="332"/>
      <c r="X93" s="332"/>
      <c r="Y93" s="332"/>
      <c r="Z93" s="332"/>
      <c r="AA93" s="332"/>
      <c r="AB93" s="332"/>
      <c r="AC93" s="332"/>
      <c r="AD93" s="332"/>
      <c r="AE93" s="14"/>
      <c r="AF93" s="14"/>
      <c r="AG93" s="14"/>
      <c r="AH93" s="14"/>
      <c r="AI93" s="14"/>
      <c r="AJ93" s="456"/>
      <c r="AK93" s="332"/>
      <c r="AL93" s="456"/>
      <c r="AM93" s="332"/>
      <c r="AN93" s="456"/>
      <c r="AO93" s="332"/>
      <c r="AP93" s="456"/>
      <c r="AQ93" s="28"/>
      <c r="AR93" s="456"/>
      <c r="AS93" s="28"/>
      <c r="AT93" s="456"/>
      <c r="AU93" s="4"/>
      <c r="AV93" s="4"/>
      <c r="AW93" s="4"/>
      <c r="AX93" s="4"/>
      <c r="AY93" s="4"/>
      <c r="AZ93" s="4"/>
      <c r="BA93" s="4"/>
      <c r="BB93" s="323"/>
      <c r="BC93" s="323"/>
      <c r="BD93" s="323"/>
      <c r="BE93" s="323"/>
      <c r="BF93" s="323"/>
      <c r="BG93" s="323"/>
      <c r="BH93" s="323"/>
      <c r="BI93" s="323"/>
      <c r="BJ93" s="323"/>
      <c r="BK93" s="323"/>
      <c r="BL93" s="323"/>
      <c r="BM93" s="323"/>
      <c r="BN93" s="323"/>
      <c r="BO93" s="323"/>
      <c r="BP93" s="323"/>
      <c r="BQ93" s="323"/>
      <c r="BR93" s="323"/>
      <c r="BS93" s="323"/>
      <c r="BT93" s="323"/>
      <c r="BU93" s="323"/>
      <c r="BV93" s="323"/>
      <c r="BW93" s="323"/>
      <c r="BX93" s="409"/>
      <c r="BY93" s="409"/>
      <c r="BZ93" s="409"/>
      <c r="CA93" s="409"/>
      <c r="CB93" s="409"/>
      <c r="CC93" s="409"/>
      <c r="CD93" s="409"/>
    </row>
    <row r="94" spans="1:82" ht="15.75" customHeight="1">
      <c r="A94" s="322"/>
      <c r="B94" s="322"/>
      <c r="C94" s="732"/>
      <c r="D94" s="733" t="s">
        <v>418</v>
      </c>
      <c r="E94" s="734">
        <f>E89/G91</f>
        <v>0.38297872340425532</v>
      </c>
      <c r="F94" s="735">
        <f>F89/G91</f>
        <v>5.6737588652482268E-2</v>
      </c>
      <c r="G94" s="736">
        <f>E94+F94</f>
        <v>0.43971631205673756</v>
      </c>
      <c r="H94" s="312"/>
      <c r="I94" s="312"/>
      <c r="J94" s="320"/>
      <c r="K94" s="320"/>
      <c r="L94" s="320"/>
      <c r="M94" s="323"/>
      <c r="N94" s="323"/>
      <c r="O94" s="323"/>
      <c r="P94" s="323"/>
      <c r="Q94" s="323"/>
      <c r="R94" s="323"/>
      <c r="S94" s="323"/>
      <c r="T94" s="323"/>
      <c r="U94" s="323"/>
      <c r="V94" s="332"/>
      <c r="W94" s="332"/>
      <c r="X94" s="332"/>
      <c r="Y94" s="332"/>
      <c r="Z94" s="332"/>
      <c r="AA94" s="332"/>
      <c r="AB94" s="332"/>
      <c r="AC94" s="332"/>
      <c r="AD94" s="332"/>
      <c r="AE94" s="14"/>
      <c r="AF94" s="14"/>
      <c r="AG94" s="14"/>
      <c r="AH94" s="14"/>
      <c r="AI94" s="14"/>
      <c r="AJ94" s="456"/>
      <c r="AK94" s="332"/>
      <c r="AL94" s="456"/>
      <c r="AM94" s="332"/>
      <c r="AN94" s="456"/>
      <c r="AO94" s="332"/>
      <c r="AP94" s="456"/>
      <c r="AQ94" s="28"/>
      <c r="AR94" s="456"/>
      <c r="AS94" s="28"/>
      <c r="AT94" s="456"/>
      <c r="AU94" s="4"/>
      <c r="AV94" s="4"/>
      <c r="AW94" s="4"/>
      <c r="AX94" s="4"/>
      <c r="AY94" s="4"/>
      <c r="AZ94" s="4"/>
      <c r="BA94" s="4"/>
      <c r="BB94" s="323"/>
      <c r="BC94" s="323"/>
      <c r="BD94" s="323"/>
      <c r="BE94" s="323"/>
      <c r="BF94" s="323"/>
      <c r="BG94" s="323"/>
      <c r="BH94" s="323"/>
      <c r="BI94" s="323"/>
      <c r="BJ94" s="323"/>
      <c r="BK94" s="323"/>
      <c r="BL94" s="323"/>
      <c r="BM94" s="323"/>
      <c r="BN94" s="323"/>
      <c r="BO94" s="323"/>
      <c r="BP94" s="323"/>
      <c r="BQ94" s="323"/>
      <c r="BR94" s="323"/>
      <c r="BS94" s="323"/>
      <c r="BT94" s="323"/>
      <c r="BU94" s="323"/>
      <c r="BV94" s="323"/>
      <c r="BW94" s="323"/>
      <c r="BX94" s="409"/>
      <c r="BY94" s="409"/>
      <c r="BZ94" s="409"/>
      <c r="CA94" s="409"/>
      <c r="CB94" s="409"/>
      <c r="CC94" s="409"/>
      <c r="CD94" s="409"/>
    </row>
    <row r="95" spans="1:82" ht="15.75" customHeight="1">
      <c r="A95" s="322"/>
      <c r="B95" s="322"/>
      <c r="C95" s="732"/>
      <c r="D95" s="717" t="s">
        <v>422</v>
      </c>
      <c r="E95" s="737">
        <f>E90/G91</f>
        <v>0.3971631205673759</v>
      </c>
      <c r="F95" s="738">
        <f>F90/G91</f>
        <v>0.16312056737588654</v>
      </c>
      <c r="G95" s="736">
        <f>F95+E95</f>
        <v>0.56028368794326244</v>
      </c>
      <c r="H95" s="312"/>
      <c r="I95" s="312"/>
      <c r="J95" s="320"/>
      <c r="K95" s="320"/>
      <c r="L95" s="320"/>
      <c r="M95" s="323"/>
      <c r="N95" s="323"/>
      <c r="O95" s="323"/>
      <c r="P95" s="323"/>
      <c r="Q95" s="323"/>
      <c r="R95" s="323"/>
      <c r="S95" s="323"/>
      <c r="T95" s="323"/>
      <c r="U95" s="323"/>
      <c r="V95" s="332"/>
      <c r="W95" s="332"/>
      <c r="X95" s="332"/>
      <c r="Y95" s="332"/>
      <c r="Z95" s="332"/>
      <c r="AA95" s="332"/>
      <c r="AB95" s="332"/>
      <c r="AC95" s="332"/>
      <c r="AD95" s="332"/>
      <c r="AE95" s="14"/>
      <c r="AF95" s="14"/>
      <c r="AG95" s="14"/>
      <c r="AH95" s="14"/>
      <c r="AI95" s="14"/>
      <c r="AJ95" s="456"/>
      <c r="AK95" s="332"/>
      <c r="AL95" s="456"/>
      <c r="AM95" s="332"/>
      <c r="AN95" s="456"/>
      <c r="AO95" s="332"/>
      <c r="AP95" s="456"/>
      <c r="AQ95" s="28"/>
      <c r="AR95" s="456"/>
      <c r="AS95" s="28"/>
      <c r="AT95" s="456"/>
      <c r="AU95" s="4"/>
      <c r="AV95" s="4"/>
      <c r="AW95" s="4"/>
      <c r="AX95" s="4"/>
      <c r="AY95" s="4"/>
      <c r="AZ95" s="4"/>
      <c r="BA95" s="4"/>
      <c r="BB95" s="323"/>
      <c r="BC95" s="323"/>
      <c r="BD95" s="323"/>
      <c r="BE95" s="323"/>
      <c r="BF95" s="323"/>
      <c r="BG95" s="323"/>
      <c r="BH95" s="323"/>
      <c r="BI95" s="323"/>
      <c r="BJ95" s="323"/>
      <c r="BK95" s="323"/>
      <c r="BL95" s="323"/>
      <c r="BM95" s="323"/>
      <c r="BN95" s="323"/>
      <c r="BO95" s="323"/>
      <c r="BP95" s="323"/>
      <c r="BQ95" s="323"/>
      <c r="BR95" s="323"/>
      <c r="BS95" s="323"/>
      <c r="BT95" s="323"/>
      <c r="BU95" s="323"/>
      <c r="BV95" s="323"/>
      <c r="BW95" s="323"/>
      <c r="BX95" s="409"/>
      <c r="BY95" s="409"/>
      <c r="BZ95" s="409"/>
      <c r="CA95" s="409"/>
      <c r="CB95" s="409"/>
      <c r="CC95" s="409"/>
      <c r="CD95" s="409"/>
    </row>
    <row r="96" spans="1:82" ht="15.75" customHeight="1">
      <c r="A96" s="322"/>
      <c r="B96" s="322"/>
      <c r="C96" s="739"/>
      <c r="D96" s="739"/>
      <c r="E96" s="740">
        <f>E95+E94</f>
        <v>0.78014184397163122</v>
      </c>
      <c r="F96" s="740">
        <f>F94+F95</f>
        <v>0.21985815602836881</v>
      </c>
      <c r="G96" s="739"/>
      <c r="H96" s="312"/>
      <c r="I96" s="312"/>
      <c r="J96" s="320"/>
      <c r="K96" s="320"/>
      <c r="L96" s="320"/>
      <c r="M96" s="323"/>
      <c r="N96" s="323"/>
      <c r="O96" s="323"/>
      <c r="P96" s="323"/>
      <c r="Q96" s="323"/>
      <c r="R96" s="323"/>
      <c r="S96" s="323"/>
      <c r="T96" s="323"/>
      <c r="U96" s="323"/>
      <c r="V96" s="332"/>
      <c r="W96" s="332"/>
      <c r="X96" s="332"/>
      <c r="Y96" s="332"/>
      <c r="Z96" s="332"/>
      <c r="AA96" s="332"/>
      <c r="AB96" s="332"/>
      <c r="AC96" s="332"/>
      <c r="AD96" s="332"/>
      <c r="AE96" s="14"/>
      <c r="AF96" s="14"/>
      <c r="AG96" s="14"/>
      <c r="AH96" s="14"/>
      <c r="AI96" s="14"/>
      <c r="AJ96" s="456"/>
      <c r="AK96" s="332"/>
      <c r="AL96" s="456"/>
      <c r="AM96" s="332"/>
      <c r="AN96" s="456"/>
      <c r="AO96" s="332"/>
      <c r="AP96" s="456"/>
      <c r="AQ96" s="28"/>
      <c r="AR96" s="456"/>
      <c r="AS96" s="28"/>
      <c r="AT96" s="456"/>
      <c r="AU96" s="4"/>
      <c r="AV96" s="4"/>
      <c r="AW96" s="4"/>
      <c r="AX96" s="4"/>
      <c r="AY96" s="4"/>
      <c r="AZ96" s="4"/>
      <c r="BA96" s="4"/>
      <c r="BB96" s="323"/>
      <c r="BC96" s="323"/>
      <c r="BD96" s="323"/>
      <c r="BE96" s="323"/>
      <c r="BF96" s="323"/>
      <c r="BG96" s="323"/>
      <c r="BH96" s="323"/>
      <c r="BI96" s="323"/>
      <c r="BJ96" s="323"/>
      <c r="BK96" s="323"/>
      <c r="BL96" s="323"/>
      <c r="BM96" s="323"/>
      <c r="BN96" s="323"/>
      <c r="BO96" s="323"/>
      <c r="BP96" s="323"/>
      <c r="BQ96" s="323"/>
      <c r="BR96" s="323"/>
      <c r="BS96" s="323"/>
      <c r="BT96" s="323"/>
      <c r="BU96" s="323"/>
      <c r="BV96" s="323"/>
      <c r="BW96" s="323"/>
      <c r="BX96" s="409"/>
      <c r="BY96" s="409"/>
      <c r="BZ96" s="409"/>
      <c r="CA96" s="409"/>
      <c r="CB96" s="409"/>
      <c r="CC96" s="409"/>
      <c r="CD96" s="409"/>
    </row>
    <row r="97" spans="1:82" ht="15.75" customHeight="1">
      <c r="A97" s="322"/>
      <c r="B97" s="322"/>
      <c r="C97" s="341"/>
      <c r="D97" s="341"/>
      <c r="E97" s="341"/>
      <c r="F97" s="341"/>
      <c r="G97" s="341"/>
      <c r="H97" s="312"/>
      <c r="I97" s="312"/>
      <c r="J97" s="320"/>
      <c r="K97" s="320"/>
      <c r="L97" s="320"/>
      <c r="M97" s="323"/>
      <c r="N97" s="323"/>
      <c r="O97" s="323"/>
      <c r="P97" s="323"/>
      <c r="Q97" s="323"/>
      <c r="R97" s="323"/>
      <c r="S97" s="323"/>
      <c r="T97" s="323"/>
      <c r="U97" s="323"/>
      <c r="V97" s="332"/>
      <c r="W97" s="332"/>
      <c r="X97" s="332"/>
      <c r="Y97" s="332"/>
      <c r="Z97" s="332"/>
      <c r="AA97" s="332"/>
      <c r="AB97" s="332"/>
      <c r="AC97" s="332"/>
      <c r="AD97" s="332"/>
      <c r="AE97" s="14"/>
      <c r="AF97" s="14"/>
      <c r="AG97" s="14"/>
      <c r="AH97" s="14"/>
      <c r="AI97" s="14"/>
      <c r="AJ97" s="456"/>
      <c r="AK97" s="332"/>
      <c r="AL97" s="456"/>
      <c r="AM97" s="332"/>
      <c r="AN97" s="456"/>
      <c r="AO97" s="332"/>
      <c r="AP97" s="456"/>
      <c r="AQ97" s="28"/>
      <c r="AR97" s="456"/>
      <c r="AS97" s="28"/>
      <c r="AT97" s="456"/>
      <c r="AU97" s="4"/>
      <c r="AV97" s="4"/>
      <c r="AW97" s="4"/>
      <c r="AX97" s="4"/>
      <c r="AY97" s="4"/>
      <c r="AZ97" s="4"/>
      <c r="BA97" s="4"/>
      <c r="BB97" s="323"/>
      <c r="BC97" s="323"/>
      <c r="BD97" s="323"/>
      <c r="BE97" s="323"/>
      <c r="BF97" s="323"/>
      <c r="BG97" s="323"/>
      <c r="BH97" s="323"/>
      <c r="BI97" s="323"/>
      <c r="BJ97" s="323"/>
      <c r="BK97" s="323"/>
      <c r="BL97" s="323"/>
      <c r="BM97" s="323"/>
      <c r="BN97" s="323"/>
      <c r="BO97" s="323"/>
      <c r="BP97" s="323"/>
      <c r="BQ97" s="323"/>
      <c r="BR97" s="323"/>
      <c r="BS97" s="323"/>
      <c r="BT97" s="323"/>
      <c r="BU97" s="323"/>
      <c r="BV97" s="323"/>
      <c r="BW97" s="323"/>
      <c r="BX97" s="409"/>
      <c r="BY97" s="409"/>
      <c r="BZ97" s="409"/>
      <c r="CA97" s="409"/>
      <c r="CB97" s="409"/>
      <c r="CC97" s="409"/>
      <c r="CD97" s="409"/>
    </row>
    <row r="98" spans="1:82" ht="15.75" customHeight="1">
      <c r="A98" s="3"/>
      <c r="B98" s="341"/>
      <c r="C98" s="341"/>
      <c r="D98" s="341"/>
      <c r="E98" s="341"/>
      <c r="F98" s="341"/>
      <c r="G98" s="341"/>
      <c r="H98" s="14"/>
      <c r="I98" s="323"/>
      <c r="J98" s="14"/>
      <c r="K98" s="14"/>
      <c r="L98" s="14"/>
      <c r="M98" s="14"/>
      <c r="N98" s="14"/>
      <c r="O98" s="14"/>
      <c r="P98" s="14"/>
      <c r="Q98" s="14"/>
      <c r="R98" s="14"/>
      <c r="S98" s="14"/>
      <c r="T98" s="14"/>
      <c r="U98" s="14"/>
      <c r="V98" s="14"/>
      <c r="W98" s="14"/>
      <c r="X98" s="14"/>
      <c r="Y98" s="14"/>
      <c r="Z98" s="14"/>
      <c r="AA98" s="14"/>
      <c r="AB98" s="14"/>
      <c r="AC98" s="14"/>
      <c r="AD98" s="14"/>
      <c r="AE98" s="14"/>
      <c r="AF98" s="4"/>
      <c r="AG98" s="4"/>
      <c r="AH98" s="14"/>
      <c r="AI98" s="14"/>
      <c r="AJ98" s="332"/>
      <c r="AK98" s="332"/>
      <c r="AL98" s="332"/>
      <c r="AM98" s="332"/>
      <c r="AN98" s="332"/>
      <c r="AO98" s="332"/>
      <c r="AP98" s="332"/>
      <c r="AQ98" s="28"/>
      <c r="AR98" s="332"/>
      <c r="AS98" s="28"/>
      <c r="AT98" s="28"/>
      <c r="AU98" s="28"/>
      <c r="AV98" s="28"/>
      <c r="AW98" s="28"/>
      <c r="AX98" s="28"/>
      <c r="AY98" s="28"/>
      <c r="AZ98" s="28"/>
      <c r="BA98" s="4"/>
      <c r="BB98" s="4"/>
      <c r="BC98" s="4"/>
      <c r="BD98" s="4"/>
      <c r="BE98" s="4"/>
      <c r="BF98" s="4"/>
      <c r="BG98" s="4"/>
      <c r="BH98" s="4"/>
      <c r="BI98" s="4"/>
      <c r="BJ98" s="4"/>
      <c r="BK98" s="4"/>
      <c r="BL98" s="4"/>
      <c r="BM98" s="4"/>
      <c r="BN98" s="4"/>
      <c r="BO98" s="4"/>
      <c r="BP98" s="4"/>
      <c r="BQ98" s="4"/>
      <c r="BR98" s="4"/>
      <c r="BS98" s="4"/>
      <c r="BT98" s="4"/>
      <c r="BU98" s="4"/>
      <c r="BV98" s="4"/>
      <c r="BW98" s="4"/>
      <c r="BX98" s="24"/>
      <c r="BY98" s="24"/>
      <c r="BZ98" s="24"/>
      <c r="CA98" s="24"/>
      <c r="CB98" s="24"/>
      <c r="CC98" s="24"/>
      <c r="CD98" s="24"/>
    </row>
    <row r="99" spans="1:82" ht="15.75" customHeight="1">
      <c r="A99" s="3"/>
      <c r="B99" s="366" t="s">
        <v>253</v>
      </c>
      <c r="C99" s="367"/>
      <c r="D99" s="367"/>
      <c r="E99" s="367"/>
      <c r="F99" s="367"/>
      <c r="G99" s="367"/>
      <c r="H99" s="339"/>
      <c r="I99" s="369"/>
      <c r="J99" s="339"/>
      <c r="K99" s="339"/>
      <c r="L99" s="339"/>
      <c r="M99" s="339"/>
      <c r="N99" s="339"/>
      <c r="O99" s="339"/>
      <c r="P99" s="339"/>
      <c r="Q99" s="339"/>
      <c r="R99" s="339"/>
      <c r="S99" s="339"/>
      <c r="T99" s="339"/>
      <c r="U99" s="339"/>
      <c r="V99" s="339"/>
      <c r="W99" s="339"/>
      <c r="X99" s="14"/>
      <c r="Y99" s="14"/>
      <c r="Z99" s="14"/>
      <c r="AA99" s="14"/>
      <c r="AB99" s="14"/>
      <c r="AC99" s="14"/>
      <c r="AD99" s="14"/>
      <c r="AE99" s="14"/>
      <c r="AF99" s="4"/>
      <c r="AG99" s="4"/>
      <c r="AH99" s="14"/>
      <c r="AI99" s="14"/>
      <c r="AJ99" s="332"/>
      <c r="AK99" s="332"/>
      <c r="AL99" s="332"/>
      <c r="AM99" s="332"/>
      <c r="AN99" s="332"/>
      <c r="AO99" s="332"/>
      <c r="AP99" s="332"/>
      <c r="AQ99" s="28"/>
      <c r="AR99" s="332"/>
      <c r="AS99" s="28"/>
      <c r="AT99" s="28"/>
      <c r="AU99" s="28"/>
      <c r="AV99" s="28"/>
      <c r="AW99" s="28"/>
      <c r="AX99" s="28"/>
      <c r="AY99" s="28"/>
      <c r="AZ99" s="28"/>
      <c r="BA99" s="4"/>
      <c r="BB99" s="4"/>
      <c r="BC99" s="4"/>
      <c r="BD99" s="4"/>
      <c r="BE99" s="4"/>
      <c r="BF99" s="4"/>
      <c r="BG99" s="4"/>
      <c r="BH99" s="4"/>
      <c r="BI99" s="4"/>
      <c r="BJ99" s="4"/>
      <c r="BK99" s="4"/>
      <c r="BL99" s="4"/>
      <c r="BM99" s="4"/>
      <c r="BN99" s="4"/>
      <c r="BO99" s="4"/>
      <c r="BP99" s="4"/>
      <c r="BQ99" s="4"/>
      <c r="BR99" s="4"/>
      <c r="BS99" s="4"/>
      <c r="BT99" s="4"/>
      <c r="BU99" s="4"/>
      <c r="BV99" s="4"/>
      <c r="BW99" s="4"/>
      <c r="BX99" s="24"/>
      <c r="BY99" s="24"/>
      <c r="BZ99" s="24"/>
      <c r="CA99" s="24"/>
      <c r="CB99" s="24"/>
      <c r="CC99" s="24"/>
      <c r="CD99" s="24"/>
    </row>
    <row r="100" spans="1:82" ht="15.75" customHeight="1">
      <c r="A100" s="244"/>
      <c r="B100" s="244"/>
      <c r="C100" s="864" t="s">
        <v>45</v>
      </c>
      <c r="D100" s="862"/>
      <c r="E100" s="862"/>
      <c r="F100" s="862"/>
      <c r="G100" s="863"/>
      <c r="H100" s="865" t="s">
        <v>255</v>
      </c>
      <c r="I100" s="866"/>
      <c r="J100" s="866"/>
      <c r="K100" s="866"/>
      <c r="L100" s="866"/>
      <c r="M100" s="866"/>
      <c r="N100" s="866"/>
      <c r="O100" s="866"/>
      <c r="P100" s="866"/>
      <c r="Q100" s="866"/>
      <c r="R100" s="866"/>
      <c r="S100" s="866"/>
      <c r="T100" s="866"/>
      <c r="U100" s="866"/>
      <c r="V100" s="866"/>
      <c r="W100" s="867"/>
      <c r="X100" s="14"/>
      <c r="Y100" s="14"/>
      <c r="Z100" s="14"/>
      <c r="AA100" s="14"/>
      <c r="AB100" s="14"/>
      <c r="AC100" s="14"/>
      <c r="AD100" s="14"/>
      <c r="AE100" s="4"/>
      <c r="AF100" s="4"/>
      <c r="AG100" s="4"/>
      <c r="AH100" s="14"/>
      <c r="AI100" s="14"/>
      <c r="AJ100" s="332"/>
      <c r="AK100" s="332"/>
      <c r="AL100" s="332"/>
      <c r="AM100" s="332"/>
      <c r="AN100" s="332"/>
      <c r="AO100" s="332"/>
      <c r="AP100" s="332"/>
      <c r="AQ100" s="28"/>
      <c r="AR100" s="332"/>
      <c r="AS100" s="28"/>
      <c r="AT100" s="28"/>
      <c r="AU100" s="28"/>
      <c r="AV100" s="28"/>
      <c r="AW100" s="28"/>
      <c r="AX100" s="28"/>
      <c r="AY100" s="28"/>
      <c r="AZ100" s="28"/>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24"/>
      <c r="BY100" s="24"/>
      <c r="BZ100" s="24"/>
      <c r="CA100" s="24"/>
      <c r="CB100" s="24"/>
      <c r="CC100" s="24"/>
      <c r="CD100" s="24"/>
    </row>
    <row r="101" spans="1:82" ht="48">
      <c r="A101" s="36"/>
      <c r="B101" s="37" t="s">
        <v>0</v>
      </c>
      <c r="C101" s="38" t="s">
        <v>1</v>
      </c>
      <c r="D101" s="37" t="s">
        <v>50</v>
      </c>
      <c r="E101" s="37" t="s">
        <v>2</v>
      </c>
      <c r="F101" s="37" t="s">
        <v>51</v>
      </c>
      <c r="G101" s="37" t="s">
        <v>52</v>
      </c>
      <c r="H101" s="373" t="s">
        <v>258</v>
      </c>
      <c r="I101" s="39" t="s">
        <v>55</v>
      </c>
      <c r="J101" s="39" t="s">
        <v>56</v>
      </c>
      <c r="K101" s="39" t="s">
        <v>57</v>
      </c>
      <c r="L101" s="39" t="s">
        <v>334</v>
      </c>
      <c r="M101" s="374" t="s">
        <v>259</v>
      </c>
      <c r="N101" s="39" t="s">
        <v>59</v>
      </c>
      <c r="O101" s="39" t="s">
        <v>60</v>
      </c>
      <c r="P101" s="39" t="s">
        <v>61</v>
      </c>
      <c r="Q101" s="39" t="s">
        <v>426</v>
      </c>
      <c r="R101" s="39" t="s">
        <v>427</v>
      </c>
      <c r="S101" s="39" t="s">
        <v>428</v>
      </c>
      <c r="T101" s="375" t="s">
        <v>429</v>
      </c>
      <c r="U101" s="375" t="s">
        <v>260</v>
      </c>
      <c r="V101" s="741"/>
      <c r="W101" s="741"/>
      <c r="X101" s="742"/>
      <c r="Y101" s="14"/>
      <c r="Z101" s="14"/>
      <c r="AA101" s="14"/>
      <c r="AB101" s="14"/>
      <c r="AC101" s="14"/>
      <c r="AD101" s="1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36"/>
      <c r="BB101" s="36"/>
      <c r="BC101" s="36"/>
      <c r="BD101" s="36"/>
      <c r="BE101" s="36"/>
      <c r="BF101" s="36"/>
      <c r="BG101" s="36"/>
      <c r="BH101" s="36"/>
      <c r="BI101" s="36"/>
      <c r="BJ101" s="36"/>
      <c r="BK101" s="36"/>
      <c r="BL101" s="36"/>
      <c r="BM101" s="36"/>
      <c r="BN101" s="36"/>
    </row>
    <row r="102" spans="1:82" ht="15.75" customHeight="1">
      <c r="A102" s="294">
        <f>A100+1</f>
        <v>1</v>
      </c>
      <c r="B102" s="28" t="s">
        <v>430</v>
      </c>
      <c r="C102" s="510" t="str">
        <f ca="1">IFERROR(__xludf.DUMMYFUNCTION("GoogleFinance(B102,""name"")"),"Nauticus Robotics Inc")</f>
        <v>Nauticus Robotics Inc</v>
      </c>
      <c r="D102" s="511">
        <f ca="1">IFERROR(__xludf.DUMMYFUNCTION("GoogleFinance(B102,""marketcap"")/1000000"),14.887591)</f>
        <v>14.887591</v>
      </c>
      <c r="E102" s="743" t="s">
        <v>11</v>
      </c>
      <c r="F102" s="743" t="s">
        <v>28</v>
      </c>
      <c r="G102" s="744">
        <v>45660</v>
      </c>
      <c r="H102" s="745">
        <v>3.18</v>
      </c>
      <c r="I102" s="746">
        <v>1.87</v>
      </c>
      <c r="J102" s="747">
        <f>1500/I102</f>
        <v>802.13903743315507</v>
      </c>
      <c r="K102" s="748">
        <f t="shared" ref="K102:K119" si="9">J102*I102</f>
        <v>1500</v>
      </c>
      <c r="L102" s="748"/>
      <c r="M102" s="748">
        <f t="shared" ref="M102:M170" si="10">J102*H102</f>
        <v>2550.8021390374333</v>
      </c>
      <c r="N102" s="749">
        <f t="shared" ref="N102:N211" si="11">M102-K102</f>
        <v>1050.8021390374333</v>
      </c>
      <c r="O102" s="750">
        <f t="shared" ref="O102:O211" si="12">N102/K102</f>
        <v>0.70053475935828891</v>
      </c>
      <c r="P102" s="751">
        <f t="shared" ref="P102:P191" si="13">T102-G102</f>
        <v>0</v>
      </c>
      <c r="Q102" s="749">
        <f t="shared" ref="Q102:R102" si="14">N102</f>
        <v>1050.8021390374333</v>
      </c>
      <c r="R102" s="750">
        <f t="shared" si="14"/>
        <v>0.70053475935828891</v>
      </c>
      <c r="S102" s="752" t="s">
        <v>431</v>
      </c>
      <c r="T102" s="744">
        <v>45660</v>
      </c>
      <c r="U102" s="29" t="s">
        <v>281</v>
      </c>
      <c r="V102" s="29"/>
      <c r="W102" s="29"/>
      <c r="X102" s="29"/>
      <c r="Y102" s="14"/>
      <c r="Z102" s="14"/>
      <c r="AA102" s="14"/>
      <c r="AB102" s="14"/>
      <c r="AC102" s="14"/>
      <c r="AD102" s="29"/>
      <c r="AE102" s="29"/>
      <c r="AF102" s="29"/>
      <c r="AG102" s="29"/>
      <c r="AH102" s="25"/>
      <c r="AI102" s="25"/>
      <c r="AJ102" s="456"/>
      <c r="AK102" s="456"/>
      <c r="AL102" s="456"/>
      <c r="AM102" s="456"/>
      <c r="AN102" s="456"/>
      <c r="AO102" s="456"/>
      <c r="AP102" s="456"/>
      <c r="AQ102" s="311"/>
      <c r="AR102" s="456"/>
      <c r="AS102" s="311"/>
      <c r="AT102" s="311"/>
      <c r="AU102" s="311"/>
      <c r="AV102" s="311"/>
      <c r="AW102" s="311"/>
      <c r="AX102" s="311"/>
      <c r="AY102" s="311"/>
      <c r="AZ102" s="311"/>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row>
    <row r="103" spans="1:82" ht="15.75" customHeight="1">
      <c r="A103" s="294">
        <f t="shared" ref="A103:A211" si="15">A102+1</f>
        <v>2</v>
      </c>
      <c r="B103" s="28" t="s">
        <v>430</v>
      </c>
      <c r="C103" s="510" t="str">
        <f ca="1">IFERROR(__xludf.DUMMYFUNCTION("GoogleFinance(B103,""name"")"),"Nauticus Robotics Inc")</f>
        <v>Nauticus Robotics Inc</v>
      </c>
      <c r="D103" s="511">
        <f ca="1">IFERROR(__xludf.DUMMYFUNCTION("GoogleFinance(B103,""marketcap"")/1000000"),14.887591)</f>
        <v>14.887591</v>
      </c>
      <c r="E103" s="743" t="s">
        <v>11</v>
      </c>
      <c r="F103" s="743" t="s">
        <v>28</v>
      </c>
      <c r="G103" s="744">
        <v>45660</v>
      </c>
      <c r="H103" s="745">
        <v>5</v>
      </c>
      <c r="I103" s="746">
        <v>1.87</v>
      </c>
      <c r="J103" s="747">
        <f>1000/I103</f>
        <v>534.75935828877004</v>
      </c>
      <c r="K103" s="748">
        <f t="shared" si="9"/>
        <v>1000</v>
      </c>
      <c r="L103" s="748"/>
      <c r="M103" s="748">
        <f t="shared" si="10"/>
        <v>2673.7967914438505</v>
      </c>
      <c r="N103" s="749">
        <f t="shared" si="11"/>
        <v>1673.7967914438505</v>
      </c>
      <c r="O103" s="750">
        <f t="shared" si="12"/>
        <v>1.6737967914438505</v>
      </c>
      <c r="P103" s="751">
        <f t="shared" si="13"/>
        <v>0</v>
      </c>
      <c r="Q103" s="749">
        <f t="shared" ref="Q103:R103" si="16">N103</f>
        <v>1673.7967914438505</v>
      </c>
      <c r="R103" s="750">
        <f t="shared" si="16"/>
        <v>1.6737967914438505</v>
      </c>
      <c r="S103" s="752" t="s">
        <v>431</v>
      </c>
      <c r="T103" s="744">
        <v>45660</v>
      </c>
      <c r="U103" s="29" t="s">
        <v>281</v>
      </c>
      <c r="V103" s="29"/>
      <c r="W103" s="25"/>
      <c r="X103" s="25"/>
      <c r="Y103" s="14"/>
      <c r="Z103" s="14"/>
      <c r="AA103" s="14"/>
      <c r="AB103" s="14"/>
      <c r="AC103" s="14"/>
      <c r="AD103" s="25"/>
      <c r="AE103" s="25"/>
      <c r="AF103" s="24"/>
      <c r="AG103" s="24"/>
      <c r="AH103" s="25"/>
      <c r="AI103" s="25"/>
      <c r="AJ103" s="456"/>
      <c r="AK103" s="456"/>
      <c r="AL103" s="456"/>
      <c r="AM103" s="456"/>
      <c r="AN103" s="456"/>
      <c r="AO103" s="456"/>
      <c r="AP103" s="456"/>
      <c r="AQ103" s="311"/>
      <c r="AR103" s="456"/>
      <c r="AS103" s="311"/>
      <c r="AT103" s="311"/>
      <c r="AU103" s="311"/>
      <c r="AV103" s="311"/>
      <c r="AW103" s="311"/>
      <c r="AX103" s="311"/>
      <c r="AY103" s="311"/>
      <c r="AZ103" s="311"/>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row>
    <row r="104" spans="1:82" ht="15.75" customHeight="1">
      <c r="A104" s="294">
        <f t="shared" si="15"/>
        <v>3</v>
      </c>
      <c r="B104" s="753" t="s">
        <v>432</v>
      </c>
      <c r="C104" s="754" t="str">
        <f ca="1">IFERROR(__xludf.DUMMYFUNCTION("GoogleFinance(B104,""name"")"),"IONQ Inc")</f>
        <v>IONQ Inc</v>
      </c>
      <c r="D104" s="755">
        <f ca="1">IFERROR(__xludf.DUMMYFUNCTION("GoogleFinance(B104,""marketcap"")/1000000"),21735.106365)</f>
        <v>21735.106365</v>
      </c>
      <c r="E104" s="756" t="s">
        <v>7</v>
      </c>
      <c r="F104" s="756" t="s">
        <v>433</v>
      </c>
      <c r="G104" s="757">
        <v>45519</v>
      </c>
      <c r="H104" s="758">
        <v>49.8</v>
      </c>
      <c r="I104" s="759">
        <v>7.51</v>
      </c>
      <c r="J104" s="760">
        <f>700/I104</f>
        <v>93.209054593874839</v>
      </c>
      <c r="K104" s="761">
        <f t="shared" si="9"/>
        <v>700</v>
      </c>
      <c r="L104" s="761">
        <v>3893.3422103861521</v>
      </c>
      <c r="M104" s="761">
        <f t="shared" si="10"/>
        <v>4641.8109187749669</v>
      </c>
      <c r="N104" s="761">
        <f t="shared" si="11"/>
        <v>3941.8109187749669</v>
      </c>
      <c r="O104" s="762">
        <f t="shared" si="12"/>
        <v>5.6311584553928098</v>
      </c>
      <c r="P104" s="751">
        <f t="shared" si="13"/>
        <v>144</v>
      </c>
      <c r="Q104" s="761">
        <f t="shared" ref="Q104:Q170" si="17">M104-L104</f>
        <v>748.46870838881478</v>
      </c>
      <c r="R104" s="762">
        <f t="shared" ref="R104:R211" si="18">Q104/L104</f>
        <v>0.19224323677280339</v>
      </c>
      <c r="S104" s="752" t="s">
        <v>431</v>
      </c>
      <c r="T104" s="744">
        <v>45663</v>
      </c>
      <c r="U104" s="29" t="s">
        <v>281</v>
      </c>
      <c r="V104" s="25"/>
      <c r="W104" s="25"/>
      <c r="X104" s="25"/>
      <c r="Y104" s="14"/>
      <c r="Z104" s="14"/>
      <c r="AA104" s="14"/>
      <c r="AB104" s="14"/>
      <c r="AC104" s="14"/>
      <c r="AD104" s="25"/>
      <c r="AE104" s="25"/>
      <c r="AF104" s="24"/>
      <c r="AG104" s="24"/>
      <c r="AH104" s="25"/>
      <c r="AI104" s="25"/>
      <c r="AJ104" s="456"/>
      <c r="AK104" s="456"/>
      <c r="AL104" s="456"/>
      <c r="AM104" s="456"/>
      <c r="AN104" s="456"/>
      <c r="AO104" s="456"/>
      <c r="AP104" s="456"/>
      <c r="AQ104" s="311"/>
      <c r="AR104" s="456"/>
      <c r="AS104" s="311"/>
      <c r="AT104" s="311"/>
      <c r="AU104" s="311"/>
      <c r="AV104" s="311"/>
      <c r="AW104" s="311"/>
      <c r="AX104" s="311"/>
      <c r="AY104" s="311"/>
      <c r="AZ104" s="311"/>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row>
    <row r="105" spans="1:82" ht="15.75" customHeight="1">
      <c r="A105" s="294">
        <f t="shared" si="15"/>
        <v>4</v>
      </c>
      <c r="B105" s="753" t="s">
        <v>434</v>
      </c>
      <c r="C105" s="754" t="str">
        <f ca="1">IFERROR(__xludf.DUMMYFUNCTION("GoogleFinance(B105,""name"")"),"Rigetti Computing Inc")</f>
        <v>Rigetti Computing Inc</v>
      </c>
      <c r="D105" s="755">
        <f ca="1">IFERROR(__xludf.DUMMYFUNCTION("GoogleFinance(B105,""marketcap"")/1000000"),10107.47)</f>
        <v>10107.469999999999</v>
      </c>
      <c r="E105" s="756" t="s">
        <v>7</v>
      </c>
      <c r="F105" s="756" t="s">
        <v>433</v>
      </c>
      <c r="G105" s="757">
        <v>45603</v>
      </c>
      <c r="H105" s="758">
        <v>19.55</v>
      </c>
      <c r="I105" s="759">
        <v>1.4</v>
      </c>
      <c r="J105" s="760">
        <f>200/I105</f>
        <v>142.85714285714286</v>
      </c>
      <c r="K105" s="761">
        <f t="shared" si="9"/>
        <v>200</v>
      </c>
      <c r="L105" s="761">
        <v>2180</v>
      </c>
      <c r="M105" s="761">
        <f t="shared" si="10"/>
        <v>2792.8571428571431</v>
      </c>
      <c r="N105" s="761">
        <f t="shared" si="11"/>
        <v>2592.8571428571431</v>
      </c>
      <c r="O105" s="762">
        <f t="shared" si="12"/>
        <v>12.964285714285715</v>
      </c>
      <c r="P105" s="751">
        <f t="shared" si="13"/>
        <v>60</v>
      </c>
      <c r="Q105" s="761">
        <f t="shared" si="17"/>
        <v>612.85714285714312</v>
      </c>
      <c r="R105" s="762">
        <f t="shared" si="18"/>
        <v>0.28112712975098308</v>
      </c>
      <c r="S105" s="752" t="s">
        <v>431</v>
      </c>
      <c r="T105" s="744">
        <v>45663</v>
      </c>
      <c r="U105" s="29" t="s">
        <v>281</v>
      </c>
      <c r="V105" s="25"/>
      <c r="W105" s="25"/>
      <c r="X105" s="25"/>
      <c r="Y105" s="14"/>
      <c r="Z105" s="14"/>
      <c r="AA105" s="14"/>
      <c r="AB105" s="14"/>
      <c r="AC105" s="14"/>
      <c r="AD105" s="25"/>
      <c r="AE105" s="25"/>
      <c r="AF105" s="24"/>
      <c r="AG105" s="24"/>
      <c r="AH105" s="25"/>
      <c r="AI105" s="25"/>
      <c r="AJ105" s="456"/>
      <c r="AK105" s="456"/>
      <c r="AL105" s="456"/>
      <c r="AM105" s="456"/>
      <c r="AN105" s="456"/>
      <c r="AO105" s="456"/>
      <c r="AP105" s="456"/>
      <c r="AQ105" s="311"/>
      <c r="AR105" s="456"/>
      <c r="AS105" s="311"/>
      <c r="AT105" s="311"/>
      <c r="AU105" s="311"/>
      <c r="AV105" s="311"/>
      <c r="AW105" s="311"/>
      <c r="AX105" s="311"/>
      <c r="AY105" s="311"/>
      <c r="AZ105" s="311"/>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row>
    <row r="106" spans="1:82" ht="15.75" customHeight="1">
      <c r="A106" s="294">
        <f t="shared" si="15"/>
        <v>5</v>
      </c>
      <c r="B106" s="753" t="s">
        <v>435</v>
      </c>
      <c r="C106" s="754" t="str">
        <f ca="1">IFERROR(__xludf.DUMMYFUNCTION("GoogleFinance(B106,""name"")"),"D-Wave Quantum Inc")</f>
        <v>D-Wave Quantum Inc</v>
      </c>
      <c r="D106" s="755">
        <f ca="1">IFERROR(__xludf.DUMMYFUNCTION("GoogleFinance(B106,""marketcap"")/1000000"),9152.409786)</f>
        <v>9152.4097860000002</v>
      </c>
      <c r="E106" s="756" t="s">
        <v>7</v>
      </c>
      <c r="F106" s="756" t="s">
        <v>433</v>
      </c>
      <c r="G106" s="763">
        <v>45562</v>
      </c>
      <c r="H106" s="758">
        <v>9.3000000000000007</v>
      </c>
      <c r="I106" s="759">
        <v>1.01</v>
      </c>
      <c r="J106" s="760">
        <f>350/I106</f>
        <v>346.53465346534654</v>
      </c>
      <c r="K106" s="761">
        <f t="shared" si="9"/>
        <v>350</v>
      </c>
      <c r="L106" s="761">
        <v>2910.8910891089108</v>
      </c>
      <c r="M106" s="761">
        <f t="shared" si="10"/>
        <v>3222.772277227723</v>
      </c>
      <c r="N106" s="761">
        <f t="shared" si="11"/>
        <v>2872.772277227723</v>
      </c>
      <c r="O106" s="762">
        <f t="shared" si="12"/>
        <v>8.207920792079209</v>
      </c>
      <c r="P106" s="751">
        <f t="shared" si="13"/>
        <v>101</v>
      </c>
      <c r="Q106" s="761">
        <f t="shared" si="17"/>
        <v>311.88118811881213</v>
      </c>
      <c r="R106" s="762">
        <f t="shared" si="18"/>
        <v>0.10714285714285723</v>
      </c>
      <c r="S106" s="752" t="s">
        <v>431</v>
      </c>
      <c r="T106" s="744">
        <v>45663</v>
      </c>
      <c r="U106" s="29" t="s">
        <v>281</v>
      </c>
      <c r="V106" s="25"/>
      <c r="W106" s="25"/>
      <c r="X106" s="25"/>
      <c r="Y106" s="14"/>
      <c r="Z106" s="14"/>
      <c r="AA106" s="14"/>
      <c r="AB106" s="14"/>
      <c r="AC106" s="14"/>
      <c r="AD106" s="25"/>
      <c r="AE106" s="25"/>
      <c r="AF106" s="24"/>
      <c r="AG106" s="24"/>
      <c r="AH106" s="25"/>
      <c r="AI106" s="25"/>
      <c r="AJ106" s="456"/>
      <c r="AK106" s="456"/>
      <c r="AL106" s="456"/>
      <c r="AM106" s="456"/>
      <c r="AN106" s="456"/>
      <c r="AO106" s="456"/>
      <c r="AP106" s="456"/>
      <c r="AQ106" s="311"/>
      <c r="AR106" s="456"/>
      <c r="AS106" s="311"/>
      <c r="AT106" s="311"/>
      <c r="AU106" s="311"/>
      <c r="AV106" s="311"/>
      <c r="AW106" s="311"/>
      <c r="AX106" s="311"/>
      <c r="AY106" s="311"/>
      <c r="AZ106" s="311"/>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row>
    <row r="107" spans="1:82" ht="15.75" customHeight="1">
      <c r="A107" s="294">
        <f t="shared" si="15"/>
        <v>6</v>
      </c>
      <c r="B107" s="753" t="s">
        <v>432</v>
      </c>
      <c r="C107" s="754" t="str">
        <f ca="1">IFERROR(__xludf.DUMMYFUNCTION("GoogleFinance(B107,""name"")"),"IONQ Inc")</f>
        <v>IONQ Inc</v>
      </c>
      <c r="D107" s="755">
        <f ca="1">IFERROR(__xludf.DUMMYFUNCTION("GoogleFinance(B107,""marketcap"")/1000000"),21735.106365)</f>
        <v>21735.106365</v>
      </c>
      <c r="E107" s="756" t="s">
        <v>7</v>
      </c>
      <c r="F107" s="756" t="s">
        <v>433</v>
      </c>
      <c r="G107" s="757">
        <v>45519</v>
      </c>
      <c r="H107" s="758">
        <v>33.53</v>
      </c>
      <c r="I107" s="759">
        <v>7.51</v>
      </c>
      <c r="J107" s="760">
        <f>250/I107</f>
        <v>33.288948069241016</v>
      </c>
      <c r="K107" s="761">
        <f t="shared" si="9"/>
        <v>250.00000000000003</v>
      </c>
      <c r="L107" s="761">
        <v>1390.4793608521973</v>
      </c>
      <c r="M107" s="761">
        <f t="shared" si="10"/>
        <v>1116.1784287616513</v>
      </c>
      <c r="N107" s="761">
        <f t="shared" si="11"/>
        <v>866.17842876165128</v>
      </c>
      <c r="O107" s="762">
        <f t="shared" si="12"/>
        <v>3.4647137150466047</v>
      </c>
      <c r="P107" s="751">
        <f t="shared" si="13"/>
        <v>146</v>
      </c>
      <c r="Q107" s="761">
        <f t="shared" si="17"/>
        <v>-274.30093209054598</v>
      </c>
      <c r="R107" s="762">
        <f t="shared" si="18"/>
        <v>-0.19727076849413455</v>
      </c>
      <c r="S107" s="752" t="s">
        <v>431</v>
      </c>
      <c r="T107" s="744">
        <v>45665</v>
      </c>
      <c r="U107" s="29" t="s">
        <v>281</v>
      </c>
      <c r="V107" s="25"/>
      <c r="W107" s="25"/>
      <c r="X107" s="25"/>
      <c r="Y107" s="14"/>
      <c r="Z107" s="14"/>
      <c r="AA107" s="14"/>
      <c r="AB107" s="14"/>
      <c r="AC107" s="14"/>
      <c r="AD107" s="25"/>
      <c r="AE107" s="25"/>
      <c r="AF107" s="24"/>
      <c r="AG107" s="24"/>
      <c r="AH107" s="25"/>
      <c r="AI107" s="25"/>
      <c r="AJ107" s="456"/>
      <c r="AK107" s="456"/>
      <c r="AL107" s="456"/>
      <c r="AM107" s="456"/>
      <c r="AN107" s="456"/>
      <c r="AO107" s="456"/>
      <c r="AP107" s="456"/>
      <c r="AQ107" s="311"/>
      <c r="AR107" s="456"/>
      <c r="AS107" s="311"/>
      <c r="AT107" s="311"/>
      <c r="AU107" s="311"/>
      <c r="AV107" s="311"/>
      <c r="AW107" s="311"/>
      <c r="AX107" s="311"/>
      <c r="AY107" s="311"/>
      <c r="AZ107" s="311"/>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row>
    <row r="108" spans="1:82" ht="15.75" customHeight="1">
      <c r="A108" s="294">
        <f t="shared" si="15"/>
        <v>7</v>
      </c>
      <c r="B108" s="753" t="s">
        <v>434</v>
      </c>
      <c r="C108" s="754" t="str">
        <f ca="1">IFERROR(__xludf.DUMMYFUNCTION("GoogleFinance(B108,""name"")"),"Rigetti Computing Inc")</f>
        <v>Rigetti Computing Inc</v>
      </c>
      <c r="D108" s="755">
        <f ca="1">IFERROR(__xludf.DUMMYFUNCTION("GoogleFinance(B108,""marketcap"")/1000000"),10107.47)</f>
        <v>10107.469999999999</v>
      </c>
      <c r="E108" s="756" t="s">
        <v>7</v>
      </c>
      <c r="F108" s="756" t="s">
        <v>433</v>
      </c>
      <c r="G108" s="757">
        <v>45603</v>
      </c>
      <c r="H108" s="758">
        <v>10.8</v>
      </c>
      <c r="I108" s="759">
        <v>1.4</v>
      </c>
      <c r="J108" s="760">
        <f>300/I108</f>
        <v>214.28571428571431</v>
      </c>
      <c r="K108" s="761">
        <f t="shared" si="9"/>
        <v>300</v>
      </c>
      <c r="L108" s="761">
        <v>3270.0000000000005</v>
      </c>
      <c r="M108" s="761">
        <f t="shared" si="10"/>
        <v>2314.2857142857147</v>
      </c>
      <c r="N108" s="761">
        <f t="shared" si="11"/>
        <v>2014.2857142857147</v>
      </c>
      <c r="O108" s="762">
        <f t="shared" si="12"/>
        <v>6.7142857142857153</v>
      </c>
      <c r="P108" s="751">
        <f t="shared" si="13"/>
        <v>62</v>
      </c>
      <c r="Q108" s="761">
        <f t="shared" si="17"/>
        <v>-955.71428571428578</v>
      </c>
      <c r="R108" s="762">
        <f t="shared" si="18"/>
        <v>-0.29226736566186107</v>
      </c>
      <c r="S108" s="752" t="s">
        <v>431</v>
      </c>
      <c r="T108" s="744">
        <v>45665</v>
      </c>
      <c r="U108" s="29" t="s">
        <v>281</v>
      </c>
      <c r="V108" s="25"/>
      <c r="W108" s="25"/>
      <c r="X108" s="25"/>
      <c r="Y108" s="14"/>
      <c r="Z108" s="14"/>
      <c r="AA108" s="14"/>
      <c r="AB108" s="14"/>
      <c r="AC108" s="14"/>
      <c r="AD108" s="25"/>
      <c r="AE108" s="25"/>
      <c r="AF108" s="24"/>
      <c r="AG108" s="24"/>
      <c r="AH108" s="25"/>
      <c r="AI108" s="25"/>
      <c r="AJ108" s="456"/>
      <c r="AK108" s="456"/>
      <c r="AL108" s="456"/>
      <c r="AM108" s="456"/>
      <c r="AN108" s="456"/>
      <c r="AO108" s="456"/>
      <c r="AP108" s="456"/>
      <c r="AQ108" s="311"/>
      <c r="AR108" s="456"/>
      <c r="AS108" s="311"/>
      <c r="AT108" s="311"/>
      <c r="AU108" s="311"/>
      <c r="AV108" s="311"/>
      <c r="AW108" s="311"/>
      <c r="AX108" s="311"/>
      <c r="AY108" s="311"/>
      <c r="AZ108" s="311"/>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row>
    <row r="109" spans="1:82" ht="15.75" customHeight="1">
      <c r="A109" s="294">
        <f t="shared" si="15"/>
        <v>8</v>
      </c>
      <c r="B109" s="753" t="s">
        <v>435</v>
      </c>
      <c r="C109" s="754" t="str">
        <f ca="1">IFERROR(__xludf.DUMMYFUNCTION("GoogleFinance(B109,""name"")"),"D-Wave Quantum Inc")</f>
        <v>D-Wave Quantum Inc</v>
      </c>
      <c r="D109" s="755">
        <f ca="1">IFERROR(__xludf.DUMMYFUNCTION("GoogleFinance(B109,""marketcap"")/1000000"),9152.409786)</f>
        <v>9152.4097860000002</v>
      </c>
      <c r="E109" s="756" t="s">
        <v>7</v>
      </c>
      <c r="F109" s="756" t="s">
        <v>433</v>
      </c>
      <c r="G109" s="763">
        <v>45562</v>
      </c>
      <c r="H109" s="758">
        <v>5.5</v>
      </c>
      <c r="I109" s="759">
        <v>1.01</v>
      </c>
      <c r="J109" s="760">
        <f>100/I109</f>
        <v>99.009900990099013</v>
      </c>
      <c r="K109" s="761">
        <f t="shared" si="9"/>
        <v>100</v>
      </c>
      <c r="L109" s="761">
        <v>831.68316831683171</v>
      </c>
      <c r="M109" s="761">
        <f t="shared" si="10"/>
        <v>544.55445544554459</v>
      </c>
      <c r="N109" s="761">
        <f t="shared" si="11"/>
        <v>444.55445544554459</v>
      </c>
      <c r="O109" s="762">
        <f t="shared" si="12"/>
        <v>4.4455445544554459</v>
      </c>
      <c r="P109" s="751">
        <f t="shared" si="13"/>
        <v>103</v>
      </c>
      <c r="Q109" s="761">
        <f t="shared" si="17"/>
        <v>-287.12871287128712</v>
      </c>
      <c r="R109" s="762">
        <f t="shared" si="18"/>
        <v>-0.34523809523809523</v>
      </c>
      <c r="S109" s="752" t="s">
        <v>431</v>
      </c>
      <c r="T109" s="744">
        <v>45665</v>
      </c>
      <c r="U109" s="29" t="s">
        <v>281</v>
      </c>
      <c r="V109" s="25"/>
      <c r="W109" s="25"/>
      <c r="X109" s="25"/>
      <c r="Y109" s="14"/>
      <c r="Z109" s="14"/>
      <c r="AA109" s="14"/>
      <c r="AB109" s="14"/>
      <c r="AC109" s="14"/>
      <c r="AD109" s="25"/>
      <c r="AE109" s="25"/>
      <c r="AF109" s="24"/>
      <c r="AG109" s="24"/>
      <c r="AH109" s="25"/>
      <c r="AI109" s="25"/>
      <c r="AJ109" s="456"/>
      <c r="AK109" s="456"/>
      <c r="AL109" s="456"/>
      <c r="AM109" s="456"/>
      <c r="AN109" s="456"/>
      <c r="AO109" s="456"/>
      <c r="AP109" s="456"/>
      <c r="AQ109" s="311"/>
      <c r="AR109" s="456"/>
      <c r="AS109" s="311"/>
      <c r="AT109" s="311"/>
      <c r="AU109" s="311"/>
      <c r="AV109" s="311"/>
      <c r="AW109" s="311"/>
      <c r="AX109" s="311"/>
      <c r="AY109" s="311"/>
      <c r="AZ109" s="311"/>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row>
    <row r="110" spans="1:82" ht="15.75" customHeight="1">
      <c r="A110" s="294">
        <f t="shared" si="15"/>
        <v>9</v>
      </c>
      <c r="B110" s="7" t="s">
        <v>207</v>
      </c>
      <c r="C110" s="233" t="str">
        <f ca="1">IFERROR(__xludf.DUMMYFUNCTION("GoogleFinance(B110,""name"")"),"JPMorgan Equity Focus ETF")</f>
        <v>JPMorgan Equity Focus ETF</v>
      </c>
      <c r="D110" s="234" t="str">
        <f ca="1">IFERROR(__xludf.DUMMYFUNCTION("GoogleFinance(B110,""marketcap"")/1000000"),"#N/A")</f>
        <v>#N/A</v>
      </c>
      <c r="E110" s="379" t="s">
        <v>80</v>
      </c>
      <c r="F110" s="229" t="s">
        <v>436</v>
      </c>
      <c r="G110" s="230">
        <v>45642</v>
      </c>
      <c r="H110" s="382">
        <v>67.22</v>
      </c>
      <c r="I110" s="506">
        <v>69.7</v>
      </c>
      <c r="J110" s="507">
        <f t="shared" ref="J110:J111" si="19">20000/I110</f>
        <v>286.94404591104734</v>
      </c>
      <c r="K110" s="249">
        <f t="shared" si="9"/>
        <v>20000</v>
      </c>
      <c r="L110" s="249">
        <v>19256.814921090387</v>
      </c>
      <c r="M110" s="249">
        <f t="shared" si="10"/>
        <v>19288.378766140602</v>
      </c>
      <c r="N110" s="508">
        <f t="shared" si="11"/>
        <v>-711.62123385939776</v>
      </c>
      <c r="O110" s="509">
        <f t="shared" si="12"/>
        <v>-3.5581061692969887E-2</v>
      </c>
      <c r="P110" s="751">
        <f t="shared" si="13"/>
        <v>23</v>
      </c>
      <c r="Q110" s="761">
        <f t="shared" si="17"/>
        <v>31.563845050215605</v>
      </c>
      <c r="R110" s="762">
        <f t="shared" si="18"/>
        <v>1.6390999850991116E-3</v>
      </c>
      <c r="S110" s="752" t="s">
        <v>431</v>
      </c>
      <c r="T110" s="744">
        <v>45665</v>
      </c>
      <c r="U110" s="29" t="s">
        <v>281</v>
      </c>
      <c r="V110" s="25"/>
      <c r="W110" s="25"/>
      <c r="X110" s="25"/>
      <c r="Y110" s="14"/>
      <c r="Z110" s="14"/>
      <c r="AA110" s="14"/>
      <c r="AB110" s="14"/>
      <c r="AC110" s="14"/>
      <c r="AD110" s="25"/>
      <c r="AE110" s="25"/>
      <c r="AF110" s="24"/>
      <c r="AG110" s="24"/>
      <c r="AH110" s="25"/>
      <c r="AI110" s="25"/>
      <c r="AJ110" s="456"/>
      <c r="AK110" s="456"/>
      <c r="AL110" s="456"/>
      <c r="AM110" s="456"/>
      <c r="AN110" s="456"/>
      <c r="AO110" s="456"/>
      <c r="AP110" s="456"/>
      <c r="AQ110" s="311"/>
      <c r="AR110" s="456"/>
      <c r="AS110" s="311"/>
      <c r="AT110" s="311"/>
      <c r="AU110" s="311"/>
      <c r="AV110" s="311"/>
      <c r="AW110" s="311"/>
      <c r="AX110" s="311"/>
      <c r="AY110" s="311"/>
      <c r="AZ110" s="311"/>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row>
    <row r="111" spans="1:82" ht="15.75" customHeight="1">
      <c r="A111" s="294">
        <f t="shared" si="15"/>
        <v>10</v>
      </c>
      <c r="B111" s="7" t="s">
        <v>211</v>
      </c>
      <c r="C111" s="233" t="str">
        <f ca="1">IFERROR(__xludf.DUMMYFUNCTION("GoogleFinance(B111,""name"")"),"JPMorgan Small &amp; Mid Cap Enhanced Equity ETF")</f>
        <v>JPMorgan Small &amp; Mid Cap Enhanced Equity ETF</v>
      </c>
      <c r="D111" s="234" t="str">
        <f ca="1">IFERROR(__xludf.DUMMYFUNCTION("GoogleFinance(B111,""marketcap"")/1000000"),"#N/A")</f>
        <v>#N/A</v>
      </c>
      <c r="E111" s="379" t="s">
        <v>212</v>
      </c>
      <c r="F111" s="229" t="s">
        <v>436</v>
      </c>
      <c r="G111" s="230">
        <v>45642</v>
      </c>
      <c r="H111" s="382">
        <v>60.32</v>
      </c>
      <c r="I111" s="506">
        <v>63.97</v>
      </c>
      <c r="J111" s="507">
        <f t="shared" si="19"/>
        <v>312.64655307175241</v>
      </c>
      <c r="K111" s="249">
        <f t="shared" si="9"/>
        <v>20000</v>
      </c>
      <c r="L111" s="249">
        <v>18905.737064248868</v>
      </c>
      <c r="M111" s="249">
        <f t="shared" si="10"/>
        <v>18858.840081288105</v>
      </c>
      <c r="N111" s="508">
        <f t="shared" si="11"/>
        <v>-1141.1599187118954</v>
      </c>
      <c r="O111" s="509">
        <f t="shared" si="12"/>
        <v>-5.7057995935594776E-2</v>
      </c>
      <c r="P111" s="751">
        <f t="shared" si="13"/>
        <v>23</v>
      </c>
      <c r="Q111" s="761">
        <f t="shared" si="17"/>
        <v>-46.896982960763125</v>
      </c>
      <c r="R111" s="762">
        <f t="shared" si="18"/>
        <v>-2.480568877129169E-3</v>
      </c>
      <c r="S111" s="752" t="s">
        <v>431</v>
      </c>
      <c r="T111" s="744">
        <v>45665</v>
      </c>
      <c r="U111" s="29" t="s">
        <v>281</v>
      </c>
      <c r="V111" s="25"/>
      <c r="W111" s="25"/>
      <c r="X111" s="25"/>
      <c r="Y111" s="14"/>
      <c r="Z111" s="14"/>
      <c r="AA111" s="14"/>
      <c r="AB111" s="14"/>
      <c r="AC111" s="14"/>
      <c r="AD111" s="25"/>
      <c r="AE111" s="25"/>
      <c r="AF111" s="24"/>
      <c r="AG111" s="24"/>
      <c r="AH111" s="25"/>
      <c r="AI111" s="25"/>
      <c r="AJ111" s="456"/>
      <c r="AK111" s="456"/>
      <c r="AL111" s="456"/>
      <c r="AM111" s="456"/>
      <c r="AN111" s="456"/>
      <c r="AO111" s="456"/>
      <c r="AP111" s="456"/>
      <c r="AQ111" s="311"/>
      <c r="AR111" s="456"/>
      <c r="AS111" s="311"/>
      <c r="AT111" s="311"/>
      <c r="AU111" s="311"/>
      <c r="AV111" s="311"/>
      <c r="AW111" s="311"/>
      <c r="AX111" s="311"/>
      <c r="AY111" s="311"/>
      <c r="AZ111" s="311"/>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row>
    <row r="112" spans="1:82" ht="15.75" customHeight="1">
      <c r="A112" s="294">
        <f t="shared" si="15"/>
        <v>11</v>
      </c>
      <c r="B112" s="753" t="s">
        <v>430</v>
      </c>
      <c r="C112" s="754" t="str">
        <f ca="1">IFERROR(__xludf.DUMMYFUNCTION("GoogleFinance(B112,""name"")"),"Nauticus Robotics Inc")</f>
        <v>Nauticus Robotics Inc</v>
      </c>
      <c r="D112" s="755">
        <f ca="1">IFERROR(__xludf.DUMMYFUNCTION("GoogleFinance(B112,""marketcap"")/1000000"),14.887591)</f>
        <v>14.887591</v>
      </c>
      <c r="E112" s="756" t="s">
        <v>11</v>
      </c>
      <c r="F112" s="756" t="s">
        <v>28</v>
      </c>
      <c r="G112" s="763">
        <v>45660</v>
      </c>
      <c r="H112" s="758">
        <v>3</v>
      </c>
      <c r="I112" s="759">
        <v>1.87</v>
      </c>
      <c r="J112" s="760">
        <f>500/I112</f>
        <v>267.37967914438502</v>
      </c>
      <c r="K112" s="761">
        <f t="shared" si="9"/>
        <v>500</v>
      </c>
      <c r="L112" s="761">
        <v>500</v>
      </c>
      <c r="M112" s="761">
        <f t="shared" si="10"/>
        <v>802.13903743315507</v>
      </c>
      <c r="N112" s="761">
        <f t="shared" si="11"/>
        <v>302.13903743315507</v>
      </c>
      <c r="O112" s="762">
        <f t="shared" si="12"/>
        <v>0.60427807486631013</v>
      </c>
      <c r="P112" s="751">
        <f t="shared" si="13"/>
        <v>5</v>
      </c>
      <c r="Q112" s="761">
        <f t="shared" si="17"/>
        <v>302.13903743315507</v>
      </c>
      <c r="R112" s="762">
        <f t="shared" si="18"/>
        <v>0.60427807486631013</v>
      </c>
      <c r="S112" s="752" t="s">
        <v>431</v>
      </c>
      <c r="T112" s="744">
        <v>45665</v>
      </c>
      <c r="U112" s="29" t="s">
        <v>281</v>
      </c>
      <c r="V112" s="25"/>
      <c r="W112" s="25"/>
      <c r="X112" s="25"/>
      <c r="Y112" s="14"/>
      <c r="Z112" s="14"/>
      <c r="AA112" s="14"/>
      <c r="AB112" s="14"/>
      <c r="AC112" s="14"/>
      <c r="AD112" s="25"/>
      <c r="AE112" s="25"/>
      <c r="AF112" s="24"/>
      <c r="AG112" s="24"/>
      <c r="AH112" s="25"/>
      <c r="AI112" s="25"/>
      <c r="AJ112" s="25"/>
      <c r="AK112" s="25"/>
      <c r="AL112" s="25"/>
      <c r="AM112" s="25"/>
      <c r="AN112" s="25"/>
      <c r="AO112" s="25"/>
      <c r="AP112" s="25"/>
      <c r="AQ112" s="22"/>
      <c r="AR112" s="25"/>
      <c r="AS112" s="22"/>
      <c r="AT112" s="22"/>
      <c r="AU112" s="22"/>
      <c r="AV112" s="22"/>
      <c r="AW112" s="22"/>
      <c r="AX112" s="22"/>
      <c r="AY112" s="22"/>
      <c r="AZ112" s="22"/>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row>
    <row r="113" spans="1:82" ht="15.75" customHeight="1">
      <c r="A113" s="294">
        <f t="shared" si="15"/>
        <v>12</v>
      </c>
      <c r="B113" s="1" t="s">
        <v>437</v>
      </c>
      <c r="C113" s="233" t="str">
        <f ca="1">IFERROR(__xludf.DUMMYFUNCTION("GoogleFinance(B113,""name"")"),"Nano Dimension Ltd - ADR")</f>
        <v>Nano Dimension Ltd - ADR</v>
      </c>
      <c r="D113" s="234">
        <f ca="1">IFERROR(__xludf.DUMMYFUNCTION("GoogleFinance(B113,""marketcap"")/1000000"),347.195905)</f>
        <v>347.19590499999998</v>
      </c>
      <c r="E113" s="246" t="s">
        <v>7</v>
      </c>
      <c r="F113" s="246" t="s">
        <v>438</v>
      </c>
      <c r="G113" s="230">
        <v>45663</v>
      </c>
      <c r="H113" s="588">
        <v>2.2999999999999998</v>
      </c>
      <c r="I113" s="506">
        <v>2.65</v>
      </c>
      <c r="J113" s="507">
        <f>1500/I113</f>
        <v>566.03773584905662</v>
      </c>
      <c r="K113" s="249">
        <f t="shared" si="9"/>
        <v>1500</v>
      </c>
      <c r="L113" s="249">
        <v>1500</v>
      </c>
      <c r="M113" s="249">
        <f t="shared" si="10"/>
        <v>1301.8867924528302</v>
      </c>
      <c r="N113" s="508">
        <f t="shared" si="11"/>
        <v>-198.11320754716985</v>
      </c>
      <c r="O113" s="509">
        <f t="shared" si="12"/>
        <v>-0.13207547169811323</v>
      </c>
      <c r="P113" s="751">
        <f t="shared" si="13"/>
        <v>2</v>
      </c>
      <c r="Q113" s="761">
        <f t="shared" si="17"/>
        <v>-198.11320754716985</v>
      </c>
      <c r="R113" s="762">
        <f t="shared" si="18"/>
        <v>-0.13207547169811323</v>
      </c>
      <c r="S113" s="752" t="s">
        <v>431</v>
      </c>
      <c r="T113" s="744">
        <v>45665</v>
      </c>
      <c r="U113" s="29" t="s">
        <v>281</v>
      </c>
      <c r="V113" s="25"/>
      <c r="W113" s="25"/>
      <c r="X113" s="25"/>
      <c r="Y113" s="14"/>
      <c r="Z113" s="14"/>
      <c r="AA113" s="14"/>
      <c r="AB113" s="14"/>
      <c r="AC113" s="14"/>
      <c r="AD113" s="25"/>
      <c r="AE113" s="25"/>
      <c r="AF113" s="24"/>
      <c r="AG113" s="24"/>
      <c r="AH113" s="25"/>
      <c r="AI113" s="25"/>
      <c r="AJ113" s="25"/>
      <c r="AK113" s="25"/>
      <c r="AL113" s="25"/>
      <c r="AM113" s="25"/>
      <c r="AN113" s="25"/>
      <c r="AO113" s="25"/>
      <c r="AP113" s="25"/>
      <c r="AQ113" s="22"/>
      <c r="AR113" s="25"/>
      <c r="AS113" s="22"/>
      <c r="AT113" s="22"/>
      <c r="AU113" s="22"/>
      <c r="AV113" s="22"/>
      <c r="AW113" s="22"/>
      <c r="AX113" s="22"/>
      <c r="AY113" s="22"/>
      <c r="AZ113" s="22"/>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row>
    <row r="114" spans="1:82" ht="15.75" customHeight="1">
      <c r="A114" s="294">
        <f t="shared" si="15"/>
        <v>13</v>
      </c>
      <c r="B114" s="1" t="s">
        <v>439</v>
      </c>
      <c r="C114" s="233" t="str">
        <f ca="1">IFERROR(__xludf.DUMMYFUNCTION("GoogleFinance(B114,""name"")"),"Terawulf Inc")</f>
        <v>Terawulf Inc</v>
      </c>
      <c r="D114" s="234">
        <f ca="1">IFERROR(__xludf.DUMMYFUNCTION("GoogleFinance(B114,""marketcap"")/1000000"),4441.959124)</f>
        <v>4441.959124</v>
      </c>
      <c r="E114" s="246" t="s">
        <v>14</v>
      </c>
      <c r="F114" s="246" t="s">
        <v>440</v>
      </c>
      <c r="G114" s="230">
        <v>45660</v>
      </c>
      <c r="H114" s="588">
        <v>5.85</v>
      </c>
      <c r="I114" s="506">
        <v>5.87</v>
      </c>
      <c r="J114" s="507">
        <f>1000/I114</f>
        <v>170.35775127768312</v>
      </c>
      <c r="K114" s="249">
        <f t="shared" si="9"/>
        <v>999.99999999999989</v>
      </c>
      <c r="L114" s="249">
        <v>1000</v>
      </c>
      <c r="M114" s="249">
        <f t="shared" si="10"/>
        <v>996.59284497444617</v>
      </c>
      <c r="N114" s="508">
        <f t="shared" si="11"/>
        <v>-3.4071550255537204</v>
      </c>
      <c r="O114" s="509">
        <f t="shared" si="12"/>
        <v>-3.4071550255537209E-3</v>
      </c>
      <c r="P114" s="751">
        <f t="shared" si="13"/>
        <v>5</v>
      </c>
      <c r="Q114" s="761">
        <f t="shared" si="17"/>
        <v>-3.4071550255538341</v>
      </c>
      <c r="R114" s="762">
        <f t="shared" si="18"/>
        <v>-3.407155025553834E-3</v>
      </c>
      <c r="S114" s="752" t="s">
        <v>431</v>
      </c>
      <c r="T114" s="744">
        <v>45665</v>
      </c>
      <c r="U114" s="29" t="s">
        <v>281</v>
      </c>
      <c r="V114" s="25"/>
      <c r="W114" s="25"/>
      <c r="X114" s="25"/>
      <c r="Y114" s="14"/>
      <c r="Z114" s="14"/>
      <c r="AA114" s="14"/>
      <c r="AB114" s="14"/>
      <c r="AC114" s="14"/>
      <c r="AD114" s="25"/>
      <c r="AE114" s="25"/>
      <c r="AF114" s="24"/>
      <c r="AG114" s="24"/>
      <c r="AH114" s="25"/>
      <c r="AI114" s="25"/>
      <c r="AJ114" s="456"/>
      <c r="AK114" s="456"/>
      <c r="AL114" s="456"/>
      <c r="AM114" s="456"/>
      <c r="AN114" s="456"/>
      <c r="AO114" s="456"/>
      <c r="AP114" s="456"/>
      <c r="AQ114" s="311"/>
      <c r="AR114" s="456"/>
      <c r="AS114" s="311"/>
      <c r="AT114" s="311"/>
      <c r="AU114" s="311"/>
      <c r="AV114" s="311"/>
      <c r="AW114" s="311"/>
      <c r="AX114" s="311"/>
      <c r="AY114" s="311"/>
      <c r="AZ114" s="311"/>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row>
    <row r="115" spans="1:82" ht="15.75" customHeight="1">
      <c r="A115" s="294">
        <f t="shared" si="15"/>
        <v>14</v>
      </c>
      <c r="B115" s="1" t="s">
        <v>441</v>
      </c>
      <c r="C115" s="233" t="str">
        <f ca="1">IFERROR(__xludf.DUMMYFUNCTION("GoogleFinance(B115,""name"")"),"Advanced Micro Devices Inc")</f>
        <v>Advanced Micro Devices Inc</v>
      </c>
      <c r="D115" s="234">
        <f ca="1">IFERROR(__xludf.DUMMYFUNCTION("GoogleFinance(B115,""marketcap"")/1000000"),258778.555675)</f>
        <v>258778.55567500001</v>
      </c>
      <c r="E115" s="246" t="s">
        <v>7</v>
      </c>
      <c r="F115" s="246" t="s">
        <v>23</v>
      </c>
      <c r="G115" s="230">
        <v>45643</v>
      </c>
      <c r="H115" s="588">
        <v>121.3</v>
      </c>
      <c r="I115" s="506">
        <v>123.5</v>
      </c>
      <c r="J115" s="507">
        <f>3000/I115</f>
        <v>24.291497975708502</v>
      </c>
      <c r="K115" s="249">
        <f t="shared" si="9"/>
        <v>3000</v>
      </c>
      <c r="L115" s="249">
        <v>2934.1700404858302</v>
      </c>
      <c r="M115" s="249">
        <f t="shared" si="10"/>
        <v>2946.5587044534414</v>
      </c>
      <c r="N115" s="508">
        <f t="shared" si="11"/>
        <v>-53.441295546558649</v>
      </c>
      <c r="O115" s="509">
        <f t="shared" si="12"/>
        <v>-1.7813765182186216E-2</v>
      </c>
      <c r="P115" s="751">
        <f t="shared" si="13"/>
        <v>22</v>
      </c>
      <c r="Q115" s="761">
        <f t="shared" si="17"/>
        <v>12.388663967611137</v>
      </c>
      <c r="R115" s="762">
        <f t="shared" si="18"/>
        <v>4.2222038248198677E-3</v>
      </c>
      <c r="S115" s="752" t="s">
        <v>431</v>
      </c>
      <c r="T115" s="744">
        <v>45665</v>
      </c>
      <c r="U115" s="29" t="s">
        <v>281</v>
      </c>
      <c r="V115" s="25"/>
      <c r="W115" s="25"/>
      <c r="X115" s="25"/>
      <c r="Y115" s="14"/>
      <c r="Z115" s="14"/>
      <c r="AA115" s="14"/>
      <c r="AB115" s="14"/>
      <c r="AC115" s="14"/>
      <c r="AD115" s="25"/>
      <c r="AE115" s="25"/>
      <c r="AF115" s="24"/>
      <c r="AG115" s="24"/>
      <c r="AH115" s="25"/>
      <c r="AI115" s="25"/>
      <c r="AJ115" s="456"/>
      <c r="AK115" s="456"/>
      <c r="AL115" s="456"/>
      <c r="AM115" s="456"/>
      <c r="AN115" s="456"/>
      <c r="AO115" s="456"/>
      <c r="AP115" s="456"/>
      <c r="AQ115" s="311"/>
      <c r="AR115" s="456"/>
      <c r="AS115" s="311"/>
      <c r="AT115" s="311"/>
      <c r="AU115" s="311"/>
      <c r="AV115" s="311"/>
      <c r="AW115" s="311"/>
      <c r="AX115" s="311"/>
      <c r="AY115" s="311"/>
      <c r="AZ115" s="311"/>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row>
    <row r="116" spans="1:82" ht="15.75" customHeight="1">
      <c r="A116" s="294">
        <f t="shared" si="15"/>
        <v>15</v>
      </c>
      <c r="B116" s="764" t="s">
        <v>442</v>
      </c>
      <c r="C116" s="438" t="str">
        <f ca="1">IFERROR(__xludf.DUMMYFUNCTION("GoogleFinance(B116,""name"")"),"Nano-X Imaging Ltd")</f>
        <v>Nano-X Imaging Ltd</v>
      </c>
      <c r="D116" s="234">
        <f ca="1">IFERROR(__xludf.DUMMYFUNCTION("GoogleFinance(B116,""marketcap"")/1000000"),237.8554)</f>
        <v>237.8554</v>
      </c>
      <c r="E116" s="246" t="s">
        <v>17</v>
      </c>
      <c r="F116" s="246" t="s">
        <v>443</v>
      </c>
      <c r="G116" s="230">
        <v>45638</v>
      </c>
      <c r="H116" s="588">
        <v>8.7200000000000006</v>
      </c>
      <c r="I116" s="506">
        <v>7.5</v>
      </c>
      <c r="J116" s="507">
        <f>2000/I116</f>
        <v>266.66666666666669</v>
      </c>
      <c r="K116" s="249">
        <f t="shared" si="9"/>
        <v>2000.0000000000002</v>
      </c>
      <c r="L116" s="249">
        <v>1920</v>
      </c>
      <c r="M116" s="249">
        <f t="shared" si="10"/>
        <v>2325.3333333333335</v>
      </c>
      <c r="N116" s="508">
        <f t="shared" si="11"/>
        <v>325.33333333333326</v>
      </c>
      <c r="O116" s="509">
        <f t="shared" si="12"/>
        <v>0.1626666666666666</v>
      </c>
      <c r="P116" s="751">
        <f t="shared" si="13"/>
        <v>27</v>
      </c>
      <c r="Q116" s="761">
        <f t="shared" si="17"/>
        <v>405.33333333333348</v>
      </c>
      <c r="R116" s="762">
        <f t="shared" si="18"/>
        <v>0.21111111111111119</v>
      </c>
      <c r="S116" s="752" t="s">
        <v>431</v>
      </c>
      <c r="T116" s="744">
        <v>45665</v>
      </c>
      <c r="U116" s="29" t="s">
        <v>281</v>
      </c>
      <c r="V116" s="25"/>
      <c r="W116" s="25"/>
      <c r="X116" s="25"/>
      <c r="Y116" s="14"/>
      <c r="Z116" s="14"/>
      <c r="AA116" s="14"/>
      <c r="AB116" s="14"/>
      <c r="AC116" s="14"/>
      <c r="AD116" s="25"/>
      <c r="AE116" s="25"/>
      <c r="AF116" s="24"/>
      <c r="AG116" s="24"/>
      <c r="AH116" s="25"/>
      <c r="AI116" s="25"/>
      <c r="AJ116" s="456"/>
      <c r="AK116" s="456"/>
      <c r="AL116" s="456"/>
      <c r="AM116" s="456"/>
      <c r="AN116" s="456"/>
      <c r="AO116" s="456"/>
      <c r="AP116" s="456"/>
      <c r="AQ116" s="311"/>
      <c r="AR116" s="456"/>
      <c r="AS116" s="311"/>
      <c r="AT116" s="311"/>
      <c r="AU116" s="311"/>
      <c r="AV116" s="311"/>
      <c r="AW116" s="311"/>
      <c r="AX116" s="311"/>
      <c r="AY116" s="311"/>
      <c r="AZ116" s="311"/>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row>
    <row r="117" spans="1:82" ht="15.75" customHeight="1">
      <c r="A117" s="294">
        <f t="shared" si="15"/>
        <v>16</v>
      </c>
      <c r="B117" s="1" t="s">
        <v>444</v>
      </c>
      <c r="C117" s="233" t="str">
        <f ca="1">IFERROR(__xludf.DUMMYFUNCTION("GoogleFinance(B117,""name"")"),"BigBear.ai Holdings Inc")</f>
        <v>BigBear.ai Holdings Inc</v>
      </c>
      <c r="D117" s="234">
        <f ca="1">IFERROR(__xludf.DUMMYFUNCTION("GoogleFinance(B117,""marketcap"")/1000000"),2494.832543)</f>
        <v>2494.832543</v>
      </c>
      <c r="E117" s="246" t="s">
        <v>7</v>
      </c>
      <c r="F117" s="246" t="s">
        <v>263</v>
      </c>
      <c r="G117" s="230">
        <v>45638</v>
      </c>
      <c r="H117" s="588">
        <v>3.55</v>
      </c>
      <c r="I117" s="506">
        <v>2.63</v>
      </c>
      <c r="J117" s="507">
        <f t="shared" ref="J117:J119" si="20">1000/I117</f>
        <v>380.22813688212932</v>
      </c>
      <c r="K117" s="249">
        <f t="shared" si="9"/>
        <v>1000.0000000000001</v>
      </c>
      <c r="L117" s="249">
        <v>1692.0152091254756</v>
      </c>
      <c r="M117" s="249">
        <f t="shared" si="10"/>
        <v>1349.8098859315589</v>
      </c>
      <c r="N117" s="508">
        <f t="shared" si="11"/>
        <v>349.80988593155882</v>
      </c>
      <c r="O117" s="509">
        <f t="shared" si="12"/>
        <v>0.34980988593155876</v>
      </c>
      <c r="P117" s="751">
        <f t="shared" si="13"/>
        <v>27</v>
      </c>
      <c r="Q117" s="761">
        <f t="shared" si="17"/>
        <v>-342.20532319391668</v>
      </c>
      <c r="R117" s="762">
        <f t="shared" si="18"/>
        <v>-0.20224719101123612</v>
      </c>
      <c r="S117" s="752" t="s">
        <v>431</v>
      </c>
      <c r="T117" s="744">
        <v>45665</v>
      </c>
      <c r="U117" s="29" t="s">
        <v>281</v>
      </c>
      <c r="V117" s="25"/>
      <c r="W117" s="25"/>
      <c r="X117" s="25"/>
      <c r="Y117" s="14"/>
      <c r="Z117" s="14"/>
      <c r="AA117" s="14"/>
      <c r="AB117" s="14"/>
      <c r="AC117" s="14"/>
      <c r="AD117" s="25"/>
      <c r="AE117" s="25"/>
      <c r="AF117" s="24"/>
      <c r="AG117" s="24"/>
      <c r="AH117" s="25"/>
      <c r="AI117" s="25"/>
      <c r="AJ117" s="456"/>
      <c r="AK117" s="456"/>
      <c r="AL117" s="456"/>
      <c r="AM117" s="456"/>
      <c r="AN117" s="456"/>
      <c r="AO117" s="456"/>
      <c r="AP117" s="456"/>
      <c r="AQ117" s="311"/>
      <c r="AR117" s="456"/>
      <c r="AS117" s="311"/>
      <c r="AT117" s="311"/>
      <c r="AU117" s="311"/>
      <c r="AV117" s="311"/>
      <c r="AW117" s="311"/>
      <c r="AX117" s="311"/>
      <c r="AY117" s="311"/>
      <c r="AZ117" s="311"/>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row>
    <row r="118" spans="1:82" ht="15.75" customHeight="1">
      <c r="A118" s="294">
        <f t="shared" si="15"/>
        <v>17</v>
      </c>
      <c r="B118" s="1" t="s">
        <v>445</v>
      </c>
      <c r="C118" s="233" t="str">
        <f ca="1">IFERROR(__xludf.DUMMYFUNCTION("GoogleFinance(B118,""name"")"),"CXApp Inc")</f>
        <v>CXApp Inc</v>
      </c>
      <c r="D118" s="234">
        <f ca="1">IFERROR(__xludf.DUMMYFUNCTION("GoogleFinance(B118,""marketcap"")/1000000"),17.234517)</f>
        <v>17.234517</v>
      </c>
      <c r="E118" s="246" t="s">
        <v>11</v>
      </c>
      <c r="F118" s="246" t="s">
        <v>339</v>
      </c>
      <c r="G118" s="230">
        <v>45632</v>
      </c>
      <c r="H118" s="588">
        <v>1.95</v>
      </c>
      <c r="I118" s="506">
        <v>2.0299999999999998</v>
      </c>
      <c r="J118" s="507">
        <f t="shared" si="20"/>
        <v>492.61083743842369</v>
      </c>
      <c r="K118" s="249">
        <f t="shared" si="9"/>
        <v>1000</v>
      </c>
      <c r="L118" s="249">
        <v>896.55172413793116</v>
      </c>
      <c r="M118" s="249">
        <f t="shared" si="10"/>
        <v>960.59113300492618</v>
      </c>
      <c r="N118" s="508">
        <f t="shared" si="11"/>
        <v>-39.408866995073822</v>
      </c>
      <c r="O118" s="509">
        <f t="shared" si="12"/>
        <v>-3.9408866995073823E-2</v>
      </c>
      <c r="P118" s="751">
        <f t="shared" si="13"/>
        <v>33</v>
      </c>
      <c r="Q118" s="761">
        <f t="shared" si="17"/>
        <v>64.039408866995018</v>
      </c>
      <c r="R118" s="762">
        <f t="shared" si="18"/>
        <v>7.1428571428571355E-2</v>
      </c>
      <c r="S118" s="752" t="s">
        <v>431</v>
      </c>
      <c r="T118" s="744">
        <v>45665</v>
      </c>
      <c r="U118" s="29" t="s">
        <v>281</v>
      </c>
      <c r="V118" s="25"/>
      <c r="W118" s="25"/>
      <c r="X118" s="25"/>
      <c r="Y118" s="14"/>
      <c r="Z118" s="14"/>
      <c r="AA118" s="14"/>
      <c r="AB118" s="14"/>
      <c r="AC118" s="14"/>
      <c r="AD118" s="25"/>
      <c r="AE118" s="25"/>
      <c r="AF118" s="24"/>
      <c r="AG118" s="24"/>
      <c r="AH118" s="25"/>
      <c r="AI118" s="25"/>
      <c r="AJ118" s="456"/>
      <c r="AK118" s="456"/>
      <c r="AL118" s="456"/>
      <c r="AM118" s="456"/>
      <c r="AN118" s="456"/>
      <c r="AO118" s="456"/>
      <c r="AP118" s="456"/>
      <c r="AQ118" s="311"/>
      <c r="AR118" s="456"/>
      <c r="AS118" s="311"/>
      <c r="AT118" s="311"/>
      <c r="AU118" s="311"/>
      <c r="AV118" s="311"/>
      <c r="AW118" s="311"/>
      <c r="AX118" s="311"/>
      <c r="AY118" s="311"/>
      <c r="AZ118" s="311"/>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row>
    <row r="119" spans="1:82" ht="15.75" customHeight="1">
      <c r="A119" s="294">
        <f t="shared" si="15"/>
        <v>18</v>
      </c>
      <c r="B119" s="1" t="s">
        <v>338</v>
      </c>
      <c r="C119" s="233" t="str">
        <f ca="1">IFERROR(__xludf.DUMMYFUNCTION("GoogleFinance(B119,""name"")"),"Nano Nuclear Energy Inc")</f>
        <v>Nano Nuclear Energy Inc</v>
      </c>
      <c r="D119" s="234">
        <f ca="1">IFERROR(__xludf.DUMMYFUNCTION("GoogleFinance(B119,""marketcap"")/1000000"),1633.704562)</f>
        <v>1633.7045619999999</v>
      </c>
      <c r="E119" s="246" t="s">
        <v>11</v>
      </c>
      <c r="F119" s="246" t="s">
        <v>339</v>
      </c>
      <c r="G119" s="230">
        <v>45632</v>
      </c>
      <c r="H119" s="588">
        <v>25.95</v>
      </c>
      <c r="I119" s="506">
        <v>26.19</v>
      </c>
      <c r="J119" s="507">
        <f t="shared" si="20"/>
        <v>38.18251240931653</v>
      </c>
      <c r="K119" s="249">
        <f t="shared" si="9"/>
        <v>1000</v>
      </c>
      <c r="L119" s="249">
        <v>950.74455899198153</v>
      </c>
      <c r="M119" s="249">
        <f t="shared" si="10"/>
        <v>990.83619702176395</v>
      </c>
      <c r="N119" s="508">
        <f t="shared" si="11"/>
        <v>-9.1638029782360491</v>
      </c>
      <c r="O119" s="509">
        <f t="shared" si="12"/>
        <v>-9.1638029782360499E-3</v>
      </c>
      <c r="P119" s="751">
        <f t="shared" si="13"/>
        <v>33</v>
      </c>
      <c r="Q119" s="761">
        <f t="shared" si="17"/>
        <v>40.091638029782416</v>
      </c>
      <c r="R119" s="762">
        <f t="shared" si="18"/>
        <v>4.2168674698795247E-2</v>
      </c>
      <c r="S119" s="752" t="s">
        <v>431</v>
      </c>
      <c r="T119" s="744">
        <v>45665</v>
      </c>
      <c r="U119" s="29" t="s">
        <v>281</v>
      </c>
      <c r="V119" s="339"/>
      <c r="W119" s="339"/>
      <c r="X119" s="14"/>
      <c r="Y119" s="14"/>
      <c r="Z119" s="14"/>
      <c r="AA119" s="14"/>
      <c r="AB119" s="14"/>
      <c r="AC119" s="14"/>
      <c r="AD119" s="14"/>
      <c r="AE119" s="14"/>
      <c r="AF119" s="4"/>
      <c r="AG119" s="4"/>
      <c r="AH119" s="14"/>
      <c r="AI119" s="14"/>
      <c r="AJ119" s="332"/>
      <c r="AK119" s="332"/>
      <c r="AL119" s="332"/>
      <c r="AM119" s="332"/>
      <c r="AN119" s="332"/>
      <c r="AO119" s="332"/>
      <c r="AP119" s="332"/>
      <c r="AQ119" s="28"/>
      <c r="AR119" s="332"/>
      <c r="AS119" s="28"/>
      <c r="AT119" s="28"/>
      <c r="AU119" s="28"/>
      <c r="AV119" s="28"/>
      <c r="AW119" s="28"/>
      <c r="AX119" s="28"/>
      <c r="AY119" s="28"/>
      <c r="AZ119" s="28"/>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24"/>
      <c r="BY119" s="24"/>
      <c r="BZ119" s="24"/>
      <c r="CA119" s="24"/>
      <c r="CB119" s="24"/>
      <c r="CC119" s="24"/>
      <c r="CD119" s="24"/>
    </row>
    <row r="120" spans="1:82" ht="15.75" customHeight="1">
      <c r="A120" s="294">
        <f t="shared" si="15"/>
        <v>19</v>
      </c>
      <c r="B120" s="1" t="s">
        <v>446</v>
      </c>
      <c r="C120" s="233" t="str">
        <f ca="1">IFERROR(__xludf.DUMMYFUNCTION("GoogleFinance(B120,""name"")"),"KraneShares CSI China Internet ETF")</f>
        <v>KraneShares CSI China Internet ETF</v>
      </c>
      <c r="D120" s="234" t="str">
        <f ca="1">IFERROR(__xludf.DUMMYFUNCTION("GoogleFinance(B120,""marketcap"")/1000000"),"#N/A")</f>
        <v>#N/A</v>
      </c>
      <c r="E120" s="246" t="s">
        <v>261</v>
      </c>
      <c r="F120" s="246" t="s">
        <v>7</v>
      </c>
      <c r="G120" s="230">
        <v>45391</v>
      </c>
      <c r="H120" s="588">
        <v>28.07</v>
      </c>
      <c r="I120" s="506">
        <v>27</v>
      </c>
      <c r="J120" s="507">
        <f>K120/I120</f>
        <v>185.18518518518519</v>
      </c>
      <c r="K120" s="249">
        <v>5000</v>
      </c>
      <c r="L120" s="249">
        <v>5414.8148148148148</v>
      </c>
      <c r="M120" s="249">
        <f t="shared" si="10"/>
        <v>5198.1481481481487</v>
      </c>
      <c r="N120" s="508">
        <f t="shared" si="11"/>
        <v>198.14814814814872</v>
      </c>
      <c r="O120" s="509">
        <f t="shared" si="12"/>
        <v>3.9629629629629744E-2</v>
      </c>
      <c r="P120" s="751">
        <f t="shared" si="13"/>
        <v>274</v>
      </c>
      <c r="Q120" s="761">
        <f t="shared" si="17"/>
        <v>-216.66666666666606</v>
      </c>
      <c r="R120" s="762">
        <f t="shared" si="18"/>
        <v>-4.001367989056076E-2</v>
      </c>
      <c r="S120" s="752" t="s">
        <v>431</v>
      </c>
      <c r="T120" s="744">
        <v>45665</v>
      </c>
      <c r="U120" s="29" t="s">
        <v>281</v>
      </c>
      <c r="V120" s="339"/>
      <c r="W120" s="339"/>
      <c r="X120" s="14"/>
      <c r="Y120" s="14"/>
      <c r="Z120" s="14"/>
      <c r="AA120" s="14"/>
      <c r="AB120" s="14"/>
      <c r="AC120" s="14"/>
      <c r="AD120" s="14"/>
      <c r="AE120" s="14"/>
      <c r="AF120" s="4"/>
      <c r="AG120" s="4"/>
      <c r="AH120" s="14"/>
      <c r="AI120" s="14"/>
      <c r="AJ120" s="332"/>
      <c r="AK120" s="332"/>
      <c r="AL120" s="332"/>
      <c r="AM120" s="332"/>
      <c r="AN120" s="332"/>
      <c r="AO120" s="332"/>
      <c r="AP120" s="332"/>
      <c r="AQ120" s="28"/>
      <c r="AR120" s="332"/>
      <c r="AS120" s="28"/>
      <c r="AT120" s="28"/>
      <c r="AU120" s="28"/>
      <c r="AV120" s="28"/>
      <c r="AW120" s="28"/>
      <c r="AX120" s="28"/>
      <c r="AY120" s="28"/>
      <c r="AZ120" s="28"/>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24"/>
      <c r="BY120" s="24"/>
      <c r="BZ120" s="24"/>
      <c r="CA120" s="24"/>
      <c r="CB120" s="24"/>
      <c r="CC120" s="24"/>
      <c r="CD120" s="24"/>
    </row>
    <row r="121" spans="1:82" ht="15.75" customHeight="1">
      <c r="A121" s="294">
        <f t="shared" si="15"/>
        <v>20</v>
      </c>
      <c r="B121" s="765" t="s">
        <v>376</v>
      </c>
      <c r="C121" s="766" t="str">
        <f ca="1">IFERROR(__xludf.DUMMYFUNCTION("GoogleFinance(B121,""name"")"),"Grupo Financiero Galicia SA")</f>
        <v>Grupo Financiero Galicia SA</v>
      </c>
      <c r="D121" s="767">
        <f ca="1">IFERROR(__xludf.DUMMYFUNCTION("GoogleFinance(B121,""marketcap"")/1000000"),4112.099185)</f>
        <v>4112.099185</v>
      </c>
      <c r="E121" s="559" t="s">
        <v>14</v>
      </c>
      <c r="F121" s="559" t="s">
        <v>21</v>
      </c>
      <c r="G121" s="768">
        <v>45238</v>
      </c>
      <c r="H121" s="561">
        <v>71</v>
      </c>
      <c r="I121" s="769">
        <v>11.73</v>
      </c>
      <c r="J121" s="770">
        <v>30</v>
      </c>
      <c r="K121" s="771">
        <f t="shared" ref="K121:K125" si="21">J121*I121</f>
        <v>351.90000000000003</v>
      </c>
      <c r="L121" s="772">
        <v>1869.6</v>
      </c>
      <c r="M121" s="771">
        <f t="shared" si="10"/>
        <v>2130</v>
      </c>
      <c r="N121" s="773">
        <f t="shared" si="11"/>
        <v>1778.1</v>
      </c>
      <c r="O121" s="774">
        <f t="shared" si="12"/>
        <v>5.0528559249786866</v>
      </c>
      <c r="P121" s="751">
        <f t="shared" si="13"/>
        <v>427</v>
      </c>
      <c r="Q121" s="761">
        <f t="shared" si="17"/>
        <v>260.40000000000009</v>
      </c>
      <c r="R121" s="762">
        <f t="shared" si="18"/>
        <v>0.13928112965340186</v>
      </c>
      <c r="S121" s="752" t="s">
        <v>431</v>
      </c>
      <c r="T121" s="744">
        <v>45665</v>
      </c>
      <c r="U121" s="29" t="s">
        <v>281</v>
      </c>
      <c r="V121" s="339"/>
      <c r="W121" s="339"/>
      <c r="X121" s="14"/>
      <c r="Y121" s="14"/>
      <c r="Z121" s="14"/>
      <c r="AA121" s="14"/>
      <c r="AB121" s="14"/>
      <c r="AC121" s="14"/>
      <c r="AD121" s="14"/>
      <c r="AE121" s="14"/>
      <c r="AF121" s="4"/>
      <c r="AG121" s="4"/>
      <c r="AH121" s="14"/>
      <c r="AI121" s="14"/>
      <c r="AJ121" s="332"/>
      <c r="AK121" s="332"/>
      <c r="AL121" s="332"/>
      <c r="AM121" s="332"/>
      <c r="AN121" s="332"/>
      <c r="AO121" s="332"/>
      <c r="AP121" s="332"/>
      <c r="AQ121" s="28"/>
      <c r="AR121" s="332"/>
      <c r="AS121" s="28"/>
      <c r="AT121" s="28"/>
      <c r="AU121" s="28"/>
      <c r="AV121" s="28"/>
      <c r="AW121" s="28"/>
      <c r="AX121" s="28"/>
      <c r="AY121" s="28"/>
      <c r="AZ121" s="28"/>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24"/>
      <c r="BY121" s="24"/>
      <c r="BZ121" s="24"/>
      <c r="CA121" s="24"/>
      <c r="CB121" s="24"/>
      <c r="CC121" s="24"/>
      <c r="CD121" s="24"/>
    </row>
    <row r="122" spans="1:82" ht="15.75" customHeight="1">
      <c r="A122" s="294">
        <f t="shared" si="15"/>
        <v>21</v>
      </c>
      <c r="B122" s="1" t="s">
        <v>447</v>
      </c>
      <c r="C122" s="233" t="str">
        <f ca="1">IFERROR(__xludf.DUMMYFUNCTION("GoogleFinance(B122,""name"")"),"Oklo Inc")</f>
        <v>Oklo Inc</v>
      </c>
      <c r="D122" s="234">
        <f ca="1">IFERROR(__xludf.DUMMYFUNCTION("GoogleFinance(B122,""marketcap"")/1000000"),16315.233642)</f>
        <v>16315.233641999999</v>
      </c>
      <c r="E122" s="246" t="s">
        <v>380</v>
      </c>
      <c r="F122" s="246" t="s">
        <v>448</v>
      </c>
      <c r="G122" s="230">
        <v>45632</v>
      </c>
      <c r="H122" s="588">
        <v>26</v>
      </c>
      <c r="I122" s="506">
        <v>21.21</v>
      </c>
      <c r="J122" s="507">
        <f t="shared" ref="J122:J123" si="22">1500/I122</f>
        <v>70.721357850070717</v>
      </c>
      <c r="K122" s="249">
        <f t="shared" si="21"/>
        <v>1500</v>
      </c>
      <c r="L122" s="772">
        <v>1501.4144271570015</v>
      </c>
      <c r="M122" s="249">
        <f t="shared" si="10"/>
        <v>1838.7553041018386</v>
      </c>
      <c r="N122" s="508">
        <f t="shared" si="11"/>
        <v>338.75530410183865</v>
      </c>
      <c r="O122" s="509">
        <f t="shared" si="12"/>
        <v>0.22583686940122577</v>
      </c>
      <c r="P122" s="751">
        <f t="shared" si="13"/>
        <v>33</v>
      </c>
      <c r="Q122" s="761">
        <f t="shared" si="17"/>
        <v>337.34087694483719</v>
      </c>
      <c r="R122" s="762">
        <f t="shared" si="18"/>
        <v>0.22468205369759764</v>
      </c>
      <c r="S122" s="752" t="s">
        <v>431</v>
      </c>
      <c r="T122" s="744">
        <v>45665</v>
      </c>
      <c r="U122" s="29" t="s">
        <v>281</v>
      </c>
      <c r="V122" s="339"/>
      <c r="W122" s="339"/>
      <c r="X122" s="14"/>
      <c r="Y122" s="14"/>
      <c r="Z122" s="14"/>
      <c r="AA122" s="14"/>
      <c r="AB122" s="14"/>
      <c r="AC122" s="14"/>
      <c r="AD122" s="14"/>
      <c r="AE122" s="14"/>
      <c r="AF122" s="4"/>
      <c r="AG122" s="4"/>
      <c r="AH122" s="14"/>
      <c r="AI122" s="14"/>
      <c r="AJ122" s="332"/>
      <c r="AK122" s="332"/>
      <c r="AL122" s="332"/>
      <c r="AM122" s="332"/>
      <c r="AN122" s="332"/>
      <c r="AO122" s="332"/>
      <c r="AP122" s="332"/>
      <c r="AQ122" s="28"/>
      <c r="AR122" s="332"/>
      <c r="AS122" s="28"/>
      <c r="AT122" s="28"/>
      <c r="AU122" s="28"/>
      <c r="AV122" s="28"/>
      <c r="AW122" s="28"/>
      <c r="AX122" s="28"/>
      <c r="AY122" s="28"/>
      <c r="AZ122" s="28"/>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24"/>
      <c r="BY122" s="24"/>
      <c r="BZ122" s="24"/>
      <c r="CA122" s="24"/>
      <c r="CB122" s="24"/>
      <c r="CC122" s="24"/>
      <c r="CD122" s="24"/>
    </row>
    <row r="123" spans="1:82" ht="15.75" customHeight="1">
      <c r="A123" s="294">
        <f t="shared" si="15"/>
        <v>22</v>
      </c>
      <c r="B123" s="270" t="s">
        <v>449</v>
      </c>
      <c r="C123" s="271" t="str">
        <f ca="1">IFERROR(__xludf.DUMMYFUNCTION("GoogleFinance(B123,""name"")"),"Riot Platforms Inc")</f>
        <v>Riot Platforms Inc</v>
      </c>
      <c r="D123" s="272">
        <f ca="1">IFERROR(__xludf.DUMMYFUNCTION("GoogleFinance(B123,""marketcap"")/1000000"),6538.632836)</f>
        <v>6538.6328359999998</v>
      </c>
      <c r="E123" s="445" t="s">
        <v>14</v>
      </c>
      <c r="F123" s="445" t="s">
        <v>299</v>
      </c>
      <c r="G123" s="775">
        <v>45656</v>
      </c>
      <c r="H123" s="283">
        <v>13.38</v>
      </c>
      <c r="I123" s="489">
        <v>10.6</v>
      </c>
      <c r="J123" s="776">
        <f t="shared" si="22"/>
        <v>141.50943396226415</v>
      </c>
      <c r="K123" s="449">
        <f t="shared" si="21"/>
        <v>1500</v>
      </c>
      <c r="L123" s="772">
        <v>1444.8113207547171</v>
      </c>
      <c r="M123" s="449">
        <f t="shared" si="10"/>
        <v>1893.3962264150946</v>
      </c>
      <c r="N123" s="449">
        <f t="shared" si="11"/>
        <v>393.39622641509459</v>
      </c>
      <c r="O123" s="291">
        <f t="shared" si="12"/>
        <v>0.26226415094339639</v>
      </c>
      <c r="P123" s="751">
        <f t="shared" si="13"/>
        <v>9</v>
      </c>
      <c r="Q123" s="761">
        <f t="shared" si="17"/>
        <v>448.58490566037744</v>
      </c>
      <c r="R123" s="762">
        <f t="shared" si="18"/>
        <v>0.31047992164544569</v>
      </c>
      <c r="S123" s="752" t="s">
        <v>431</v>
      </c>
      <c r="T123" s="744">
        <v>45665</v>
      </c>
      <c r="U123" s="29" t="s">
        <v>281</v>
      </c>
      <c r="V123" s="339"/>
      <c r="W123" s="339"/>
      <c r="X123" s="14"/>
      <c r="Y123" s="14"/>
      <c r="Z123" s="14"/>
      <c r="AA123" s="14"/>
      <c r="AB123" s="14"/>
      <c r="AC123" s="14"/>
      <c r="AD123" s="14"/>
      <c r="AE123" s="14"/>
      <c r="AF123" s="4"/>
      <c r="AG123" s="4"/>
      <c r="AH123" s="14"/>
      <c r="AI123" s="14"/>
      <c r="AJ123" s="332"/>
      <c r="AK123" s="332"/>
      <c r="AL123" s="332"/>
      <c r="AM123" s="332"/>
      <c r="AN123" s="332"/>
      <c r="AO123" s="332"/>
      <c r="AP123" s="332"/>
      <c r="AQ123" s="28"/>
      <c r="AR123" s="332"/>
      <c r="AS123" s="28"/>
      <c r="AT123" s="28"/>
      <c r="AU123" s="28"/>
      <c r="AV123" s="28"/>
      <c r="AW123" s="28"/>
      <c r="AX123" s="28"/>
      <c r="AY123" s="28"/>
      <c r="AZ123" s="28"/>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24"/>
      <c r="BY123" s="24"/>
      <c r="BZ123" s="24"/>
      <c r="CA123" s="24"/>
      <c r="CB123" s="24"/>
      <c r="CC123" s="24"/>
      <c r="CD123" s="24"/>
    </row>
    <row r="124" spans="1:82" ht="15.75" customHeight="1">
      <c r="A124" s="294">
        <f t="shared" si="15"/>
        <v>23</v>
      </c>
      <c r="B124" s="7" t="s">
        <v>450</v>
      </c>
      <c r="C124" s="377" t="str">
        <f ca="1">IFERROR(__xludf.DUMMYFUNCTION("GoogleFinance(B124,""name"")"),"GraniteShares 2x Long NVDA Daily ETF")</f>
        <v>GraniteShares 2x Long NVDA Daily ETF</v>
      </c>
      <c r="D124" s="378" t="str">
        <f ca="1">IFERROR(__xludf.DUMMYFUNCTION("GoogleFinance(B124,""marketcap"")/1000000"),"#N/A")</f>
        <v>#N/A</v>
      </c>
      <c r="E124" s="392" t="s">
        <v>7</v>
      </c>
      <c r="F124" s="392" t="s">
        <v>23</v>
      </c>
      <c r="G124" s="266">
        <v>45656</v>
      </c>
      <c r="H124" s="588">
        <v>56</v>
      </c>
      <c r="I124" s="490">
        <v>70.400000000000006</v>
      </c>
      <c r="J124" s="589">
        <f>3000/I124</f>
        <v>42.61363636363636</v>
      </c>
      <c r="K124" s="395">
        <f t="shared" si="21"/>
        <v>3000</v>
      </c>
      <c r="L124" s="395">
        <v>2829.119318181818</v>
      </c>
      <c r="M124" s="395">
        <f t="shared" si="10"/>
        <v>2386.363636363636</v>
      </c>
      <c r="N124" s="395">
        <f t="shared" si="11"/>
        <v>-613.63636363636397</v>
      </c>
      <c r="O124" s="396">
        <f t="shared" si="12"/>
        <v>-0.20454545454545467</v>
      </c>
      <c r="P124" s="751">
        <f t="shared" si="13"/>
        <v>28</v>
      </c>
      <c r="Q124" s="761">
        <f t="shared" si="17"/>
        <v>-442.75568181818198</v>
      </c>
      <c r="R124" s="762">
        <f t="shared" si="18"/>
        <v>-0.15649947281217058</v>
      </c>
      <c r="S124" s="752" t="s">
        <v>431</v>
      </c>
      <c r="T124" s="744">
        <v>45684</v>
      </c>
      <c r="U124" s="29" t="s">
        <v>62</v>
      </c>
      <c r="V124" s="339"/>
      <c r="W124" s="339"/>
      <c r="X124" s="14"/>
      <c r="Y124" s="14"/>
      <c r="Z124" s="14"/>
      <c r="AA124" s="14"/>
      <c r="AB124" s="14"/>
      <c r="AC124" s="14"/>
      <c r="AD124" s="14"/>
      <c r="AE124" s="14"/>
      <c r="AF124" s="4"/>
      <c r="AG124" s="4"/>
      <c r="AH124" s="14"/>
      <c r="AI124" s="14"/>
      <c r="AJ124" s="332"/>
      <c r="AK124" s="332"/>
      <c r="AL124" s="332"/>
      <c r="AM124" s="332"/>
      <c r="AN124" s="332"/>
      <c r="AO124" s="332"/>
      <c r="AP124" s="332"/>
      <c r="AQ124" s="28"/>
      <c r="AR124" s="332"/>
      <c r="AS124" s="28"/>
      <c r="AT124" s="28"/>
      <c r="AU124" s="28"/>
      <c r="AV124" s="28"/>
      <c r="AW124" s="28"/>
      <c r="AX124" s="28"/>
      <c r="AY124" s="28"/>
      <c r="AZ124" s="28"/>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24"/>
      <c r="BY124" s="24"/>
      <c r="BZ124" s="24"/>
      <c r="CA124" s="24"/>
      <c r="CB124" s="24"/>
      <c r="CC124" s="24"/>
      <c r="CD124" s="24"/>
    </row>
    <row r="125" spans="1:82" ht="15.75" customHeight="1">
      <c r="A125" s="294">
        <f t="shared" si="15"/>
        <v>24</v>
      </c>
      <c r="B125" s="7" t="s">
        <v>451</v>
      </c>
      <c r="C125" s="377" t="str">
        <f ca="1">IFERROR(__xludf.DUMMYFUNCTION("GoogleFinance(B125,""name"")"),"Palantir Technologies Inc")</f>
        <v>Palantir Technologies Inc</v>
      </c>
      <c r="D125" s="378">
        <f ca="1">IFERROR(__xludf.DUMMYFUNCTION("GoogleFinance(B125,""marketcap"")/1000000"),421078.4)</f>
        <v>421078.4</v>
      </c>
      <c r="E125" s="392" t="s">
        <v>7</v>
      </c>
      <c r="F125" s="392" t="s">
        <v>99</v>
      </c>
      <c r="G125" s="266">
        <v>45679</v>
      </c>
      <c r="H125" s="588">
        <v>103</v>
      </c>
      <c r="I125" s="490">
        <v>75</v>
      </c>
      <c r="J125" s="589">
        <f>2000/I125</f>
        <v>26.666666666666668</v>
      </c>
      <c r="K125" s="395">
        <f t="shared" si="21"/>
        <v>2000</v>
      </c>
      <c r="L125" s="395">
        <v>2000</v>
      </c>
      <c r="M125" s="395">
        <f t="shared" si="10"/>
        <v>2746.666666666667</v>
      </c>
      <c r="N125" s="395">
        <f t="shared" si="11"/>
        <v>746.66666666666697</v>
      </c>
      <c r="O125" s="396">
        <f t="shared" si="12"/>
        <v>0.37333333333333346</v>
      </c>
      <c r="P125" s="751">
        <f t="shared" si="13"/>
        <v>13</v>
      </c>
      <c r="Q125" s="761">
        <f t="shared" si="17"/>
        <v>746.66666666666697</v>
      </c>
      <c r="R125" s="762">
        <f t="shared" si="18"/>
        <v>0.37333333333333346</v>
      </c>
      <c r="S125" s="752" t="s">
        <v>431</v>
      </c>
      <c r="T125" s="744">
        <v>45692</v>
      </c>
      <c r="U125" s="29" t="s">
        <v>281</v>
      </c>
      <c r="V125" s="339"/>
      <c r="W125" s="339"/>
      <c r="X125" s="14"/>
      <c r="Y125" s="14"/>
      <c r="Z125" s="14"/>
      <c r="AA125" s="14"/>
      <c r="AB125" s="14"/>
      <c r="AC125" s="14"/>
      <c r="AD125" s="14"/>
      <c r="AE125" s="14"/>
      <c r="AF125" s="4"/>
      <c r="AG125" s="4"/>
      <c r="AH125" s="14"/>
      <c r="AI125" s="14"/>
      <c r="AJ125" s="332"/>
      <c r="AK125" s="332"/>
      <c r="AL125" s="332"/>
      <c r="AM125" s="332"/>
      <c r="AN125" s="332"/>
      <c r="AO125" s="332"/>
      <c r="AP125" s="332"/>
      <c r="AQ125" s="28"/>
      <c r="AR125" s="332"/>
      <c r="AS125" s="28"/>
      <c r="AT125" s="28"/>
      <c r="AU125" s="28"/>
      <c r="AV125" s="28"/>
      <c r="AW125" s="28"/>
      <c r="AX125" s="28"/>
      <c r="AY125" s="28"/>
      <c r="AZ125" s="28"/>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24"/>
      <c r="BY125" s="24"/>
      <c r="BZ125" s="24"/>
      <c r="CA125" s="24"/>
      <c r="CB125" s="24"/>
      <c r="CC125" s="24"/>
      <c r="CD125" s="24"/>
    </row>
    <row r="126" spans="1:82" ht="15.75" customHeight="1">
      <c r="A126" s="294">
        <f t="shared" si="15"/>
        <v>25</v>
      </c>
      <c r="B126" s="777" t="s">
        <v>447</v>
      </c>
      <c r="C126" s="778" t="str">
        <f ca="1">IFERROR(__xludf.DUMMYFUNCTION("GoogleFinance(B126,""name"")"),"Oklo Inc")</f>
        <v>Oklo Inc</v>
      </c>
      <c r="D126" s="755">
        <f ca="1">IFERROR(__xludf.DUMMYFUNCTION("GoogleFinance(B126,""marketcap"")/1000000"),16315.233642)</f>
        <v>16315.233641999999</v>
      </c>
      <c r="E126" s="756" t="s">
        <v>380</v>
      </c>
      <c r="F126" s="756" t="s">
        <v>448</v>
      </c>
      <c r="G126" s="763">
        <v>45632</v>
      </c>
      <c r="H126" s="588">
        <v>51</v>
      </c>
      <c r="I126" s="490">
        <v>21.21</v>
      </c>
      <c r="J126" s="589">
        <f>250/I126</f>
        <v>11.786892975011787</v>
      </c>
      <c r="K126" s="395">
        <v>250</v>
      </c>
      <c r="L126" s="395">
        <v>250</v>
      </c>
      <c r="M126" s="395">
        <f t="shared" si="10"/>
        <v>601.1315417256011</v>
      </c>
      <c r="N126" s="395">
        <f t="shared" si="11"/>
        <v>351.1315417256011</v>
      </c>
      <c r="O126" s="396">
        <f t="shared" si="12"/>
        <v>1.4045261669024043</v>
      </c>
      <c r="P126" s="751">
        <f t="shared" si="13"/>
        <v>60</v>
      </c>
      <c r="Q126" s="761">
        <f t="shared" si="17"/>
        <v>351.1315417256011</v>
      </c>
      <c r="R126" s="762">
        <f t="shared" si="18"/>
        <v>1.4045261669024043</v>
      </c>
      <c r="S126" s="752" t="s">
        <v>431</v>
      </c>
      <c r="T126" s="744">
        <v>45692</v>
      </c>
      <c r="U126" s="29" t="s">
        <v>281</v>
      </c>
      <c r="V126" s="339"/>
      <c r="W126" s="339"/>
      <c r="X126" s="14"/>
      <c r="Y126" s="14"/>
      <c r="Z126" s="14"/>
      <c r="AA126" s="14"/>
      <c r="AB126" s="14"/>
      <c r="AC126" s="14"/>
      <c r="AD126" s="14"/>
      <c r="AE126" s="14"/>
      <c r="AF126" s="4"/>
      <c r="AG126" s="4"/>
      <c r="AH126" s="14"/>
      <c r="AI126" s="14"/>
      <c r="AJ126" s="332"/>
      <c r="AK126" s="332"/>
      <c r="AL126" s="332"/>
      <c r="AM126" s="332"/>
      <c r="AN126" s="332"/>
      <c r="AO126" s="332"/>
      <c r="AP126" s="332"/>
      <c r="AQ126" s="28"/>
      <c r="AR126" s="332"/>
      <c r="AS126" s="28"/>
      <c r="AT126" s="28"/>
      <c r="AU126" s="28"/>
      <c r="AV126" s="28"/>
      <c r="AW126" s="28"/>
      <c r="AX126" s="28"/>
      <c r="AY126" s="28"/>
      <c r="AZ126" s="28"/>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24"/>
      <c r="BY126" s="24"/>
      <c r="BZ126" s="24"/>
      <c r="CA126" s="24"/>
      <c r="CB126" s="24"/>
      <c r="CC126" s="24"/>
      <c r="CD126" s="24"/>
    </row>
    <row r="127" spans="1:82" ht="15.75" customHeight="1">
      <c r="A127" s="294">
        <f t="shared" si="15"/>
        <v>26</v>
      </c>
      <c r="B127" s="753" t="s">
        <v>444</v>
      </c>
      <c r="C127" s="754" t="str">
        <f ca="1">IFERROR(__xludf.DUMMYFUNCTION("GoogleFinance(B127,""name"")"),"BigBear.ai Holdings Inc")</f>
        <v>BigBear.ai Holdings Inc</v>
      </c>
      <c r="D127" s="755">
        <f ca="1">IFERROR(__xludf.DUMMYFUNCTION("GoogleFinance(B127,""marketcap"")/1000000"),2494.832543)</f>
        <v>2494.832543</v>
      </c>
      <c r="E127" s="756" t="s">
        <v>7</v>
      </c>
      <c r="F127" s="756" t="s">
        <v>263</v>
      </c>
      <c r="G127" s="763">
        <v>45679</v>
      </c>
      <c r="H127" s="758">
        <v>7.6</v>
      </c>
      <c r="I127" s="759">
        <v>4.75</v>
      </c>
      <c r="J127" s="760">
        <f t="shared" ref="J127:J128" si="23">500/I127</f>
        <v>105.26315789473684</v>
      </c>
      <c r="K127" s="761">
        <f t="shared" ref="K127:K128" si="24">J127*I127</f>
        <v>499.99999999999994</v>
      </c>
      <c r="L127" s="761">
        <v>500</v>
      </c>
      <c r="M127" s="761">
        <f t="shared" si="10"/>
        <v>799.99999999999989</v>
      </c>
      <c r="N127" s="761">
        <f t="shared" si="11"/>
        <v>299.99999999999994</v>
      </c>
      <c r="O127" s="762">
        <f t="shared" si="12"/>
        <v>0.6</v>
      </c>
      <c r="P127" s="751">
        <f t="shared" si="13"/>
        <v>15</v>
      </c>
      <c r="Q127" s="761">
        <f t="shared" si="17"/>
        <v>299.99999999999989</v>
      </c>
      <c r="R127" s="762">
        <f t="shared" si="18"/>
        <v>0.59999999999999976</v>
      </c>
      <c r="S127" s="752" t="s">
        <v>431</v>
      </c>
      <c r="T127" s="744">
        <v>45694</v>
      </c>
      <c r="U127" s="29" t="s">
        <v>281</v>
      </c>
      <c r="V127" s="339"/>
      <c r="W127" s="339"/>
      <c r="X127" s="14"/>
      <c r="Y127" s="14"/>
      <c r="Z127" s="14"/>
      <c r="AA127" s="14"/>
      <c r="AB127" s="14"/>
      <c r="AC127" s="14"/>
      <c r="AD127" s="14"/>
      <c r="AE127" s="14"/>
      <c r="AF127" s="4"/>
      <c r="AG127" s="4"/>
      <c r="AH127" s="14"/>
      <c r="AI127" s="14"/>
      <c r="AJ127" s="332"/>
      <c r="AK127" s="332"/>
      <c r="AL127" s="332"/>
      <c r="AM127" s="332"/>
      <c r="AN127" s="332"/>
      <c r="AO127" s="332"/>
      <c r="AP127" s="332"/>
      <c r="AQ127" s="28"/>
      <c r="AR127" s="332"/>
      <c r="AS127" s="28"/>
      <c r="AT127" s="28"/>
      <c r="AU127" s="28"/>
      <c r="AV127" s="28"/>
      <c r="AW127" s="28"/>
      <c r="AX127" s="28"/>
      <c r="AY127" s="28"/>
      <c r="AZ127" s="28"/>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24"/>
      <c r="BY127" s="24"/>
      <c r="BZ127" s="24"/>
      <c r="CA127" s="24"/>
      <c r="CB127" s="24"/>
      <c r="CC127" s="24"/>
      <c r="CD127" s="24"/>
    </row>
    <row r="128" spans="1:82" ht="15.75" customHeight="1">
      <c r="A128" s="294">
        <f t="shared" si="15"/>
        <v>27</v>
      </c>
      <c r="B128" s="753" t="s">
        <v>444</v>
      </c>
      <c r="C128" s="754" t="str">
        <f ca="1">IFERROR(__xludf.DUMMYFUNCTION("GoogleFinance(B128,""name"")"),"BigBear.ai Holdings Inc")</f>
        <v>BigBear.ai Holdings Inc</v>
      </c>
      <c r="D128" s="755">
        <f ca="1">IFERROR(__xludf.DUMMYFUNCTION("GoogleFinance(B128,""marketcap"")/1000000"),2494.832543)</f>
        <v>2494.832543</v>
      </c>
      <c r="E128" s="756" t="s">
        <v>7</v>
      </c>
      <c r="F128" s="756" t="s">
        <v>263</v>
      </c>
      <c r="G128" s="763">
        <v>45679</v>
      </c>
      <c r="H128" s="758">
        <v>9</v>
      </c>
      <c r="I128" s="759">
        <v>4.75</v>
      </c>
      <c r="J128" s="760">
        <f t="shared" si="23"/>
        <v>105.26315789473684</v>
      </c>
      <c r="K128" s="761">
        <f t="shared" si="24"/>
        <v>499.99999999999994</v>
      </c>
      <c r="L128" s="761">
        <v>500</v>
      </c>
      <c r="M128" s="761">
        <f t="shared" si="10"/>
        <v>947.36842105263156</v>
      </c>
      <c r="N128" s="761">
        <f t="shared" si="11"/>
        <v>447.36842105263162</v>
      </c>
      <c r="O128" s="762">
        <f t="shared" si="12"/>
        <v>0.89473684210526339</v>
      </c>
      <c r="P128" s="751">
        <f t="shared" si="13"/>
        <v>16</v>
      </c>
      <c r="Q128" s="761">
        <f t="shared" si="17"/>
        <v>447.36842105263156</v>
      </c>
      <c r="R128" s="762">
        <f t="shared" si="18"/>
        <v>0.89473684210526316</v>
      </c>
      <c r="S128" s="752" t="s">
        <v>431</v>
      </c>
      <c r="T128" s="744">
        <v>45695</v>
      </c>
      <c r="U128" s="29" t="s">
        <v>281</v>
      </c>
      <c r="V128" s="339"/>
      <c r="W128" s="339"/>
      <c r="X128" s="14"/>
      <c r="Y128" s="14"/>
      <c r="Z128" s="14"/>
      <c r="AA128" s="14"/>
      <c r="AB128" s="14"/>
      <c r="AC128" s="14"/>
      <c r="AD128" s="14"/>
      <c r="AE128" s="14"/>
      <c r="AF128" s="4"/>
      <c r="AG128" s="4"/>
      <c r="AH128" s="14"/>
      <c r="AI128" s="14"/>
      <c r="AJ128" s="332"/>
      <c r="AK128" s="332"/>
      <c r="AL128" s="332"/>
      <c r="AM128" s="332"/>
      <c r="AN128" s="332"/>
      <c r="AO128" s="332"/>
      <c r="AP128" s="332"/>
      <c r="AQ128" s="28"/>
      <c r="AR128" s="332"/>
      <c r="AS128" s="28"/>
      <c r="AT128" s="28"/>
      <c r="AU128" s="28"/>
      <c r="AV128" s="28"/>
      <c r="AW128" s="28"/>
      <c r="AX128" s="28"/>
      <c r="AY128" s="28"/>
      <c r="AZ128" s="28"/>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24"/>
      <c r="BY128" s="24"/>
      <c r="BZ128" s="24"/>
      <c r="CA128" s="24"/>
      <c r="CB128" s="24"/>
      <c r="CC128" s="24"/>
      <c r="CD128" s="24"/>
    </row>
    <row r="129" spans="1:82" ht="15.75" customHeight="1">
      <c r="A129" s="294">
        <f t="shared" si="15"/>
        <v>28</v>
      </c>
      <c r="B129" s="7" t="s">
        <v>452</v>
      </c>
      <c r="C129" s="377" t="str">
        <f ca="1">IFERROR(__xludf.DUMMYFUNCTION("GoogleFinance(B129,""name"")"),"MARA Holdings Inc")</f>
        <v>MARA Holdings Inc</v>
      </c>
      <c r="D129" s="378">
        <f ca="1">IFERROR(__xludf.DUMMYFUNCTION("GoogleFinance(B129,""marketcap"")/1000000"),5975.484003)</f>
        <v>5975.4840029999996</v>
      </c>
      <c r="E129" s="392" t="s">
        <v>14</v>
      </c>
      <c r="F129" s="392" t="s">
        <v>299</v>
      </c>
      <c r="G129" s="266">
        <v>45680</v>
      </c>
      <c r="H129" s="588">
        <v>16</v>
      </c>
      <c r="I129" s="490">
        <v>20.03</v>
      </c>
      <c r="J129" s="507">
        <f t="shared" ref="J129:J131" si="25">2000/I129</f>
        <v>99.850224663005491</v>
      </c>
      <c r="K129" s="395">
        <v>2000</v>
      </c>
      <c r="L129" s="395">
        <v>2000</v>
      </c>
      <c r="M129" s="395">
        <f t="shared" si="10"/>
        <v>1597.6035946080879</v>
      </c>
      <c r="N129" s="395">
        <f t="shared" si="11"/>
        <v>-402.39640539191214</v>
      </c>
      <c r="O129" s="396">
        <f t="shared" si="12"/>
        <v>-0.20119820269595606</v>
      </c>
      <c r="P129" s="751">
        <f t="shared" si="13"/>
        <v>22</v>
      </c>
      <c r="Q129" s="761">
        <f t="shared" si="17"/>
        <v>-402.39640539191214</v>
      </c>
      <c r="R129" s="762">
        <f t="shared" si="18"/>
        <v>-0.20119820269595606</v>
      </c>
      <c r="S129" s="752" t="s">
        <v>431</v>
      </c>
      <c r="T129" s="744">
        <v>45702</v>
      </c>
      <c r="U129" s="29" t="s">
        <v>62</v>
      </c>
      <c r="V129" s="339"/>
      <c r="W129" s="339"/>
      <c r="X129" s="14"/>
      <c r="Y129" s="14"/>
      <c r="Z129" s="14"/>
      <c r="AA129" s="14"/>
      <c r="AB129" s="14"/>
      <c r="AC129" s="14"/>
      <c r="AD129" s="14"/>
      <c r="AE129" s="14"/>
      <c r="AF129" s="4"/>
      <c r="AG129" s="4"/>
      <c r="AH129" s="14"/>
      <c r="AI129" s="14"/>
      <c r="AJ129" s="332"/>
      <c r="AK129" s="332"/>
      <c r="AL129" s="332"/>
      <c r="AM129" s="332"/>
      <c r="AN129" s="332"/>
      <c r="AO129" s="332"/>
      <c r="AP129" s="332"/>
      <c r="AQ129" s="28"/>
      <c r="AR129" s="332"/>
      <c r="AS129" s="28"/>
      <c r="AT129" s="28"/>
      <c r="AU129" s="28"/>
      <c r="AV129" s="28"/>
      <c r="AW129" s="28"/>
      <c r="AX129" s="28"/>
      <c r="AY129" s="28"/>
      <c r="AZ129" s="28"/>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24"/>
      <c r="BY129" s="24"/>
      <c r="BZ129" s="24"/>
      <c r="CA129" s="24"/>
      <c r="CB129" s="24"/>
      <c r="CC129" s="24"/>
      <c r="CD129" s="24"/>
    </row>
    <row r="130" spans="1:82" ht="15.75" customHeight="1">
      <c r="A130" s="294">
        <f t="shared" si="15"/>
        <v>29</v>
      </c>
      <c r="B130" s="556" t="s">
        <v>451</v>
      </c>
      <c r="C130" s="557" t="str">
        <f ca="1">IFERROR(__xludf.DUMMYFUNCTION("GoogleFinance(B130,""name"")"),"Palantir Technologies Inc")</f>
        <v>Palantir Technologies Inc</v>
      </c>
      <c r="D130" s="558">
        <f ca="1">IFERROR(__xludf.DUMMYFUNCTION("GoogleFinance(B130,""marketcap"")/1000000"),421078.4)</f>
        <v>421078.4</v>
      </c>
      <c r="E130" s="779" t="s">
        <v>7</v>
      </c>
      <c r="F130" s="779" t="s">
        <v>99</v>
      </c>
      <c r="G130" s="560">
        <v>45679</v>
      </c>
      <c r="H130" s="561">
        <v>109</v>
      </c>
      <c r="I130" s="562">
        <v>75</v>
      </c>
      <c r="J130" s="563">
        <f t="shared" si="25"/>
        <v>26.666666666666668</v>
      </c>
      <c r="K130" s="564">
        <f t="shared" ref="K130:K131" si="26">J130*I130</f>
        <v>2000</v>
      </c>
      <c r="L130" s="564">
        <v>2000</v>
      </c>
      <c r="M130" s="564">
        <f t="shared" si="10"/>
        <v>2906.666666666667</v>
      </c>
      <c r="N130" s="564">
        <f t="shared" si="11"/>
        <v>906.66666666666697</v>
      </c>
      <c r="O130" s="565">
        <f t="shared" si="12"/>
        <v>0.45333333333333348</v>
      </c>
      <c r="P130" s="751">
        <f t="shared" si="13"/>
        <v>28</v>
      </c>
      <c r="Q130" s="761">
        <f t="shared" si="17"/>
        <v>906.66666666666697</v>
      </c>
      <c r="R130" s="762">
        <f t="shared" si="18"/>
        <v>0.45333333333333348</v>
      </c>
      <c r="S130" s="752" t="s">
        <v>431</v>
      </c>
      <c r="T130" s="744">
        <v>45707</v>
      </c>
      <c r="U130" s="29" t="s">
        <v>62</v>
      </c>
      <c r="V130" s="339"/>
      <c r="W130" s="339"/>
      <c r="X130" s="14"/>
      <c r="Y130" s="14"/>
      <c r="Z130" s="14"/>
      <c r="AA130" s="14"/>
      <c r="AB130" s="14"/>
      <c r="AC130" s="14"/>
      <c r="AD130" s="14"/>
      <c r="AE130" s="14"/>
      <c r="AF130" s="4"/>
      <c r="AG130" s="4"/>
      <c r="AH130" s="14"/>
      <c r="AI130" s="14"/>
      <c r="AJ130" s="332"/>
      <c r="AK130" s="332"/>
      <c r="AL130" s="332"/>
      <c r="AM130" s="332"/>
      <c r="AN130" s="332"/>
      <c r="AO130" s="332"/>
      <c r="AP130" s="332"/>
      <c r="AQ130" s="28"/>
      <c r="AR130" s="332"/>
      <c r="AS130" s="28"/>
      <c r="AT130" s="28"/>
      <c r="AU130" s="28"/>
      <c r="AV130" s="28"/>
      <c r="AW130" s="28"/>
      <c r="AX130" s="28"/>
      <c r="AY130" s="28"/>
      <c r="AZ130" s="28"/>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24"/>
      <c r="BY130" s="24"/>
      <c r="BZ130" s="24"/>
      <c r="CA130" s="24"/>
      <c r="CB130" s="24"/>
      <c r="CC130" s="24"/>
      <c r="CD130" s="24"/>
    </row>
    <row r="131" spans="1:82" ht="15.75" customHeight="1">
      <c r="A131" s="294">
        <f t="shared" si="15"/>
        <v>30</v>
      </c>
      <c r="B131" s="354" t="s">
        <v>453</v>
      </c>
      <c r="C131" s="780" t="str">
        <f ca="1">IFERROR(__xludf.DUMMYFUNCTION("GoogleFinance(B131,""name"")"),"C3.ai Inc")</f>
        <v>C3.ai Inc</v>
      </c>
      <c r="D131" s="781">
        <f ca="1">IFERROR(__xludf.DUMMYFUNCTION("GoogleFinance(B131,""marketcap"")/1000000"),2362.743773)</f>
        <v>2362.7437730000001</v>
      </c>
      <c r="E131" s="412" t="s">
        <v>7</v>
      </c>
      <c r="F131" s="412" t="s">
        <v>453</v>
      </c>
      <c r="G131" s="782">
        <v>45699</v>
      </c>
      <c r="H131" s="745">
        <v>29</v>
      </c>
      <c r="I131" s="783">
        <v>32.6</v>
      </c>
      <c r="J131" s="784">
        <f t="shared" si="25"/>
        <v>61.349693251533736</v>
      </c>
      <c r="K131" s="420">
        <f t="shared" si="26"/>
        <v>2000</v>
      </c>
      <c r="L131" s="420">
        <v>2000</v>
      </c>
      <c r="M131" s="420">
        <f t="shared" si="10"/>
        <v>1779.1411042944783</v>
      </c>
      <c r="N131" s="420">
        <f t="shared" si="11"/>
        <v>-220.85889570552172</v>
      </c>
      <c r="O131" s="622">
        <f t="shared" si="12"/>
        <v>-0.11042944785276086</v>
      </c>
      <c r="P131" s="751">
        <f t="shared" si="13"/>
        <v>9</v>
      </c>
      <c r="Q131" s="761">
        <f t="shared" si="17"/>
        <v>-220.85889570552172</v>
      </c>
      <c r="R131" s="762">
        <f t="shared" si="18"/>
        <v>-0.11042944785276086</v>
      </c>
      <c r="S131" s="752" t="s">
        <v>431</v>
      </c>
      <c r="T131" s="744">
        <v>45708</v>
      </c>
      <c r="U131" s="29" t="s">
        <v>62</v>
      </c>
      <c r="V131" s="339"/>
      <c r="W131" s="339"/>
      <c r="X131" s="14"/>
      <c r="Y131" s="14"/>
      <c r="Z131" s="14"/>
      <c r="AA131" s="14"/>
      <c r="AB131" s="14"/>
      <c r="AC131" s="14"/>
      <c r="AD131" s="14"/>
      <c r="AE131" s="14"/>
      <c r="AF131" s="4"/>
      <c r="AG131" s="4"/>
      <c r="AH131" s="14"/>
      <c r="AI131" s="14"/>
      <c r="AJ131" s="332"/>
      <c r="AK131" s="332"/>
      <c r="AL131" s="332"/>
      <c r="AM131" s="332"/>
      <c r="AN131" s="332"/>
      <c r="AO131" s="332"/>
      <c r="AP131" s="332"/>
      <c r="AQ131" s="28"/>
      <c r="AR131" s="332"/>
      <c r="AS131" s="28"/>
      <c r="AT131" s="28"/>
      <c r="AU131" s="28"/>
      <c r="AV131" s="28"/>
      <c r="AW131" s="28"/>
      <c r="AX131" s="28"/>
      <c r="AY131" s="28"/>
      <c r="AZ131" s="28"/>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24"/>
      <c r="BY131" s="24"/>
      <c r="BZ131" s="24"/>
      <c r="CA131" s="24"/>
      <c r="CB131" s="24"/>
      <c r="CC131" s="24"/>
      <c r="CD131" s="24"/>
    </row>
    <row r="132" spans="1:82" ht="15.75" customHeight="1">
      <c r="A132" s="294">
        <f t="shared" si="15"/>
        <v>31</v>
      </c>
      <c r="B132" s="556" t="s">
        <v>447</v>
      </c>
      <c r="C132" s="557" t="str">
        <f ca="1">IFERROR(__xludf.DUMMYFUNCTION("GoogleFinance(B132,""name"")"),"Oklo Inc")</f>
        <v>Oklo Inc</v>
      </c>
      <c r="D132" s="558">
        <f ca="1">IFERROR(__xludf.DUMMYFUNCTION("GoogleFinance(B132,""marketcap"")/1000000"),16315.233642)</f>
        <v>16315.233641999999</v>
      </c>
      <c r="E132" s="779" t="s">
        <v>380</v>
      </c>
      <c r="F132" s="779" t="s">
        <v>448</v>
      </c>
      <c r="G132" s="560">
        <v>45632</v>
      </c>
      <c r="H132" s="561">
        <v>40</v>
      </c>
      <c r="I132" s="562">
        <v>21.21</v>
      </c>
      <c r="J132" s="563">
        <f>250/I132</f>
        <v>11.786892975011787</v>
      </c>
      <c r="K132" s="564">
        <v>250</v>
      </c>
      <c r="L132" s="564">
        <v>250</v>
      </c>
      <c r="M132" s="564">
        <f t="shared" si="10"/>
        <v>471.47571900047149</v>
      </c>
      <c r="N132" s="564">
        <f t="shared" si="11"/>
        <v>221.47571900047149</v>
      </c>
      <c r="O132" s="565">
        <f t="shared" si="12"/>
        <v>0.885902876001886</v>
      </c>
      <c r="P132" s="751">
        <f t="shared" si="13"/>
        <v>76</v>
      </c>
      <c r="Q132" s="761">
        <f t="shared" si="17"/>
        <v>221.47571900047149</v>
      </c>
      <c r="R132" s="762">
        <f t="shared" si="18"/>
        <v>0.885902876001886</v>
      </c>
      <c r="S132" s="752" t="s">
        <v>431</v>
      </c>
      <c r="T132" s="744">
        <v>45708</v>
      </c>
      <c r="U132" s="29" t="s">
        <v>62</v>
      </c>
      <c r="V132" s="339"/>
      <c r="W132" s="339"/>
      <c r="X132" s="14"/>
      <c r="Y132" s="14"/>
      <c r="Z132" s="14"/>
      <c r="AA132" s="14"/>
      <c r="AB132" s="14"/>
      <c r="AC132" s="14"/>
      <c r="AD132" s="14"/>
      <c r="AE132" s="14"/>
      <c r="AF132" s="4"/>
      <c r="AG132" s="4"/>
      <c r="AH132" s="14"/>
      <c r="AI132" s="14"/>
      <c r="AJ132" s="332"/>
      <c r="AK132" s="332"/>
      <c r="AL132" s="332"/>
      <c r="AM132" s="332"/>
      <c r="AN132" s="332"/>
      <c r="AO132" s="332"/>
      <c r="AP132" s="332"/>
      <c r="AQ132" s="28"/>
      <c r="AR132" s="332"/>
      <c r="AS132" s="28"/>
      <c r="AT132" s="28"/>
      <c r="AU132" s="28"/>
      <c r="AV132" s="28"/>
      <c r="AW132" s="28"/>
      <c r="AX132" s="28"/>
      <c r="AY132" s="28"/>
      <c r="AZ132" s="28"/>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24"/>
      <c r="BY132" s="24"/>
      <c r="BZ132" s="24"/>
      <c r="CA132" s="24"/>
      <c r="CB132" s="24"/>
      <c r="CC132" s="24"/>
      <c r="CD132" s="24"/>
    </row>
    <row r="133" spans="1:82" ht="15.75" customHeight="1">
      <c r="A133" s="294">
        <f t="shared" si="15"/>
        <v>32</v>
      </c>
      <c r="B133" s="7" t="s">
        <v>454</v>
      </c>
      <c r="C133" s="377" t="str">
        <f ca="1">IFERROR(__xludf.DUMMYFUNCTION("GoogleFinance(B133,""name"")"),"Coinbase Global Inc")</f>
        <v>Coinbase Global Inc</v>
      </c>
      <c r="D133" s="378">
        <f ca="1">IFERROR(__xludf.DUMMYFUNCTION("GoogleFinance(B133,""marketcap"")/1000000"),80316.279738)</f>
        <v>80316.279737999997</v>
      </c>
      <c r="E133" s="392" t="s">
        <v>14</v>
      </c>
      <c r="F133" s="392" t="s">
        <v>299</v>
      </c>
      <c r="G133" s="266">
        <v>45684</v>
      </c>
      <c r="H133" s="588">
        <v>240</v>
      </c>
      <c r="I133" s="490">
        <v>286.3</v>
      </c>
      <c r="J133" s="507">
        <f>2000/I133</f>
        <v>6.9856793573174985</v>
      </c>
      <c r="K133" s="395">
        <v>2000</v>
      </c>
      <c r="L133" s="395">
        <v>2000</v>
      </c>
      <c r="M133" s="395">
        <f t="shared" si="10"/>
        <v>1676.5630457561997</v>
      </c>
      <c r="N133" s="395">
        <f t="shared" si="11"/>
        <v>-323.4369542438003</v>
      </c>
      <c r="O133" s="396">
        <f t="shared" si="12"/>
        <v>-0.16171847712190016</v>
      </c>
      <c r="P133" s="751">
        <f t="shared" si="13"/>
        <v>25</v>
      </c>
      <c r="Q133" s="761">
        <f t="shared" si="17"/>
        <v>-323.4369542438003</v>
      </c>
      <c r="R133" s="762">
        <f t="shared" si="18"/>
        <v>-0.16171847712190016</v>
      </c>
      <c r="S133" s="752" t="s">
        <v>431</v>
      </c>
      <c r="T133" s="744">
        <v>45709</v>
      </c>
      <c r="U133" s="29" t="s">
        <v>62</v>
      </c>
      <c r="V133" s="339"/>
      <c r="W133" s="339"/>
      <c r="X133" s="14"/>
      <c r="Y133" s="14"/>
      <c r="Z133" s="14"/>
      <c r="AA133" s="14"/>
      <c r="AB133" s="14"/>
      <c r="AC133" s="14"/>
      <c r="AD133" s="14"/>
      <c r="AE133" s="14"/>
      <c r="AF133" s="4"/>
      <c r="AG133" s="4"/>
      <c r="AH133" s="14"/>
      <c r="AI133" s="14"/>
      <c r="AJ133" s="332"/>
      <c r="AK133" s="332"/>
      <c r="AL133" s="332"/>
      <c r="AM133" s="332"/>
      <c r="AN133" s="332"/>
      <c r="AO133" s="332"/>
      <c r="AP133" s="332"/>
      <c r="AQ133" s="28"/>
      <c r="AR133" s="332"/>
      <c r="AS133" s="28"/>
      <c r="AT133" s="28"/>
      <c r="AU133" s="28"/>
      <c r="AV133" s="28"/>
      <c r="AW133" s="28"/>
      <c r="AX133" s="28"/>
      <c r="AY133" s="28"/>
      <c r="AZ133" s="28"/>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24"/>
      <c r="BY133" s="24"/>
      <c r="BZ133" s="24"/>
      <c r="CA133" s="24"/>
      <c r="CB133" s="24"/>
      <c r="CC133" s="24"/>
      <c r="CD133" s="24"/>
    </row>
    <row r="134" spans="1:82" ht="15.75" customHeight="1">
      <c r="A134" s="294">
        <f t="shared" si="15"/>
        <v>33</v>
      </c>
      <c r="B134" s="765" t="s">
        <v>455</v>
      </c>
      <c r="C134" s="766" t="str">
        <f ca="1">IFERROR(__xludf.DUMMYFUNCTION("GoogleFinance(B134,""name"")"),"Baker Hughes Co")</f>
        <v>Baker Hughes Co</v>
      </c>
      <c r="D134" s="767">
        <f ca="1">IFERROR(__xludf.DUMMYFUNCTION("GoogleFinance(B134,""marketcap"")/1000000"),49806.607531)</f>
        <v>49806.607531000001</v>
      </c>
      <c r="E134" s="559" t="s">
        <v>15</v>
      </c>
      <c r="F134" s="559" t="s">
        <v>42</v>
      </c>
      <c r="G134" s="768">
        <v>45463</v>
      </c>
      <c r="H134" s="561">
        <v>45</v>
      </c>
      <c r="I134" s="769">
        <v>32.9</v>
      </c>
      <c r="J134" s="770">
        <v>30.8</v>
      </c>
      <c r="K134" s="771">
        <f>J134*I134</f>
        <v>1013.3199999999999</v>
      </c>
      <c r="L134" s="771">
        <v>1263.4160000000002</v>
      </c>
      <c r="M134" s="771">
        <f t="shared" si="10"/>
        <v>1386</v>
      </c>
      <c r="N134" s="773">
        <f t="shared" si="11"/>
        <v>372.68000000000006</v>
      </c>
      <c r="O134" s="774">
        <f t="shared" si="12"/>
        <v>0.36778115501519765</v>
      </c>
      <c r="P134" s="751">
        <f t="shared" si="13"/>
        <v>250</v>
      </c>
      <c r="Q134" s="761">
        <f t="shared" si="17"/>
        <v>122.58399999999983</v>
      </c>
      <c r="R134" s="762">
        <f t="shared" si="18"/>
        <v>9.7025841053144657E-2</v>
      </c>
      <c r="S134" s="752" t="s">
        <v>431</v>
      </c>
      <c r="T134" s="744">
        <v>45713</v>
      </c>
      <c r="U134" s="29" t="s">
        <v>62</v>
      </c>
      <c r="V134" s="339"/>
      <c r="W134" s="339"/>
      <c r="X134" s="14"/>
      <c r="Y134" s="14"/>
      <c r="Z134" s="14"/>
      <c r="AA134" s="14"/>
      <c r="AB134" s="14"/>
      <c r="AC134" s="14"/>
      <c r="AD134" s="14"/>
      <c r="AE134" s="14"/>
      <c r="AF134" s="4"/>
      <c r="AG134" s="4"/>
      <c r="AH134" s="14"/>
      <c r="AI134" s="14"/>
      <c r="AJ134" s="332"/>
      <c r="AK134" s="332"/>
      <c r="AL134" s="332"/>
      <c r="AM134" s="332"/>
      <c r="AN134" s="332"/>
      <c r="AO134" s="332"/>
      <c r="AP134" s="332"/>
      <c r="AQ134" s="28"/>
      <c r="AR134" s="332"/>
      <c r="AS134" s="28"/>
      <c r="AT134" s="28"/>
      <c r="AU134" s="28"/>
      <c r="AV134" s="28"/>
      <c r="AW134" s="28"/>
      <c r="AX134" s="28"/>
      <c r="AY134" s="28"/>
      <c r="AZ134" s="28"/>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24"/>
      <c r="BY134" s="24"/>
      <c r="BZ134" s="24"/>
      <c r="CA134" s="24"/>
      <c r="CB134" s="24"/>
      <c r="CC134" s="24"/>
      <c r="CD134" s="24"/>
    </row>
    <row r="135" spans="1:82" ht="15.75" customHeight="1">
      <c r="A135" s="294">
        <f t="shared" si="15"/>
        <v>34</v>
      </c>
      <c r="B135" s="7" t="s">
        <v>456</v>
      </c>
      <c r="C135" s="377" t="str">
        <f ca="1">IFERROR(__xludf.DUMMYFUNCTION("GoogleFinance(B135,""name"")"),"Richtech Robotics Inc")</f>
        <v>Richtech Robotics Inc</v>
      </c>
      <c r="D135" s="378">
        <f ca="1">IFERROR(__xludf.DUMMYFUNCTION("GoogleFinance(B135,""marketcap"")/1000000"),675.0326)</f>
        <v>675.0326</v>
      </c>
      <c r="E135" s="246" t="s">
        <v>11</v>
      </c>
      <c r="F135" s="246" t="s">
        <v>28</v>
      </c>
      <c r="G135" s="266">
        <v>45679</v>
      </c>
      <c r="H135" s="588">
        <v>2</v>
      </c>
      <c r="I135" s="490">
        <v>3.85</v>
      </c>
      <c r="J135" s="589">
        <f>1000/I135</f>
        <v>259.74025974025972</v>
      </c>
      <c r="K135" s="395">
        <v>1000</v>
      </c>
      <c r="L135" s="395">
        <v>1000</v>
      </c>
      <c r="M135" s="395">
        <f t="shared" si="10"/>
        <v>519.48051948051943</v>
      </c>
      <c r="N135" s="395">
        <f t="shared" si="11"/>
        <v>-480.51948051948057</v>
      </c>
      <c r="O135" s="396">
        <f t="shared" si="12"/>
        <v>-0.48051948051948057</v>
      </c>
      <c r="P135" s="751">
        <f t="shared" si="13"/>
        <v>34</v>
      </c>
      <c r="Q135" s="761">
        <f t="shared" si="17"/>
        <v>-480.51948051948057</v>
      </c>
      <c r="R135" s="762">
        <f t="shared" si="18"/>
        <v>-0.48051948051948057</v>
      </c>
      <c r="S135" s="752" t="s">
        <v>431</v>
      </c>
      <c r="T135" s="744">
        <v>45713</v>
      </c>
      <c r="U135" s="29" t="s">
        <v>62</v>
      </c>
      <c r="V135" s="339"/>
      <c r="W135" s="339"/>
      <c r="X135" s="14"/>
      <c r="Y135" s="14"/>
      <c r="Z135" s="14"/>
      <c r="AA135" s="14"/>
      <c r="AB135" s="14"/>
      <c r="AC135" s="14"/>
      <c r="AD135" s="14"/>
      <c r="AE135" s="14"/>
      <c r="AF135" s="4"/>
      <c r="AG135" s="4"/>
      <c r="AH135" s="14"/>
      <c r="AI135" s="14"/>
      <c r="AJ135" s="332"/>
      <c r="AK135" s="332"/>
      <c r="AL135" s="332"/>
      <c r="AM135" s="332"/>
      <c r="AN135" s="332"/>
      <c r="AO135" s="332"/>
      <c r="AP135" s="332"/>
      <c r="AQ135" s="28"/>
      <c r="AR135" s="332"/>
      <c r="AS135" s="28"/>
      <c r="AT135" s="28"/>
      <c r="AU135" s="28"/>
      <c r="AV135" s="28"/>
      <c r="AW135" s="28"/>
      <c r="AX135" s="28"/>
      <c r="AY135" s="28"/>
      <c r="AZ135" s="28"/>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24"/>
      <c r="BY135" s="24"/>
      <c r="BZ135" s="24"/>
      <c r="CA135" s="24"/>
      <c r="CB135" s="24"/>
      <c r="CC135" s="24"/>
      <c r="CD135" s="24"/>
    </row>
    <row r="136" spans="1:82" ht="15.75" customHeight="1">
      <c r="A136" s="294">
        <f t="shared" si="15"/>
        <v>35</v>
      </c>
      <c r="B136" s="7" t="s">
        <v>451</v>
      </c>
      <c r="C136" s="377" t="str">
        <f ca="1">IFERROR(__xludf.DUMMYFUNCTION("GoogleFinance(B136,""name"")"),"Palantir Technologies Inc")</f>
        <v>Palantir Technologies Inc</v>
      </c>
      <c r="D136" s="378">
        <f ca="1">IFERROR(__xludf.DUMMYFUNCTION("GoogleFinance(B136,""marketcap"")/1000000"),421078.4)</f>
        <v>421078.4</v>
      </c>
      <c r="E136" s="246" t="s">
        <v>7</v>
      </c>
      <c r="F136" s="246" t="s">
        <v>99</v>
      </c>
      <c r="G136" s="266">
        <v>45708</v>
      </c>
      <c r="H136" s="588">
        <v>94</v>
      </c>
      <c r="I136" s="490">
        <v>100.4</v>
      </c>
      <c r="J136" s="589">
        <f>4000/I136</f>
        <v>39.840637450199203</v>
      </c>
      <c r="K136" s="395">
        <v>4000</v>
      </c>
      <c r="L136" s="395">
        <v>4000</v>
      </c>
      <c r="M136" s="395">
        <f t="shared" si="10"/>
        <v>3745.0199203187253</v>
      </c>
      <c r="N136" s="395">
        <f t="shared" si="11"/>
        <v>-254.98007968127467</v>
      </c>
      <c r="O136" s="396">
        <f t="shared" si="12"/>
        <v>-6.3745019920318668E-2</v>
      </c>
      <c r="P136" s="751">
        <f t="shared" si="13"/>
        <v>5</v>
      </c>
      <c r="Q136" s="761">
        <f t="shared" si="17"/>
        <v>-254.98007968127467</v>
      </c>
      <c r="R136" s="762">
        <f t="shared" si="18"/>
        <v>-6.3745019920318668E-2</v>
      </c>
      <c r="S136" s="752" t="s">
        <v>431</v>
      </c>
      <c r="T136" s="744">
        <v>45713</v>
      </c>
      <c r="U136" s="29" t="s">
        <v>62</v>
      </c>
      <c r="V136" s="339"/>
      <c r="W136" s="339"/>
      <c r="X136" s="14"/>
      <c r="Y136" s="14"/>
      <c r="Z136" s="14"/>
      <c r="AA136" s="14"/>
      <c r="AB136" s="14"/>
      <c r="AC136" s="14"/>
      <c r="AD136" s="14"/>
      <c r="AE136" s="14"/>
      <c r="AF136" s="4"/>
      <c r="AG136" s="4"/>
      <c r="AH136" s="14"/>
      <c r="AI136" s="14"/>
      <c r="AJ136" s="14"/>
      <c r="AK136" s="14"/>
      <c r="AL136" s="14"/>
      <c r="AM136" s="14"/>
      <c r="AN136" s="14"/>
      <c r="AO136" s="14"/>
      <c r="AP136" s="14"/>
      <c r="AQ136" s="1"/>
      <c r="AR136" s="14"/>
      <c r="AS136" s="1"/>
      <c r="AT136" s="1"/>
      <c r="AU136" s="1"/>
      <c r="AV136" s="1"/>
      <c r="AW136" s="1"/>
      <c r="AX136" s="1"/>
      <c r="AY136" s="1"/>
      <c r="AZ136" s="1"/>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24"/>
      <c r="BY136" s="24"/>
      <c r="BZ136" s="24"/>
      <c r="CA136" s="24"/>
      <c r="CB136" s="24"/>
      <c r="CC136" s="24"/>
      <c r="CD136" s="24"/>
    </row>
    <row r="137" spans="1:82" ht="15.75" customHeight="1">
      <c r="A137" s="294">
        <f t="shared" si="15"/>
        <v>36</v>
      </c>
      <c r="B137" s="7" t="s">
        <v>445</v>
      </c>
      <c r="C137" s="377" t="str">
        <f ca="1">IFERROR(__xludf.DUMMYFUNCTION("GoogleFinance(B137,""name"")"),"CXApp Inc")</f>
        <v>CXApp Inc</v>
      </c>
      <c r="D137" s="378">
        <f ca="1">IFERROR(__xludf.DUMMYFUNCTION("GoogleFinance(B137,""marketcap"")/1000000"),17.234517)</f>
        <v>17.234517</v>
      </c>
      <c r="E137" s="246" t="s">
        <v>11</v>
      </c>
      <c r="F137" s="246" t="s">
        <v>339</v>
      </c>
      <c r="G137" s="266">
        <v>45679</v>
      </c>
      <c r="H137" s="588">
        <v>1.2</v>
      </c>
      <c r="I137" s="490">
        <v>2</v>
      </c>
      <c r="J137" s="589">
        <f>1000/I137</f>
        <v>500</v>
      </c>
      <c r="K137" s="395">
        <v>1000</v>
      </c>
      <c r="L137" s="395">
        <v>1000</v>
      </c>
      <c r="M137" s="395">
        <f t="shared" si="10"/>
        <v>600</v>
      </c>
      <c r="N137" s="395">
        <f t="shared" si="11"/>
        <v>-400</v>
      </c>
      <c r="O137" s="396">
        <f t="shared" si="12"/>
        <v>-0.4</v>
      </c>
      <c r="P137" s="751">
        <f t="shared" si="13"/>
        <v>36</v>
      </c>
      <c r="Q137" s="761">
        <f t="shared" si="17"/>
        <v>-400</v>
      </c>
      <c r="R137" s="762">
        <f t="shared" si="18"/>
        <v>-0.4</v>
      </c>
      <c r="S137" s="752" t="s">
        <v>431</v>
      </c>
      <c r="T137" s="744">
        <v>45715</v>
      </c>
      <c r="U137" s="29" t="s">
        <v>62</v>
      </c>
      <c r="V137" s="339"/>
      <c r="W137" s="339"/>
      <c r="X137" s="14"/>
      <c r="Y137" s="14"/>
      <c r="Z137" s="14"/>
      <c r="AA137" s="14"/>
      <c r="AB137" s="14"/>
      <c r="AC137" s="14"/>
      <c r="AD137" s="14"/>
      <c r="AE137" s="14"/>
      <c r="AF137" s="4"/>
      <c r="AG137" s="4"/>
      <c r="AH137" s="14"/>
      <c r="AI137" s="14"/>
      <c r="AJ137" s="332"/>
      <c r="AK137" s="332"/>
      <c r="AL137" s="332"/>
      <c r="AM137" s="332"/>
      <c r="AN137" s="332"/>
      <c r="AO137" s="332"/>
      <c r="AP137" s="332"/>
      <c r="AQ137" s="28"/>
      <c r="AR137" s="332"/>
      <c r="AS137" s="28"/>
      <c r="AT137" s="28"/>
      <c r="AU137" s="28"/>
      <c r="AV137" s="28"/>
      <c r="AW137" s="28"/>
      <c r="AX137" s="28"/>
      <c r="AY137" s="28"/>
      <c r="AZ137" s="28"/>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24"/>
      <c r="BY137" s="24"/>
      <c r="BZ137" s="24"/>
      <c r="CA137" s="24"/>
      <c r="CB137" s="24"/>
      <c r="CC137" s="24"/>
      <c r="CD137" s="24"/>
    </row>
    <row r="138" spans="1:82" ht="15.75" customHeight="1">
      <c r="A138" s="294">
        <f t="shared" si="15"/>
        <v>37</v>
      </c>
      <c r="B138" s="1" t="s">
        <v>457</v>
      </c>
      <c r="C138" s="233" t="str">
        <f ca="1">IFERROR(__xludf.DUMMYFUNCTION("GoogleFinance(B138,""name"")"),"Enphase Energy Inc")</f>
        <v>Enphase Energy Inc</v>
      </c>
      <c r="D138" s="234">
        <f ca="1">IFERROR(__xludf.DUMMYFUNCTION("GoogleFinance(B138,""marketcap"")/1000000"),4772.40055)</f>
        <v>4772.4005500000003</v>
      </c>
      <c r="E138" s="246" t="s">
        <v>15</v>
      </c>
      <c r="F138" s="246" t="s">
        <v>458</v>
      </c>
      <c r="G138" s="230">
        <v>45656</v>
      </c>
      <c r="H138" s="588">
        <v>58</v>
      </c>
      <c r="I138" s="506">
        <v>69.3</v>
      </c>
      <c r="J138" s="507">
        <f>2000/I138</f>
        <v>28.860028860028862</v>
      </c>
      <c r="K138" s="249">
        <f>J138*I138</f>
        <v>2000</v>
      </c>
      <c r="L138" s="249">
        <v>1982.1749459114187</v>
      </c>
      <c r="M138" s="249">
        <f t="shared" si="10"/>
        <v>1673.881673881674</v>
      </c>
      <c r="N138" s="508">
        <f t="shared" si="11"/>
        <v>-326.11832611832597</v>
      </c>
      <c r="O138" s="509">
        <f t="shared" si="12"/>
        <v>-0.16305916305916299</v>
      </c>
      <c r="P138" s="751">
        <f t="shared" si="13"/>
        <v>59</v>
      </c>
      <c r="Q138" s="761">
        <f t="shared" si="17"/>
        <v>-308.29327202974468</v>
      </c>
      <c r="R138" s="762">
        <f t="shared" si="18"/>
        <v>-0.15553282653766423</v>
      </c>
      <c r="S138" s="752" t="s">
        <v>431</v>
      </c>
      <c r="T138" s="744">
        <v>45715</v>
      </c>
      <c r="U138" s="29" t="s">
        <v>62</v>
      </c>
      <c r="V138" s="339"/>
      <c r="W138" s="339"/>
      <c r="X138" s="14"/>
      <c r="Y138" s="14"/>
      <c r="Z138" s="14"/>
      <c r="AA138" s="14"/>
      <c r="AB138" s="14"/>
      <c r="AC138" s="14"/>
      <c r="AD138" s="14"/>
      <c r="AE138" s="14"/>
      <c r="AF138" s="4"/>
      <c r="AG138" s="4"/>
      <c r="AH138" s="14"/>
      <c r="AI138" s="14"/>
      <c r="AJ138" s="332"/>
      <c r="AK138" s="332"/>
      <c r="AL138" s="332"/>
      <c r="AM138" s="332"/>
      <c r="AN138" s="332"/>
      <c r="AO138" s="332"/>
      <c r="AP138" s="332"/>
      <c r="AQ138" s="28"/>
      <c r="AR138" s="332"/>
      <c r="AS138" s="28"/>
      <c r="AT138" s="28"/>
      <c r="AU138" s="28"/>
      <c r="AV138" s="28"/>
      <c r="AW138" s="28"/>
      <c r="AX138" s="28"/>
      <c r="AY138" s="28"/>
      <c r="AZ138" s="28"/>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24"/>
      <c r="BY138" s="24"/>
      <c r="BZ138" s="24"/>
      <c r="CA138" s="24"/>
      <c r="CB138" s="24"/>
      <c r="CC138" s="24"/>
      <c r="CD138" s="24"/>
    </row>
    <row r="139" spans="1:82" ht="15.75" customHeight="1">
      <c r="A139" s="294">
        <f t="shared" si="15"/>
        <v>38</v>
      </c>
      <c r="B139" s="1" t="s">
        <v>459</v>
      </c>
      <c r="C139" s="233" t="str">
        <f ca="1">IFERROR(__xludf.DUMMYFUNCTION("GoogleFinance(B139,""name"")"),"Cactus Inc")</f>
        <v>Cactus Inc</v>
      </c>
      <c r="D139" s="234">
        <f ca="1">IFERROR(__xludf.DUMMYFUNCTION("GoogleFinance(B139,""marketcap"")/1000000"),3316.319802)</f>
        <v>3316.319802</v>
      </c>
      <c r="E139" s="246" t="s">
        <v>15</v>
      </c>
      <c r="F139" s="246" t="s">
        <v>42</v>
      </c>
      <c r="G139" s="230">
        <v>45562</v>
      </c>
      <c r="H139" s="588">
        <v>52</v>
      </c>
      <c r="I139" s="506">
        <v>58.37</v>
      </c>
      <c r="J139" s="507">
        <f>K139/I139</f>
        <v>51.396265204728458</v>
      </c>
      <c r="K139" s="249">
        <v>3000</v>
      </c>
      <c r="L139" s="249">
        <v>2999.4860373479528</v>
      </c>
      <c r="M139" s="249">
        <f t="shared" si="10"/>
        <v>2672.60579064588</v>
      </c>
      <c r="N139" s="508">
        <f t="shared" si="11"/>
        <v>-327.39420935411999</v>
      </c>
      <c r="O139" s="509">
        <f t="shared" si="12"/>
        <v>-0.10913140311804</v>
      </c>
      <c r="P139" s="751">
        <f t="shared" si="13"/>
        <v>153</v>
      </c>
      <c r="Q139" s="761">
        <f t="shared" si="17"/>
        <v>-326.88024670207278</v>
      </c>
      <c r="R139" s="762">
        <f t="shared" si="18"/>
        <v>-0.10897875257025352</v>
      </c>
      <c r="S139" s="752" t="s">
        <v>431</v>
      </c>
      <c r="T139" s="744">
        <v>45715</v>
      </c>
      <c r="U139" s="29" t="s">
        <v>62</v>
      </c>
      <c r="V139" s="339"/>
      <c r="W139" s="339"/>
      <c r="X139" s="14"/>
      <c r="Y139" s="14"/>
      <c r="Z139" s="14"/>
      <c r="AA139" s="14"/>
      <c r="AB139" s="14"/>
      <c r="AC139" s="14"/>
      <c r="AD139" s="14"/>
      <c r="AE139" s="14"/>
      <c r="AF139" s="4"/>
      <c r="AG139" s="4"/>
      <c r="AH139" s="14"/>
      <c r="AI139" s="14"/>
      <c r="AJ139" s="332"/>
      <c r="AK139" s="332"/>
      <c r="AL139" s="332"/>
      <c r="AM139" s="332"/>
      <c r="AN139" s="332"/>
      <c r="AO139" s="332"/>
      <c r="AP139" s="332"/>
      <c r="AQ139" s="28"/>
      <c r="AR139" s="332"/>
      <c r="AS139" s="28"/>
      <c r="AT139" s="28"/>
      <c r="AU139" s="28"/>
      <c r="AV139" s="28"/>
      <c r="AW139" s="28"/>
      <c r="AX139" s="28"/>
      <c r="AY139" s="28"/>
      <c r="AZ139" s="28"/>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24"/>
      <c r="BY139" s="24"/>
      <c r="BZ139" s="24"/>
      <c r="CA139" s="24"/>
      <c r="CB139" s="24"/>
      <c r="CC139" s="24"/>
      <c r="CD139" s="24"/>
    </row>
    <row r="140" spans="1:82" ht="15.75" customHeight="1">
      <c r="A140" s="294">
        <f t="shared" si="15"/>
        <v>39</v>
      </c>
      <c r="B140" s="7" t="s">
        <v>460</v>
      </c>
      <c r="C140" s="377" t="str">
        <f ca="1">IFERROR(__xludf.DUMMYFUNCTION("GoogleFinance(B140,""name"")"),"Arbe Robotics Ltd")</f>
        <v>Arbe Robotics Ltd</v>
      </c>
      <c r="D140" s="378">
        <f ca="1">IFERROR(__xludf.DUMMYFUNCTION("GoogleFinance(B140,""marketcap"")/1000000"),185.818522)</f>
        <v>185.818522</v>
      </c>
      <c r="E140" s="246" t="s">
        <v>7</v>
      </c>
      <c r="F140" s="246" t="s">
        <v>28</v>
      </c>
      <c r="G140" s="266">
        <v>45681</v>
      </c>
      <c r="H140" s="588">
        <v>1.5</v>
      </c>
      <c r="I140" s="490">
        <v>3.21</v>
      </c>
      <c r="J140" s="589">
        <f>1000/I140</f>
        <v>311.52647975077883</v>
      </c>
      <c r="K140" s="395">
        <v>1000</v>
      </c>
      <c r="L140" s="395">
        <v>1000</v>
      </c>
      <c r="M140" s="395">
        <f t="shared" si="10"/>
        <v>467.28971962616822</v>
      </c>
      <c r="N140" s="395">
        <f t="shared" si="11"/>
        <v>-532.71028037383178</v>
      </c>
      <c r="O140" s="396">
        <f t="shared" si="12"/>
        <v>-0.53271028037383172</v>
      </c>
      <c r="P140" s="751">
        <f t="shared" si="13"/>
        <v>40</v>
      </c>
      <c r="Q140" s="761">
        <f t="shared" si="17"/>
        <v>-532.71028037383178</v>
      </c>
      <c r="R140" s="762">
        <f t="shared" si="18"/>
        <v>-0.53271028037383172</v>
      </c>
      <c r="S140" s="752" t="s">
        <v>431</v>
      </c>
      <c r="T140" s="744">
        <v>45721</v>
      </c>
      <c r="U140" s="29" t="s">
        <v>62</v>
      </c>
      <c r="V140" s="339"/>
      <c r="W140" s="339"/>
      <c r="X140" s="14"/>
      <c r="Y140" s="14"/>
      <c r="Z140" s="14"/>
      <c r="AA140" s="14"/>
      <c r="AB140" s="14"/>
      <c r="AC140" s="14"/>
      <c r="AD140" s="14"/>
      <c r="AE140" s="14"/>
      <c r="AF140" s="4"/>
      <c r="AG140" s="4"/>
      <c r="AH140" s="14"/>
      <c r="AI140" s="14"/>
      <c r="AJ140" s="332"/>
      <c r="AK140" s="332"/>
      <c r="AL140" s="332"/>
      <c r="AM140" s="332"/>
      <c r="AN140" s="332"/>
      <c r="AO140" s="332"/>
      <c r="AP140" s="332"/>
      <c r="AQ140" s="28"/>
      <c r="AR140" s="332"/>
      <c r="AS140" s="28"/>
      <c r="AT140" s="28"/>
      <c r="AU140" s="28"/>
      <c r="AV140" s="28"/>
      <c r="AW140" s="28"/>
      <c r="AX140" s="28"/>
      <c r="AY140" s="28"/>
      <c r="AZ140" s="28"/>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24"/>
      <c r="BY140" s="24"/>
      <c r="BZ140" s="24"/>
      <c r="CA140" s="24"/>
      <c r="CB140" s="24"/>
      <c r="CC140" s="24"/>
      <c r="CD140" s="24"/>
    </row>
    <row r="141" spans="1:82" ht="15.75" customHeight="1">
      <c r="A141" s="294">
        <f t="shared" si="15"/>
        <v>40</v>
      </c>
      <c r="B141" s="390" t="s">
        <v>214</v>
      </c>
      <c r="C141" s="438" t="str">
        <f ca="1">IFERROR(__xludf.DUMMYFUNCTION("GoogleFinance(B141,""name"")"),"JPMorgan US Tech Leaders ETF")</f>
        <v>JPMorgan US Tech Leaders ETF</v>
      </c>
      <c r="D141" s="234" t="str">
        <f ca="1">IFERROR(__xludf.DUMMYFUNCTION("GoogleFinance(B141,""marketcap"")/1000000"),"#N/A")</f>
        <v>#N/A</v>
      </c>
      <c r="E141" s="393" t="s">
        <v>7</v>
      </c>
      <c r="F141" s="229" t="s">
        <v>436</v>
      </c>
      <c r="G141" s="230">
        <v>45642</v>
      </c>
      <c r="H141" s="228">
        <v>75</v>
      </c>
      <c r="I141" s="506">
        <f t="shared" ref="I141:I142" si="27">K141/J141</f>
        <v>79.020979278814238</v>
      </c>
      <c r="J141" s="507">
        <f>20000/80.3+48000/78.5</f>
        <v>860.5309706435263</v>
      </c>
      <c r="K141" s="249">
        <f>68000</f>
        <v>68000</v>
      </c>
      <c r="L141" s="249">
        <f>18846.8244084682+48000</f>
        <v>66846.824408468208</v>
      </c>
      <c r="M141" s="249">
        <f t="shared" si="10"/>
        <v>64539.822798264475</v>
      </c>
      <c r="N141" s="508">
        <f t="shared" si="11"/>
        <v>-3460.1772017355252</v>
      </c>
      <c r="O141" s="509">
        <f t="shared" si="12"/>
        <v>-5.0884958849051844E-2</v>
      </c>
      <c r="P141" s="751">
        <f t="shared" si="13"/>
        <v>79</v>
      </c>
      <c r="Q141" s="761">
        <f t="shared" si="17"/>
        <v>-2307.0016102037334</v>
      </c>
      <c r="R141" s="762">
        <f t="shared" si="18"/>
        <v>-3.4511760739848706E-2</v>
      </c>
      <c r="S141" s="752" t="s">
        <v>431</v>
      </c>
      <c r="T141" s="744">
        <v>45721</v>
      </c>
      <c r="U141" s="29" t="s">
        <v>62</v>
      </c>
      <c r="V141" s="339"/>
      <c r="W141" s="339"/>
      <c r="X141" s="14"/>
      <c r="Y141" s="14"/>
      <c r="Z141" s="14"/>
      <c r="AA141" s="14"/>
      <c r="AB141" s="14"/>
      <c r="AC141" s="14"/>
      <c r="AD141" s="14"/>
      <c r="AE141" s="14"/>
      <c r="AF141" s="4"/>
      <c r="AG141" s="4"/>
      <c r="AH141" s="14"/>
      <c r="AI141" s="14"/>
      <c r="AJ141" s="332"/>
      <c r="AK141" s="332"/>
      <c r="AL141" s="332"/>
      <c r="AM141" s="332"/>
      <c r="AN141" s="332"/>
      <c r="AO141" s="332"/>
      <c r="AP141" s="332"/>
      <c r="AQ141" s="28"/>
      <c r="AR141" s="332"/>
      <c r="AS141" s="28"/>
      <c r="AT141" s="28"/>
      <c r="AU141" s="28"/>
      <c r="AV141" s="28"/>
      <c r="AW141" s="28"/>
      <c r="AX141" s="28"/>
      <c r="AY141" s="28"/>
      <c r="AZ141" s="28"/>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24"/>
      <c r="BY141" s="24"/>
      <c r="BZ141" s="24"/>
      <c r="CA141" s="24"/>
      <c r="CB141" s="24"/>
      <c r="CC141" s="24"/>
      <c r="CD141" s="24"/>
    </row>
    <row r="142" spans="1:82" ht="15.75" customHeight="1">
      <c r="A142" s="294">
        <f t="shared" si="15"/>
        <v>41</v>
      </c>
      <c r="B142" s="7" t="s">
        <v>449</v>
      </c>
      <c r="C142" s="377" t="str">
        <f ca="1">IFERROR(__xludf.DUMMYFUNCTION("GoogleFinance(B142,""name"")"),"Riot Platforms Inc")</f>
        <v>Riot Platforms Inc</v>
      </c>
      <c r="D142" s="378">
        <f ca="1">IFERROR(__xludf.DUMMYFUNCTION("GoogleFinance(B142,""marketcap"")/1000000"),6538.632836)</f>
        <v>6538.6328359999998</v>
      </c>
      <c r="E142" s="392" t="s">
        <v>14</v>
      </c>
      <c r="F142" s="392" t="s">
        <v>299</v>
      </c>
      <c r="G142" s="266">
        <v>45656</v>
      </c>
      <c r="H142" s="588">
        <v>7.6</v>
      </c>
      <c r="I142" s="490">
        <f t="shared" si="27"/>
        <v>11.614401858304298</v>
      </c>
      <c r="J142" s="589">
        <f>47.2+125</f>
        <v>172.2</v>
      </c>
      <c r="K142" s="395">
        <v>2000</v>
      </c>
      <c r="L142" s="395">
        <v>1758.162</v>
      </c>
      <c r="M142" s="395">
        <f t="shared" si="10"/>
        <v>1308.7199999999998</v>
      </c>
      <c r="N142" s="395">
        <f t="shared" si="11"/>
        <v>-691.2800000000002</v>
      </c>
      <c r="O142" s="396">
        <f t="shared" si="12"/>
        <v>-0.34564000000000011</v>
      </c>
      <c r="P142" s="751">
        <f t="shared" si="13"/>
        <v>70</v>
      </c>
      <c r="Q142" s="761">
        <f t="shared" si="17"/>
        <v>-449.44200000000023</v>
      </c>
      <c r="R142" s="762">
        <f t="shared" si="18"/>
        <v>-0.2556317335945153</v>
      </c>
      <c r="S142" s="752" t="s">
        <v>431</v>
      </c>
      <c r="T142" s="744">
        <v>45726</v>
      </c>
      <c r="U142" s="29" t="s">
        <v>62</v>
      </c>
      <c r="V142" s="339"/>
      <c r="W142" s="339"/>
      <c r="X142" s="14"/>
      <c r="Y142" s="14"/>
      <c r="Z142" s="14"/>
      <c r="AA142" s="14"/>
      <c r="AB142" s="14"/>
      <c r="AC142" s="14"/>
      <c r="AD142" s="14"/>
      <c r="AE142" s="14"/>
      <c r="AF142" s="4"/>
      <c r="AG142" s="4"/>
      <c r="AH142" s="14"/>
      <c r="AI142" s="14"/>
      <c r="AJ142" s="332"/>
      <c r="AK142" s="332"/>
      <c r="AL142" s="332"/>
      <c r="AM142" s="332"/>
      <c r="AN142" s="332"/>
      <c r="AO142" s="332"/>
      <c r="AP142" s="332"/>
      <c r="AQ142" s="28"/>
      <c r="AR142" s="332"/>
      <c r="AS142" s="28"/>
      <c r="AT142" s="28"/>
      <c r="AU142" s="28"/>
      <c r="AV142" s="28"/>
      <c r="AW142" s="28"/>
      <c r="AX142" s="28"/>
      <c r="AY142" s="28"/>
      <c r="AZ142" s="28"/>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24"/>
      <c r="BY142" s="24"/>
      <c r="BZ142" s="24"/>
      <c r="CA142" s="24"/>
      <c r="CB142" s="24"/>
      <c r="CC142" s="24"/>
      <c r="CD142" s="24"/>
    </row>
    <row r="143" spans="1:82" ht="15.75" customHeight="1">
      <c r="A143" s="294">
        <f t="shared" si="15"/>
        <v>42</v>
      </c>
      <c r="B143" s="556" t="s">
        <v>434</v>
      </c>
      <c r="C143" s="557" t="str">
        <f ca="1">IFERROR(__xludf.DUMMYFUNCTION("GoogleFinance(B143,""name"")"),"Rigetti Computing Inc")</f>
        <v>Rigetti Computing Inc</v>
      </c>
      <c r="D143" s="558">
        <f ca="1">IFERROR(__xludf.DUMMYFUNCTION("GoogleFinance(B143,""marketcap"")/1000000"),10107.47)</f>
        <v>10107.469999999999</v>
      </c>
      <c r="E143" s="779" t="s">
        <v>7</v>
      </c>
      <c r="F143" s="779" t="s">
        <v>433</v>
      </c>
      <c r="G143" s="785">
        <v>45603</v>
      </c>
      <c r="H143" s="561">
        <f ca="1">IFERROR(__xludf.DUMMYFUNCTION("GOOGLEFINANCE(B143)"),31.18)</f>
        <v>31.18</v>
      </c>
      <c r="I143" s="562">
        <v>1.4</v>
      </c>
      <c r="J143" s="563">
        <f>20/I143</f>
        <v>14.285714285714286</v>
      </c>
      <c r="K143" s="564">
        <v>20</v>
      </c>
      <c r="L143" s="564">
        <v>218</v>
      </c>
      <c r="M143" s="564">
        <f t="shared" ca="1" si="10"/>
        <v>445.42857142857144</v>
      </c>
      <c r="N143" s="564">
        <f t="shared" ca="1" si="11"/>
        <v>425.42857142857144</v>
      </c>
      <c r="O143" s="565">
        <f t="shared" ca="1" si="12"/>
        <v>21.271428571428572</v>
      </c>
      <c r="P143" s="751">
        <f t="shared" si="13"/>
        <v>127</v>
      </c>
      <c r="Q143" s="761">
        <f t="shared" ca="1" si="17"/>
        <v>227.42857142857144</v>
      </c>
      <c r="R143" s="762">
        <f t="shared" ca="1" si="18"/>
        <v>1.0432503276539975</v>
      </c>
      <c r="S143" s="752" t="s">
        <v>431</v>
      </c>
      <c r="T143" s="744">
        <v>45730</v>
      </c>
      <c r="U143" s="29" t="s">
        <v>281</v>
      </c>
      <c r="V143" s="339"/>
      <c r="W143" s="339"/>
      <c r="X143" s="14"/>
      <c r="Y143" s="14"/>
      <c r="Z143" s="14"/>
      <c r="AA143" s="14"/>
      <c r="AB143" s="14"/>
      <c r="AC143" s="14"/>
      <c r="AD143" s="14"/>
      <c r="AE143" s="14"/>
      <c r="AF143" s="4"/>
      <c r="AG143" s="4"/>
      <c r="AH143" s="14"/>
      <c r="AI143" s="14"/>
      <c r="AJ143" s="332"/>
      <c r="AK143" s="332"/>
      <c r="AL143" s="332"/>
      <c r="AM143" s="332"/>
      <c r="AN143" s="332"/>
      <c r="AO143" s="332"/>
      <c r="AP143" s="332"/>
      <c r="AQ143" s="28"/>
      <c r="AR143" s="332"/>
      <c r="AS143" s="28"/>
      <c r="AT143" s="28"/>
      <c r="AU143" s="28"/>
      <c r="AV143" s="28"/>
      <c r="AW143" s="28"/>
      <c r="AX143" s="28"/>
      <c r="AY143" s="28"/>
      <c r="AZ143" s="28"/>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24"/>
      <c r="BY143" s="24"/>
      <c r="BZ143" s="24"/>
      <c r="CA143" s="24"/>
      <c r="CB143" s="24"/>
      <c r="CC143" s="24"/>
      <c r="CD143" s="24"/>
    </row>
    <row r="144" spans="1:82" ht="15.75" customHeight="1">
      <c r="A144" s="294">
        <f t="shared" si="15"/>
        <v>43</v>
      </c>
      <c r="B144" s="753" t="s">
        <v>432</v>
      </c>
      <c r="C144" s="754" t="str">
        <f ca="1">IFERROR(__xludf.DUMMYFUNCTION("GoogleFinance(B144,""name"")"),"IONQ Inc")</f>
        <v>IONQ Inc</v>
      </c>
      <c r="D144" s="755">
        <f ca="1">IFERROR(__xludf.DUMMYFUNCTION("GoogleFinance(B144,""marketcap"")/1000000"),21735.106365)</f>
        <v>21735.106365</v>
      </c>
      <c r="E144" s="756" t="s">
        <v>7</v>
      </c>
      <c r="F144" s="756" t="s">
        <v>433</v>
      </c>
      <c r="G144" s="757">
        <v>45519</v>
      </c>
      <c r="H144" s="758">
        <v>23.5</v>
      </c>
      <c r="I144" s="759">
        <v>7.51</v>
      </c>
      <c r="J144" s="760">
        <f t="shared" ref="J144:J145" si="28">50/I144</f>
        <v>6.6577896138482027</v>
      </c>
      <c r="K144" s="761">
        <f t="shared" ref="K144:K145" si="29">J144*I144</f>
        <v>50</v>
      </c>
      <c r="L144" s="761">
        <v>278.09587217043946</v>
      </c>
      <c r="M144" s="761">
        <f t="shared" si="10"/>
        <v>156.45805592543277</v>
      </c>
      <c r="N144" s="761">
        <f t="shared" si="11"/>
        <v>106.45805592543277</v>
      </c>
      <c r="O144" s="762">
        <f t="shared" si="12"/>
        <v>2.1291611185086556</v>
      </c>
      <c r="P144" s="751">
        <f t="shared" si="13"/>
        <v>217</v>
      </c>
      <c r="Q144" s="761">
        <f t="shared" si="17"/>
        <v>-121.63781624500669</v>
      </c>
      <c r="R144" s="762">
        <f t="shared" si="18"/>
        <v>-0.43739525975580562</v>
      </c>
      <c r="S144" s="752" t="s">
        <v>431</v>
      </c>
      <c r="T144" s="744">
        <v>45736</v>
      </c>
      <c r="U144" s="29" t="s">
        <v>281</v>
      </c>
      <c r="V144" s="339"/>
      <c r="W144" s="339"/>
      <c r="X144" s="14"/>
      <c r="Y144" s="14"/>
      <c r="Z144" s="14"/>
      <c r="AA144" s="14"/>
      <c r="AB144" s="14"/>
      <c r="AC144" s="14"/>
      <c r="AD144" s="14"/>
      <c r="AE144" s="14"/>
      <c r="AF144" s="4"/>
      <c r="AG144" s="4"/>
      <c r="AH144" s="14"/>
      <c r="AI144" s="14"/>
      <c r="AJ144" s="332"/>
      <c r="AK144" s="332"/>
      <c r="AL144" s="332"/>
      <c r="AM144" s="332"/>
      <c r="AN144" s="332"/>
      <c r="AO144" s="332"/>
      <c r="AP144" s="332"/>
      <c r="AQ144" s="28"/>
      <c r="AR144" s="332"/>
      <c r="AS144" s="28"/>
      <c r="AT144" s="28"/>
      <c r="AU144" s="28"/>
      <c r="AV144" s="28"/>
      <c r="AW144" s="28"/>
      <c r="AX144" s="28"/>
      <c r="AY144" s="28"/>
      <c r="AZ144" s="28"/>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24"/>
      <c r="BY144" s="24"/>
      <c r="BZ144" s="24"/>
      <c r="CA144" s="24"/>
      <c r="CB144" s="24"/>
      <c r="CC144" s="24"/>
      <c r="CD144" s="24"/>
    </row>
    <row r="145" spans="1:82" ht="15.75" customHeight="1">
      <c r="A145" s="294">
        <f t="shared" si="15"/>
        <v>44</v>
      </c>
      <c r="B145" s="753" t="s">
        <v>435</v>
      </c>
      <c r="C145" s="754" t="str">
        <f ca="1">IFERROR(__xludf.DUMMYFUNCTION("GoogleFinance(B145,""name"")"),"D-Wave Quantum Inc")</f>
        <v>D-Wave Quantum Inc</v>
      </c>
      <c r="D145" s="755">
        <f ca="1">IFERROR(__xludf.DUMMYFUNCTION("GoogleFinance(B145,""marketcap"")/1000000"),9152.409786)</f>
        <v>9152.4097860000002</v>
      </c>
      <c r="E145" s="756" t="s">
        <v>7</v>
      </c>
      <c r="F145" s="756" t="s">
        <v>433</v>
      </c>
      <c r="G145" s="763">
        <v>45562</v>
      </c>
      <c r="H145" s="758">
        <v>9.9</v>
      </c>
      <c r="I145" s="759">
        <v>1.01</v>
      </c>
      <c r="J145" s="760">
        <f t="shared" si="28"/>
        <v>49.504950495049506</v>
      </c>
      <c r="K145" s="761">
        <f t="shared" si="29"/>
        <v>50</v>
      </c>
      <c r="L145" s="761">
        <v>416</v>
      </c>
      <c r="M145" s="761">
        <f t="shared" si="10"/>
        <v>490.09900990099015</v>
      </c>
      <c r="N145" s="761">
        <f t="shared" si="11"/>
        <v>440.09900990099015</v>
      </c>
      <c r="O145" s="762">
        <f t="shared" si="12"/>
        <v>8.8019801980198036</v>
      </c>
      <c r="P145" s="751">
        <f t="shared" si="13"/>
        <v>174</v>
      </c>
      <c r="Q145" s="761">
        <f t="shared" si="17"/>
        <v>74.099009900990154</v>
      </c>
      <c r="R145" s="762">
        <f t="shared" si="18"/>
        <v>0.17812261995430326</v>
      </c>
      <c r="S145" s="752" t="s">
        <v>431</v>
      </c>
      <c r="T145" s="744">
        <v>45736</v>
      </c>
      <c r="U145" s="29" t="s">
        <v>281</v>
      </c>
      <c r="V145" s="339"/>
      <c r="W145" s="339"/>
      <c r="X145" s="14"/>
      <c r="Y145" s="14"/>
      <c r="Z145" s="14"/>
      <c r="AA145" s="14"/>
      <c r="AB145" s="14"/>
      <c r="AC145" s="14"/>
      <c r="AD145" s="14"/>
      <c r="AE145" s="14"/>
      <c r="AF145" s="4"/>
      <c r="AG145" s="4"/>
      <c r="AH145" s="14"/>
      <c r="AI145" s="14"/>
      <c r="AJ145" s="332"/>
      <c r="AK145" s="332"/>
      <c r="AL145" s="332"/>
      <c r="AM145" s="332"/>
      <c r="AN145" s="332"/>
      <c r="AO145" s="332"/>
      <c r="AP145" s="332"/>
      <c r="AQ145" s="28"/>
      <c r="AR145" s="332"/>
      <c r="AS145" s="28"/>
      <c r="AT145" s="28"/>
      <c r="AU145" s="28"/>
      <c r="AV145" s="28"/>
      <c r="AW145" s="28"/>
      <c r="AX145" s="28"/>
      <c r="AY145" s="28"/>
      <c r="AZ145" s="28"/>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24"/>
      <c r="BY145" s="24"/>
      <c r="BZ145" s="24"/>
      <c r="CA145" s="24"/>
      <c r="CB145" s="24"/>
      <c r="CC145" s="24"/>
      <c r="CD145" s="24"/>
    </row>
    <row r="146" spans="1:82" ht="15.75" customHeight="1">
      <c r="A146" s="294">
        <f t="shared" si="15"/>
        <v>45</v>
      </c>
      <c r="B146" s="7" t="s">
        <v>437</v>
      </c>
      <c r="C146" s="377" t="str">
        <f ca="1">IFERROR(__xludf.DUMMYFUNCTION("GoogleFinance(B146,""name"")"),"Nano Dimension Ltd - ADR")</f>
        <v>Nano Dimension Ltd - ADR</v>
      </c>
      <c r="D146" s="378">
        <f ca="1">IFERROR(__xludf.DUMMYFUNCTION("GoogleFinance(B146,""marketcap"")/1000000"),347.195905)</f>
        <v>347.19590499999998</v>
      </c>
      <c r="E146" s="246" t="s">
        <v>7</v>
      </c>
      <c r="F146" s="246" t="s">
        <v>438</v>
      </c>
      <c r="G146" s="266">
        <v>45679</v>
      </c>
      <c r="H146" s="588">
        <v>1.78</v>
      </c>
      <c r="I146" s="490">
        <v>2.31</v>
      </c>
      <c r="J146" s="589">
        <f>1000/I146</f>
        <v>432.90043290043292</v>
      </c>
      <c r="K146" s="395">
        <v>1000</v>
      </c>
      <c r="L146" s="395">
        <v>1000</v>
      </c>
      <c r="M146" s="395">
        <f t="shared" si="10"/>
        <v>770.56277056277065</v>
      </c>
      <c r="N146" s="395">
        <f t="shared" si="11"/>
        <v>-229.43722943722935</v>
      </c>
      <c r="O146" s="396">
        <f t="shared" si="12"/>
        <v>-0.22943722943722936</v>
      </c>
      <c r="P146" s="751">
        <f t="shared" si="13"/>
        <v>62</v>
      </c>
      <c r="Q146" s="761">
        <f t="shared" si="17"/>
        <v>-229.43722943722935</v>
      </c>
      <c r="R146" s="762">
        <f t="shared" si="18"/>
        <v>-0.22943722943722936</v>
      </c>
      <c r="S146" s="752" t="s">
        <v>431</v>
      </c>
      <c r="T146" s="744">
        <v>45741</v>
      </c>
      <c r="U146" s="29" t="s">
        <v>62</v>
      </c>
      <c r="V146" s="339"/>
      <c r="W146" s="339"/>
      <c r="X146" s="14"/>
      <c r="Y146" s="14"/>
      <c r="Z146" s="14"/>
      <c r="AA146" s="14"/>
      <c r="AB146" s="14"/>
      <c r="AC146" s="14"/>
      <c r="AD146" s="14"/>
      <c r="AE146" s="14"/>
      <c r="AF146" s="4"/>
      <c r="AG146" s="4"/>
      <c r="AH146" s="14"/>
      <c r="AI146" s="14"/>
      <c r="AJ146" s="332"/>
      <c r="AK146" s="332"/>
      <c r="AL146" s="332"/>
      <c r="AM146" s="332"/>
      <c r="AN146" s="332"/>
      <c r="AO146" s="332"/>
      <c r="AP146" s="332"/>
      <c r="AQ146" s="28"/>
      <c r="AR146" s="332"/>
      <c r="AS146" s="28"/>
      <c r="AT146" s="28"/>
      <c r="AU146" s="28"/>
      <c r="AV146" s="28"/>
      <c r="AW146" s="28"/>
      <c r="AX146" s="28"/>
      <c r="AY146" s="28"/>
      <c r="AZ146" s="28"/>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24"/>
      <c r="BY146" s="24"/>
      <c r="BZ146" s="24"/>
      <c r="CA146" s="24"/>
      <c r="CB146" s="24"/>
      <c r="CC146" s="24"/>
      <c r="CD146" s="24"/>
    </row>
    <row r="147" spans="1:82" ht="15.75" customHeight="1">
      <c r="A147" s="294">
        <f t="shared" si="15"/>
        <v>46</v>
      </c>
      <c r="B147" s="7" t="s">
        <v>285</v>
      </c>
      <c r="C147" s="377" t="str">
        <f ca="1">IFERROR(__xludf.DUMMYFUNCTION("GoogleFinance(B147,""name"")"),"Alphabet Inc Class A")</f>
        <v>Alphabet Inc Class A</v>
      </c>
      <c r="D147" s="378">
        <f ca="1">IFERROR(__xludf.DUMMYFUNCTION("GoogleFinance(B147,""marketcap"")/1000000"),2985902.562886)</f>
        <v>2985902.5628860001</v>
      </c>
      <c r="E147" s="246" t="s">
        <v>7</v>
      </c>
      <c r="F147" s="246" t="s">
        <v>24</v>
      </c>
      <c r="G147" s="266">
        <v>45730</v>
      </c>
      <c r="H147" s="588">
        <v>155</v>
      </c>
      <c r="I147" s="490">
        <v>163.4</v>
      </c>
      <c r="J147" s="589">
        <f>4000/I147</f>
        <v>24.479804161566708</v>
      </c>
      <c r="K147" s="395">
        <v>4000</v>
      </c>
      <c r="L147" s="395">
        <v>4000</v>
      </c>
      <c r="M147" s="395">
        <f t="shared" si="10"/>
        <v>3794.3696450428397</v>
      </c>
      <c r="N147" s="395">
        <f t="shared" si="11"/>
        <v>-205.63035495716031</v>
      </c>
      <c r="O147" s="396">
        <f t="shared" si="12"/>
        <v>-5.1407588739290078E-2</v>
      </c>
      <c r="P147" s="751">
        <f t="shared" si="13"/>
        <v>14</v>
      </c>
      <c r="Q147" s="761">
        <f t="shared" si="17"/>
        <v>-205.63035495716031</v>
      </c>
      <c r="R147" s="762">
        <f t="shared" si="18"/>
        <v>-5.1407588739290078E-2</v>
      </c>
      <c r="S147" s="752" t="s">
        <v>431</v>
      </c>
      <c r="T147" s="744">
        <v>45744</v>
      </c>
      <c r="U147" s="29" t="s">
        <v>62</v>
      </c>
      <c r="V147" s="339"/>
      <c r="W147" s="339"/>
      <c r="X147" s="14"/>
      <c r="Y147" s="14"/>
      <c r="Z147" s="14"/>
      <c r="AA147" s="14"/>
      <c r="AB147" s="14"/>
      <c r="AC147" s="14"/>
      <c r="AD147" s="14"/>
      <c r="AE147" s="14"/>
      <c r="AF147" s="4"/>
      <c r="AG147" s="4"/>
      <c r="AH147" s="14"/>
      <c r="AI147" s="14"/>
      <c r="AJ147" s="332"/>
      <c r="AK147" s="332"/>
      <c r="AL147" s="332"/>
      <c r="AM147" s="332"/>
      <c r="AN147" s="332"/>
      <c r="AO147" s="332"/>
      <c r="AP147" s="332"/>
      <c r="AQ147" s="28"/>
      <c r="AR147" s="332"/>
      <c r="AS147" s="28"/>
      <c r="AT147" s="28"/>
      <c r="AU147" s="28"/>
      <c r="AV147" s="28"/>
      <c r="AW147" s="28"/>
      <c r="AX147" s="28"/>
      <c r="AY147" s="28"/>
      <c r="AZ147" s="28"/>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24"/>
      <c r="BY147" s="24"/>
      <c r="BZ147" s="24"/>
      <c r="CA147" s="24"/>
      <c r="CB147" s="24"/>
      <c r="CC147" s="24"/>
      <c r="CD147" s="24"/>
    </row>
    <row r="148" spans="1:82" ht="15.75" customHeight="1">
      <c r="A148" s="294">
        <f t="shared" si="15"/>
        <v>47</v>
      </c>
      <c r="B148" s="390" t="s">
        <v>214</v>
      </c>
      <c r="C148" s="377" t="str">
        <f ca="1">IFERROR(__xludf.DUMMYFUNCTION("GoogleFinance(B148,""name"")"),"JPMorgan US Tech Leaders ETF")</f>
        <v>JPMorgan US Tech Leaders ETF</v>
      </c>
      <c r="D148" s="378" t="str">
        <f ca="1">IFERROR(__xludf.DUMMYFUNCTION("GoogleFinance(B148,""marketcap"")/1000000"),"#N/A")</f>
        <v>#N/A</v>
      </c>
      <c r="E148" s="246" t="s">
        <v>7</v>
      </c>
      <c r="F148" s="246"/>
      <c r="G148" s="266">
        <v>45727</v>
      </c>
      <c r="H148" s="588">
        <v>62</v>
      </c>
      <c r="I148" s="490">
        <v>67.3</v>
      </c>
      <c r="J148" s="589">
        <f>60000/I148</f>
        <v>891.53046062407134</v>
      </c>
      <c r="K148" s="395">
        <f t="shared" ref="K148:L148" si="30">50000+10000</f>
        <v>60000</v>
      </c>
      <c r="L148" s="395">
        <f t="shared" si="30"/>
        <v>60000</v>
      </c>
      <c r="M148" s="395">
        <f t="shared" si="10"/>
        <v>55274.888558692423</v>
      </c>
      <c r="N148" s="395">
        <f t="shared" si="11"/>
        <v>-4725.1114413075775</v>
      </c>
      <c r="O148" s="396">
        <f t="shared" si="12"/>
        <v>-7.8751857355126298E-2</v>
      </c>
      <c r="P148" s="751">
        <f t="shared" si="13"/>
        <v>23</v>
      </c>
      <c r="Q148" s="761">
        <f t="shared" si="17"/>
        <v>-4725.1114413075775</v>
      </c>
      <c r="R148" s="762">
        <f t="shared" si="18"/>
        <v>-7.8751857355126298E-2</v>
      </c>
      <c r="S148" s="752" t="s">
        <v>431</v>
      </c>
      <c r="T148" s="744">
        <v>45750</v>
      </c>
      <c r="U148" s="29" t="s">
        <v>62</v>
      </c>
      <c r="V148" s="339"/>
      <c r="W148" s="339"/>
      <c r="X148" s="14"/>
      <c r="Y148" s="14"/>
      <c r="Z148" s="14"/>
      <c r="AA148" s="14"/>
      <c r="AB148" s="14"/>
      <c r="AC148" s="14"/>
      <c r="AD148" s="14"/>
      <c r="AE148" s="14"/>
      <c r="AF148" s="4"/>
      <c r="AG148" s="4"/>
      <c r="AH148" s="14"/>
      <c r="AI148" s="14"/>
      <c r="AJ148" s="332"/>
      <c r="AK148" s="332"/>
      <c r="AL148" s="332"/>
      <c r="AM148" s="332"/>
      <c r="AN148" s="332"/>
      <c r="AO148" s="332"/>
      <c r="AP148" s="332"/>
      <c r="AQ148" s="28"/>
      <c r="AR148" s="332"/>
      <c r="AS148" s="28"/>
      <c r="AT148" s="28"/>
      <c r="AU148" s="28"/>
      <c r="AV148" s="28"/>
      <c r="AW148" s="28"/>
      <c r="AX148" s="28"/>
      <c r="AY148" s="28"/>
      <c r="AZ148" s="28"/>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24"/>
      <c r="BY148" s="24"/>
      <c r="BZ148" s="24"/>
      <c r="CA148" s="24"/>
      <c r="CB148" s="24"/>
      <c r="CC148" s="24"/>
      <c r="CD148" s="24"/>
    </row>
    <row r="149" spans="1:82" ht="15.75" customHeight="1">
      <c r="A149" s="294">
        <f t="shared" si="15"/>
        <v>48</v>
      </c>
      <c r="B149" s="7" t="s">
        <v>461</v>
      </c>
      <c r="C149" s="377" t="str">
        <f ca="1">IFERROR(__xludf.DUMMYFUNCTION("GoogleFinance(B149,""name"")"),"Boeing Co")</f>
        <v>Boeing Co</v>
      </c>
      <c r="D149" s="378">
        <f ca="1">IFERROR(__xludf.DUMMYFUNCTION("GoogleFinance(B149,""marketcap"")/1000000"),167307.4928)</f>
        <v>167307.49280000001</v>
      </c>
      <c r="E149" s="246" t="s">
        <v>11</v>
      </c>
      <c r="F149" s="246" t="s">
        <v>462</v>
      </c>
      <c r="G149" s="266">
        <v>45728</v>
      </c>
      <c r="H149" s="588">
        <v>145</v>
      </c>
      <c r="I149" s="490">
        <v>158.66</v>
      </c>
      <c r="J149" s="589">
        <f>3000/I149</f>
        <v>18.908357494012353</v>
      </c>
      <c r="K149" s="395">
        <v>3000</v>
      </c>
      <c r="L149" s="395">
        <v>3000</v>
      </c>
      <c r="M149" s="395">
        <f t="shared" si="10"/>
        <v>2741.7118366317914</v>
      </c>
      <c r="N149" s="395">
        <f t="shared" si="11"/>
        <v>-258.28816336820864</v>
      </c>
      <c r="O149" s="396">
        <f t="shared" si="12"/>
        <v>-8.6096054456069548E-2</v>
      </c>
      <c r="P149" s="751">
        <f t="shared" si="13"/>
        <v>22</v>
      </c>
      <c r="Q149" s="761">
        <f t="shared" si="17"/>
        <v>-258.28816336820864</v>
      </c>
      <c r="R149" s="762">
        <f t="shared" si="18"/>
        <v>-8.6096054456069548E-2</v>
      </c>
      <c r="S149" s="752" t="s">
        <v>431</v>
      </c>
      <c r="T149" s="744">
        <v>45750</v>
      </c>
      <c r="U149" s="29" t="s">
        <v>62</v>
      </c>
      <c r="V149" s="339"/>
      <c r="W149" s="339"/>
      <c r="X149" s="14"/>
      <c r="Y149" s="14"/>
      <c r="Z149" s="14"/>
      <c r="AA149" s="14"/>
      <c r="AB149" s="14"/>
      <c r="AC149" s="14"/>
      <c r="AD149" s="14"/>
      <c r="AE149" s="14"/>
      <c r="AF149" s="4"/>
      <c r="AG149" s="4"/>
      <c r="AH149" s="14"/>
      <c r="AI149" s="14"/>
      <c r="AJ149" s="332"/>
      <c r="AK149" s="332"/>
      <c r="AL149" s="332"/>
      <c r="AM149" s="332"/>
      <c r="AN149" s="332"/>
      <c r="AO149" s="332"/>
      <c r="AP149" s="332"/>
      <c r="AQ149" s="28"/>
      <c r="AR149" s="332"/>
      <c r="AS149" s="28"/>
      <c r="AT149" s="28"/>
      <c r="AU149" s="28"/>
      <c r="AV149" s="28"/>
      <c r="AW149" s="28"/>
      <c r="AX149" s="28"/>
      <c r="AY149" s="28"/>
      <c r="AZ149" s="28"/>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24"/>
      <c r="BY149" s="24"/>
      <c r="BZ149" s="24"/>
      <c r="CA149" s="24"/>
      <c r="CB149" s="24"/>
      <c r="CC149" s="24"/>
      <c r="CD149" s="24"/>
    </row>
    <row r="150" spans="1:82" ht="15.75" customHeight="1">
      <c r="A150" s="294">
        <f t="shared" si="15"/>
        <v>49</v>
      </c>
      <c r="B150" s="7" t="s">
        <v>463</v>
      </c>
      <c r="C150" s="377" t="str">
        <f ca="1">IFERROR(__xludf.DUMMYFUNCTION("GoogleFinance(B150,""name"")"),"Central Puerto SA - ADR")</f>
        <v>Central Puerto SA - ADR</v>
      </c>
      <c r="D150" s="378">
        <f ca="1">IFERROR(__xludf.DUMMYFUNCTION("GoogleFinance(B150,""marketcap"")/1000000"),1489.484219)</f>
        <v>1489.4842189999999</v>
      </c>
      <c r="E150" s="392" t="s">
        <v>36</v>
      </c>
      <c r="F150" s="392" t="s">
        <v>380</v>
      </c>
      <c r="G150" s="266">
        <v>45700</v>
      </c>
      <c r="H150" s="588">
        <v>11</v>
      </c>
      <c r="I150" s="490">
        <v>13.06</v>
      </c>
      <c r="J150" s="589">
        <f>2000/I150</f>
        <v>153.13935681470139</v>
      </c>
      <c r="K150" s="395">
        <f>J150*I150</f>
        <v>2000.0000000000002</v>
      </c>
      <c r="L150" s="395">
        <v>2000</v>
      </c>
      <c r="M150" s="395">
        <f t="shared" si="10"/>
        <v>1684.5329249617153</v>
      </c>
      <c r="N150" s="395">
        <f t="shared" si="11"/>
        <v>-315.46707503828497</v>
      </c>
      <c r="O150" s="396">
        <f t="shared" si="12"/>
        <v>-0.15773353751914246</v>
      </c>
      <c r="P150" s="751">
        <f t="shared" si="13"/>
        <v>50</v>
      </c>
      <c r="Q150" s="761">
        <f t="shared" si="17"/>
        <v>-315.46707503828475</v>
      </c>
      <c r="R150" s="762">
        <f t="shared" si="18"/>
        <v>-0.15773353751914237</v>
      </c>
      <c r="S150" s="752" t="s">
        <v>431</v>
      </c>
      <c r="T150" s="744">
        <v>45750</v>
      </c>
      <c r="U150" s="29" t="s">
        <v>62</v>
      </c>
      <c r="V150" s="339"/>
      <c r="W150" s="339"/>
      <c r="X150" s="14"/>
      <c r="Y150" s="14"/>
      <c r="Z150" s="14"/>
      <c r="AA150" s="14"/>
      <c r="AB150" s="14"/>
      <c r="AC150" s="14"/>
      <c r="AD150" s="14"/>
      <c r="AE150" s="14"/>
      <c r="AF150" s="4"/>
      <c r="AG150" s="4"/>
      <c r="AH150" s="14"/>
      <c r="AI150" s="14"/>
      <c r="AJ150" s="332"/>
      <c r="AK150" s="332"/>
      <c r="AL150" s="332"/>
      <c r="AM150" s="332"/>
      <c r="AN150" s="332"/>
      <c r="AO150" s="332"/>
      <c r="AP150" s="332"/>
      <c r="AQ150" s="28"/>
      <c r="AR150" s="332"/>
      <c r="AS150" s="28"/>
      <c r="AT150" s="28"/>
      <c r="AU150" s="28"/>
      <c r="AV150" s="28"/>
      <c r="AW150" s="28"/>
      <c r="AX150" s="28"/>
      <c r="AY150" s="28"/>
      <c r="AZ150" s="28"/>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24"/>
      <c r="BY150" s="24"/>
      <c r="BZ150" s="24"/>
      <c r="CA150" s="24"/>
      <c r="CB150" s="24"/>
      <c r="CC150" s="24"/>
      <c r="CD150" s="24"/>
    </row>
    <row r="151" spans="1:82" ht="15.75" customHeight="1">
      <c r="A151" s="294">
        <f t="shared" si="15"/>
        <v>50</v>
      </c>
      <c r="B151" s="1" t="s">
        <v>464</v>
      </c>
      <c r="C151" s="233" t="str">
        <f ca="1">IFERROR(__xludf.DUMMYFUNCTION("GoogleFinance(B151,""name"")"),"Nuscale Power Corp")</f>
        <v>Nuscale Power Corp</v>
      </c>
      <c r="D151" s="234">
        <f ca="1">IFERROR(__xludf.DUMMYFUNCTION("GoogleFinance(B151,""marketcap"")/1000000"),10825.3222)</f>
        <v>10825.322200000001</v>
      </c>
      <c r="E151" s="246" t="s">
        <v>15</v>
      </c>
      <c r="F151" s="246" t="s">
        <v>274</v>
      </c>
      <c r="G151" s="786">
        <v>45646</v>
      </c>
      <c r="H151" s="588">
        <v>14</v>
      </c>
      <c r="I151" s="506">
        <v>20</v>
      </c>
      <c r="J151" s="507">
        <f>K151/I151</f>
        <v>50</v>
      </c>
      <c r="K151" s="249">
        <v>1000</v>
      </c>
      <c r="L151" s="249">
        <v>896.5</v>
      </c>
      <c r="M151" s="249">
        <f t="shared" si="10"/>
        <v>700</v>
      </c>
      <c r="N151" s="508">
        <f t="shared" si="11"/>
        <v>-300</v>
      </c>
      <c r="O151" s="509">
        <f t="shared" si="12"/>
        <v>-0.3</v>
      </c>
      <c r="P151" s="751">
        <f t="shared" si="13"/>
        <v>104</v>
      </c>
      <c r="Q151" s="761">
        <f t="shared" si="17"/>
        <v>-196.5</v>
      </c>
      <c r="R151" s="762">
        <f t="shared" si="18"/>
        <v>-0.21918572225320693</v>
      </c>
      <c r="S151" s="752" t="s">
        <v>431</v>
      </c>
      <c r="T151" s="744">
        <v>45750</v>
      </c>
      <c r="U151" s="29" t="s">
        <v>62</v>
      </c>
      <c r="V151" s="339"/>
      <c r="W151" s="339"/>
      <c r="X151" s="14"/>
      <c r="Y151" s="14"/>
      <c r="Z151" s="14"/>
      <c r="AA151" s="14"/>
      <c r="AB151" s="14"/>
      <c r="AC151" s="14"/>
      <c r="AD151" s="14"/>
      <c r="AE151" s="14"/>
      <c r="AF151" s="4"/>
      <c r="AG151" s="4"/>
      <c r="AH151" s="14"/>
      <c r="AI151" s="14"/>
      <c r="AJ151" s="332"/>
      <c r="AK151" s="332"/>
      <c r="AL151" s="332"/>
      <c r="AM151" s="332"/>
      <c r="AN151" s="332"/>
      <c r="AO151" s="332"/>
      <c r="AP151" s="332"/>
      <c r="AQ151" s="28"/>
      <c r="AR151" s="332"/>
      <c r="AS151" s="28"/>
      <c r="AT151" s="28"/>
      <c r="AU151" s="28"/>
      <c r="AV151" s="28"/>
      <c r="AW151" s="28"/>
      <c r="AX151" s="28"/>
      <c r="AY151" s="28"/>
      <c r="AZ151" s="28"/>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24"/>
      <c r="BY151" s="24"/>
      <c r="BZ151" s="24"/>
      <c r="CA151" s="24"/>
      <c r="CB151" s="24"/>
      <c r="CC151" s="24"/>
      <c r="CD151" s="24"/>
    </row>
    <row r="152" spans="1:82" ht="15.75" customHeight="1">
      <c r="A152" s="294">
        <f t="shared" si="15"/>
        <v>51</v>
      </c>
      <c r="B152" s="390" t="s">
        <v>465</v>
      </c>
      <c r="C152" s="377" t="str">
        <f ca="1">IFERROR(__xludf.DUMMYFUNCTION("GoogleFinance(B152,""name"")"),"Direxion Daily TSLA Bull 2X Shares")</f>
        <v>Direxion Daily TSLA Bull 2X Shares</v>
      </c>
      <c r="D152" s="378" t="str">
        <f ca="1">IFERROR(__xludf.DUMMYFUNCTION("GoogleFinance(B152,""marketcap"")/1000000"),"#N/A")</f>
        <v>#N/A</v>
      </c>
      <c r="E152" s="246" t="s">
        <v>10</v>
      </c>
      <c r="F152" s="246" t="s">
        <v>466</v>
      </c>
      <c r="G152" s="266">
        <v>45748</v>
      </c>
      <c r="H152" s="588">
        <v>7</v>
      </c>
      <c r="I152" s="490">
        <v>10.54</v>
      </c>
      <c r="J152" s="589">
        <f>2000/I152</f>
        <v>189.75332068311198</v>
      </c>
      <c r="K152" s="395">
        <v>2000</v>
      </c>
      <c r="L152" s="395">
        <v>2000</v>
      </c>
      <c r="M152" s="395">
        <f t="shared" si="10"/>
        <v>1328.2732447817839</v>
      </c>
      <c r="N152" s="395">
        <f t="shared" si="11"/>
        <v>-671.72675521821611</v>
      </c>
      <c r="O152" s="396">
        <f t="shared" si="12"/>
        <v>-0.33586337760910806</v>
      </c>
      <c r="P152" s="751">
        <f t="shared" si="13"/>
        <v>6</v>
      </c>
      <c r="Q152" s="761">
        <f t="shared" si="17"/>
        <v>-671.72675521821611</v>
      </c>
      <c r="R152" s="762">
        <f t="shared" si="18"/>
        <v>-0.33586337760910806</v>
      </c>
      <c r="S152" s="752" t="s">
        <v>431</v>
      </c>
      <c r="T152" s="744">
        <v>45754</v>
      </c>
      <c r="U152" s="29" t="s">
        <v>62</v>
      </c>
      <c r="V152" s="339"/>
      <c r="W152" s="339"/>
      <c r="X152" s="14"/>
      <c r="Y152" s="14"/>
      <c r="Z152" s="14"/>
      <c r="AA152" s="14"/>
      <c r="AB152" s="14"/>
      <c r="AC152" s="14"/>
      <c r="AD152" s="14"/>
      <c r="AE152" s="14"/>
      <c r="AF152" s="4"/>
      <c r="AG152" s="4"/>
      <c r="AH152" s="14"/>
      <c r="AI152" s="14"/>
      <c r="AJ152" s="332"/>
      <c r="AK152" s="332"/>
      <c r="AL152" s="332"/>
      <c r="AM152" s="332"/>
      <c r="AN152" s="332"/>
      <c r="AO152" s="332"/>
      <c r="AP152" s="332"/>
      <c r="AQ152" s="28"/>
      <c r="AR152" s="332"/>
      <c r="AS152" s="28"/>
      <c r="AT152" s="28"/>
      <c r="AU152" s="28"/>
      <c r="AV152" s="28"/>
      <c r="AW152" s="28"/>
      <c r="AX152" s="28"/>
      <c r="AY152" s="28"/>
      <c r="AZ152" s="28"/>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24"/>
      <c r="BY152" s="24"/>
      <c r="BZ152" s="24"/>
      <c r="CA152" s="24"/>
      <c r="CB152" s="24"/>
      <c r="CC152" s="24"/>
      <c r="CD152" s="24"/>
    </row>
    <row r="153" spans="1:82" ht="15.75" customHeight="1">
      <c r="A153" s="294">
        <f t="shared" si="15"/>
        <v>52</v>
      </c>
      <c r="B153" s="390" t="s">
        <v>467</v>
      </c>
      <c r="C153" s="377" t="str">
        <f ca="1">IFERROR(__xludf.DUMMYFUNCTION("GoogleFinance(B153,""name"")"),"ProShares Short Real Estate")</f>
        <v>ProShares Short Real Estate</v>
      </c>
      <c r="D153" s="378" t="str">
        <f ca="1">IFERROR(__xludf.DUMMYFUNCTION("GoogleFinance(B153,""marketcap"")/1000000"),"#N/A")</f>
        <v>#N/A</v>
      </c>
      <c r="E153" s="246" t="s">
        <v>468</v>
      </c>
      <c r="F153" s="246"/>
      <c r="G153" s="266">
        <v>45727</v>
      </c>
      <c r="H153" s="588">
        <v>18.73</v>
      </c>
      <c r="I153" s="490">
        <v>17.239999999999998</v>
      </c>
      <c r="J153" s="589">
        <f t="shared" ref="J153:J154" si="31">3000/I153</f>
        <v>174.01392111368912</v>
      </c>
      <c r="K153" s="395">
        <v>3000</v>
      </c>
      <c r="L153" s="395">
        <v>3000</v>
      </c>
      <c r="M153" s="395">
        <f t="shared" si="10"/>
        <v>3259.2807424593975</v>
      </c>
      <c r="N153" s="395">
        <f t="shared" si="11"/>
        <v>259.28074245939752</v>
      </c>
      <c r="O153" s="396">
        <f t="shared" si="12"/>
        <v>8.64269141531325E-2</v>
      </c>
      <c r="P153" s="751">
        <f t="shared" si="13"/>
        <v>27</v>
      </c>
      <c r="Q153" s="761">
        <f t="shared" si="17"/>
        <v>259.28074245939752</v>
      </c>
      <c r="R153" s="762">
        <f t="shared" si="18"/>
        <v>8.64269141531325E-2</v>
      </c>
      <c r="S153" s="752" t="s">
        <v>431</v>
      </c>
      <c r="T153" s="744">
        <v>45754</v>
      </c>
      <c r="U153" s="29" t="s">
        <v>281</v>
      </c>
      <c r="V153" s="339"/>
      <c r="W153" s="339"/>
      <c r="X153" s="14"/>
      <c r="Y153" s="14"/>
      <c r="Z153" s="14"/>
      <c r="AA153" s="14"/>
      <c r="AB153" s="14"/>
      <c r="AC153" s="14"/>
      <c r="AD153" s="14"/>
      <c r="AE153" s="14"/>
      <c r="AF153" s="4"/>
      <c r="AG153" s="4"/>
      <c r="AH153" s="14"/>
      <c r="AI153" s="14"/>
      <c r="AJ153" s="332"/>
      <c r="AK153" s="332"/>
      <c r="AL153" s="332"/>
      <c r="AM153" s="332"/>
      <c r="AN153" s="332"/>
      <c r="AO153" s="332"/>
      <c r="AP153" s="332"/>
      <c r="AQ153" s="28"/>
      <c r="AR153" s="332"/>
      <c r="AS153" s="28"/>
      <c r="AT153" s="28"/>
      <c r="AU153" s="28"/>
      <c r="AV153" s="28"/>
      <c r="AW153" s="28"/>
      <c r="AX153" s="28"/>
      <c r="AY153" s="28"/>
      <c r="AZ153" s="28"/>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24"/>
      <c r="BY153" s="24"/>
      <c r="BZ153" s="24"/>
      <c r="CA153" s="24"/>
      <c r="CB153" s="24"/>
      <c r="CC153" s="24"/>
      <c r="CD153" s="24"/>
    </row>
    <row r="154" spans="1:82" ht="15.75" customHeight="1">
      <c r="A154" s="294">
        <f t="shared" si="15"/>
        <v>53</v>
      </c>
      <c r="B154" s="7" t="s">
        <v>469</v>
      </c>
      <c r="C154" s="377" t="str">
        <f ca="1">IFERROR(__xludf.DUMMYFUNCTION("GoogleFinance(B154,""name"")"),"Abercrombie &amp; Fitch Co")</f>
        <v>Abercrombie &amp; Fitch Co</v>
      </c>
      <c r="D154" s="378">
        <f ca="1">IFERROR(__xludf.DUMMYFUNCTION("GoogleFinance(B154,""marketcap"")/1000000"),4042.825952)</f>
        <v>4042.8259520000001</v>
      </c>
      <c r="E154" s="246" t="s">
        <v>10</v>
      </c>
      <c r="F154" s="246" t="s">
        <v>137</v>
      </c>
      <c r="G154" s="266">
        <v>45730</v>
      </c>
      <c r="H154" s="588">
        <v>71</v>
      </c>
      <c r="I154" s="490">
        <v>79</v>
      </c>
      <c r="J154" s="589">
        <f t="shared" si="31"/>
        <v>37.974683544303801</v>
      </c>
      <c r="K154" s="395">
        <v>3000</v>
      </c>
      <c r="L154" s="395">
        <v>3000</v>
      </c>
      <c r="M154" s="395">
        <f t="shared" si="10"/>
        <v>2696.2025316455697</v>
      </c>
      <c r="N154" s="395">
        <f t="shared" si="11"/>
        <v>-303.79746835443029</v>
      </c>
      <c r="O154" s="396">
        <f t="shared" si="12"/>
        <v>-0.1012658227848101</v>
      </c>
      <c r="P154" s="751">
        <f t="shared" si="13"/>
        <v>24</v>
      </c>
      <c r="Q154" s="761">
        <f t="shared" si="17"/>
        <v>-303.79746835443029</v>
      </c>
      <c r="R154" s="762">
        <f t="shared" si="18"/>
        <v>-0.1012658227848101</v>
      </c>
      <c r="S154" s="752" t="s">
        <v>431</v>
      </c>
      <c r="T154" s="744">
        <v>45754</v>
      </c>
      <c r="U154" s="29" t="s">
        <v>62</v>
      </c>
      <c r="V154" s="339"/>
      <c r="W154" s="339"/>
      <c r="X154" s="14"/>
      <c r="Y154" s="14"/>
      <c r="Z154" s="14"/>
      <c r="AA154" s="14"/>
      <c r="AB154" s="14"/>
      <c r="AC154" s="14"/>
      <c r="AD154" s="14"/>
      <c r="AE154" s="14"/>
      <c r="AF154" s="4"/>
      <c r="AG154" s="4"/>
      <c r="AH154" s="14"/>
      <c r="AI154" s="14"/>
      <c r="AJ154" s="332"/>
      <c r="AK154" s="332"/>
      <c r="AL154" s="332"/>
      <c r="AM154" s="332"/>
      <c r="AN154" s="332"/>
      <c r="AO154" s="332"/>
      <c r="AP154" s="332"/>
      <c r="AQ154" s="28"/>
      <c r="AR154" s="332"/>
      <c r="AS154" s="28"/>
      <c r="AT154" s="28"/>
      <c r="AU154" s="28"/>
      <c r="AV154" s="28"/>
      <c r="AW154" s="28"/>
      <c r="AX154" s="28"/>
      <c r="AY154" s="28"/>
      <c r="AZ154" s="28"/>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24"/>
      <c r="BY154" s="24"/>
      <c r="BZ154" s="24"/>
      <c r="CA154" s="24"/>
      <c r="CB154" s="24"/>
      <c r="CC154" s="24"/>
      <c r="CD154" s="24"/>
    </row>
    <row r="155" spans="1:82" ht="15.75" customHeight="1">
      <c r="A155" s="294">
        <f t="shared" si="15"/>
        <v>54</v>
      </c>
      <c r="B155" s="354" t="s">
        <v>214</v>
      </c>
      <c r="C155" s="780" t="str">
        <f ca="1">IFERROR(__xludf.DUMMYFUNCTION("GoogleFinance(B155,""name"")"),"JPMorgan US Tech Leaders ETF")</f>
        <v>JPMorgan US Tech Leaders ETF</v>
      </c>
      <c r="D155" s="781" t="str">
        <f ca="1">IFERROR(__xludf.DUMMYFUNCTION("GoogleFinance(B155,""marketcap"")/1000000"),"#N/A")</f>
        <v>#N/A</v>
      </c>
      <c r="E155" s="787" t="s">
        <v>7</v>
      </c>
      <c r="F155" s="246" t="s">
        <v>7</v>
      </c>
      <c r="G155" s="782">
        <v>45754</v>
      </c>
      <c r="H155" s="745">
        <v>65</v>
      </c>
      <c r="I155" s="783">
        <f t="shared" ref="I155:I156" si="32">(58.8+58.1)/2</f>
        <v>58.45</v>
      </c>
      <c r="J155" s="784">
        <f t="shared" ref="J155:J159" si="33">K155/I155</f>
        <v>855.43199315654397</v>
      </c>
      <c r="K155" s="420">
        <v>50000</v>
      </c>
      <c r="L155" s="420">
        <v>50000</v>
      </c>
      <c r="M155" s="420">
        <f t="shared" si="10"/>
        <v>55603.079555175354</v>
      </c>
      <c r="N155" s="420">
        <f t="shared" si="11"/>
        <v>5603.0795551753545</v>
      </c>
      <c r="O155" s="622">
        <f t="shared" si="12"/>
        <v>0.11206159110350709</v>
      </c>
      <c r="P155" s="751">
        <f t="shared" si="13"/>
        <v>2</v>
      </c>
      <c r="Q155" s="761">
        <f t="shared" si="17"/>
        <v>5603.0795551753545</v>
      </c>
      <c r="R155" s="762">
        <f t="shared" si="18"/>
        <v>0.11206159110350709</v>
      </c>
      <c r="S155" s="752" t="s">
        <v>431</v>
      </c>
      <c r="T155" s="744">
        <v>45756</v>
      </c>
      <c r="U155" s="29" t="s">
        <v>281</v>
      </c>
      <c r="V155" s="339"/>
      <c r="W155" s="339"/>
      <c r="X155" s="14"/>
      <c r="Y155" s="14"/>
      <c r="Z155" s="14"/>
      <c r="AA155" s="14"/>
      <c r="AB155" s="14"/>
      <c r="AC155" s="14"/>
      <c r="AD155" s="14"/>
      <c r="AE155" s="14"/>
      <c r="AF155" s="4"/>
      <c r="AG155" s="4"/>
      <c r="AH155" s="14"/>
      <c r="AI155" s="14"/>
      <c r="AJ155" s="332"/>
      <c r="AK155" s="332"/>
      <c r="AL155" s="332"/>
      <c r="AM155" s="332"/>
      <c r="AN155" s="332"/>
      <c r="AO155" s="332"/>
      <c r="AP155" s="332"/>
      <c r="AQ155" s="28"/>
      <c r="AR155" s="332"/>
      <c r="AS155" s="28"/>
      <c r="AT155" s="28"/>
      <c r="AU155" s="28"/>
      <c r="AV155" s="28"/>
      <c r="AW155" s="28"/>
      <c r="AX155" s="28"/>
      <c r="AY155" s="28"/>
      <c r="AZ155" s="28"/>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24"/>
      <c r="BY155" s="24"/>
      <c r="BZ155" s="24"/>
      <c r="CA155" s="24"/>
      <c r="CB155" s="24"/>
      <c r="CC155" s="24"/>
      <c r="CD155" s="24"/>
    </row>
    <row r="156" spans="1:82" ht="13.2">
      <c r="A156" s="294">
        <f t="shared" si="15"/>
        <v>55</v>
      </c>
      <c r="B156" s="7" t="s">
        <v>214</v>
      </c>
      <c r="C156" s="377" t="str">
        <f ca="1">IFERROR(__xludf.DUMMYFUNCTION("GoogleFinance(B156,""name"")"),"JPMorgan US Tech Leaders ETF")</f>
        <v>JPMorgan US Tech Leaders ETF</v>
      </c>
      <c r="D156" s="378" t="str">
        <f ca="1">IFERROR(__xludf.DUMMYFUNCTION("GoogleFinance(B156,""marketcap"")/1000000"),"#N/A")</f>
        <v>#N/A</v>
      </c>
      <c r="E156" s="779" t="s">
        <v>380</v>
      </c>
      <c r="F156" s="392" t="s">
        <v>7</v>
      </c>
      <c r="G156" s="266">
        <v>45754</v>
      </c>
      <c r="H156" s="588">
        <v>65.099999999999994</v>
      </c>
      <c r="I156" s="490">
        <f t="shared" si="32"/>
        <v>58.45</v>
      </c>
      <c r="J156" s="589">
        <f t="shared" si="33"/>
        <v>171.08639863130881</v>
      </c>
      <c r="K156" s="395">
        <f t="shared" ref="K156:L156" si="34">35000+35000-60000</f>
        <v>10000</v>
      </c>
      <c r="L156" s="395">
        <f t="shared" si="34"/>
        <v>10000</v>
      </c>
      <c r="M156" s="395">
        <f t="shared" si="10"/>
        <v>11137.724550898203</v>
      </c>
      <c r="N156" s="395">
        <f t="shared" si="11"/>
        <v>1137.7245508982032</v>
      </c>
      <c r="O156" s="396">
        <f t="shared" si="12"/>
        <v>0.11377245508982033</v>
      </c>
      <c r="P156" s="751">
        <f t="shared" si="13"/>
        <v>8</v>
      </c>
      <c r="Q156" s="761">
        <f t="shared" si="17"/>
        <v>1137.7245508982032</v>
      </c>
      <c r="R156" s="762">
        <f t="shared" si="18"/>
        <v>0.11377245508982033</v>
      </c>
      <c r="S156" s="752" t="s">
        <v>431</v>
      </c>
      <c r="T156" s="744">
        <v>45762</v>
      </c>
      <c r="U156" s="29" t="s">
        <v>281</v>
      </c>
      <c r="V156" s="339"/>
      <c r="W156" s="339"/>
      <c r="X156" s="14"/>
      <c r="Y156" s="14"/>
      <c r="Z156" s="14"/>
      <c r="AA156" s="14"/>
      <c r="AB156" s="14"/>
      <c r="AC156" s="14"/>
      <c r="AD156" s="14"/>
      <c r="AE156" s="14"/>
      <c r="AF156" s="4"/>
      <c r="AG156" s="4"/>
      <c r="AH156" s="14"/>
      <c r="AI156" s="14"/>
      <c r="AJ156" s="332"/>
      <c r="AK156" s="332"/>
      <c r="AL156" s="332"/>
      <c r="AM156" s="332"/>
      <c r="AN156" s="332"/>
      <c r="AO156" s="332"/>
      <c r="AP156" s="332"/>
      <c r="AQ156" s="28"/>
      <c r="AR156" s="332"/>
      <c r="AS156" s="28"/>
      <c r="AT156" s="28"/>
      <c r="AU156" s="28"/>
      <c r="AV156" s="28"/>
      <c r="AW156" s="28"/>
      <c r="AX156" s="28"/>
      <c r="AY156" s="28"/>
      <c r="AZ156" s="28"/>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24"/>
      <c r="BY156" s="24"/>
      <c r="BZ156" s="24"/>
      <c r="CA156" s="24"/>
      <c r="CB156" s="24"/>
      <c r="CC156" s="24"/>
      <c r="CD156" s="24"/>
    </row>
    <row r="157" spans="1:82" ht="13.2">
      <c r="A157" s="294">
        <f t="shared" si="15"/>
        <v>56</v>
      </c>
      <c r="B157" s="1" t="s">
        <v>470</v>
      </c>
      <c r="C157" s="233" t="str">
        <f ca="1">IFERROR(__xludf.DUMMYFUNCTION("GoogleFinance(B157,""name"")"),"Anglogold Ashanti PLC")</f>
        <v>Anglogold Ashanti PLC</v>
      </c>
      <c r="D157" s="234">
        <f ca="1">IFERROR(__xludf.DUMMYFUNCTION("GoogleFinance(B157,""marketcap"")/1000000"),514586.695017)</f>
        <v>514586.69501700002</v>
      </c>
      <c r="E157" s="246" t="s">
        <v>12</v>
      </c>
      <c r="F157" s="246" t="s">
        <v>39</v>
      </c>
      <c r="G157" s="230">
        <v>45687</v>
      </c>
      <c r="H157" s="788">
        <v>43.5</v>
      </c>
      <c r="I157" s="506">
        <v>29.86</v>
      </c>
      <c r="J157" s="507">
        <f t="shared" si="33"/>
        <v>66.979236436704625</v>
      </c>
      <c r="K157" s="249">
        <v>2000</v>
      </c>
      <c r="L157" s="249">
        <v>2000</v>
      </c>
      <c r="M157" s="249">
        <f t="shared" si="10"/>
        <v>2913.596784996651</v>
      </c>
      <c r="N157" s="508">
        <f t="shared" si="11"/>
        <v>913.59678499665097</v>
      </c>
      <c r="O157" s="509">
        <f t="shared" si="12"/>
        <v>0.45679839249832549</v>
      </c>
      <c r="P157" s="751">
        <f t="shared" si="13"/>
        <v>75</v>
      </c>
      <c r="Q157" s="761">
        <f t="shared" si="17"/>
        <v>913.59678499665097</v>
      </c>
      <c r="R157" s="762">
        <f t="shared" si="18"/>
        <v>0.45679839249832549</v>
      </c>
      <c r="S157" s="752" t="s">
        <v>431</v>
      </c>
      <c r="T157" s="744">
        <v>45762</v>
      </c>
      <c r="U157" s="29" t="s">
        <v>281</v>
      </c>
      <c r="V157" s="339"/>
      <c r="W157" s="339"/>
      <c r="X157" s="14"/>
      <c r="Y157" s="14"/>
      <c r="Z157" s="14"/>
      <c r="AA157" s="14"/>
      <c r="AB157" s="14"/>
      <c r="AC157" s="14"/>
      <c r="AD157" s="14"/>
      <c r="AE157" s="14"/>
      <c r="AF157" s="4"/>
      <c r="AG157" s="4"/>
      <c r="AH157" s="14"/>
      <c r="AI157" s="14"/>
      <c r="AJ157" s="332"/>
      <c r="AK157" s="332"/>
      <c r="AL157" s="332"/>
      <c r="AM157" s="332"/>
      <c r="AN157" s="332"/>
      <c r="AO157" s="332"/>
      <c r="AP157" s="332"/>
      <c r="AQ157" s="28"/>
      <c r="AR157" s="332"/>
      <c r="AS157" s="28"/>
      <c r="AT157" s="28"/>
      <c r="AU157" s="28"/>
      <c r="AV157" s="28"/>
      <c r="AW157" s="28"/>
      <c r="AX157" s="28"/>
      <c r="AY157" s="28"/>
      <c r="AZ157" s="28"/>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24"/>
      <c r="BY157" s="24"/>
      <c r="BZ157" s="24"/>
      <c r="CA157" s="24"/>
      <c r="CB157" s="24"/>
      <c r="CC157" s="24"/>
      <c r="CD157" s="24"/>
    </row>
    <row r="158" spans="1:82" ht="13.2">
      <c r="A158" s="294">
        <f t="shared" si="15"/>
        <v>57</v>
      </c>
      <c r="B158" s="1" t="s">
        <v>471</v>
      </c>
      <c r="C158" s="233" t="str">
        <f ca="1">IFERROR(__xludf.DUMMYFUNCTION("GoogleFinance(B158,""name"")"),"Pan American Silver Corp")</f>
        <v>Pan American Silver Corp</v>
      </c>
      <c r="D158" s="234">
        <f ca="1">IFERROR(__xludf.DUMMYFUNCTION("GoogleFinance(B158,""marketcap"")/1000000"),16248.34493)</f>
        <v>16248.344929999999</v>
      </c>
      <c r="E158" s="246" t="s">
        <v>12</v>
      </c>
      <c r="F158" s="246" t="s">
        <v>41</v>
      </c>
      <c r="G158" s="230">
        <v>45638</v>
      </c>
      <c r="H158" s="588">
        <v>27.1</v>
      </c>
      <c r="I158" s="506">
        <v>23</v>
      </c>
      <c r="J158" s="507">
        <f t="shared" si="33"/>
        <v>86.956521739130437</v>
      </c>
      <c r="K158" s="249">
        <v>2000</v>
      </c>
      <c r="L158" s="249">
        <v>1758.2608695652173</v>
      </c>
      <c r="M158" s="249">
        <f t="shared" si="10"/>
        <v>2356.521739130435</v>
      </c>
      <c r="N158" s="508">
        <f t="shared" si="11"/>
        <v>356.52173913043498</v>
      </c>
      <c r="O158" s="509">
        <f t="shared" si="12"/>
        <v>0.1782608695652175</v>
      </c>
      <c r="P158" s="751">
        <f t="shared" si="13"/>
        <v>124</v>
      </c>
      <c r="Q158" s="761">
        <f t="shared" si="17"/>
        <v>598.26086956521772</v>
      </c>
      <c r="R158" s="762">
        <f t="shared" si="18"/>
        <v>0.34025717111770543</v>
      </c>
      <c r="S158" s="752" t="s">
        <v>431</v>
      </c>
      <c r="T158" s="744">
        <v>45762</v>
      </c>
      <c r="U158" s="29" t="s">
        <v>281</v>
      </c>
      <c r="V158" s="339"/>
      <c r="W158" s="339"/>
      <c r="X158" s="14"/>
      <c r="Y158" s="14"/>
      <c r="Z158" s="14"/>
      <c r="AA158" s="14"/>
      <c r="AB158" s="14"/>
      <c r="AC158" s="14"/>
      <c r="AD158" s="14"/>
      <c r="AE158" s="14"/>
      <c r="AF158" s="4"/>
      <c r="AG158" s="4"/>
      <c r="AH158" s="14"/>
      <c r="AI158" s="14"/>
      <c r="AJ158" s="332"/>
      <c r="AK158" s="332"/>
      <c r="AL158" s="332"/>
      <c r="AM158" s="332"/>
      <c r="AN158" s="332"/>
      <c r="AO158" s="332"/>
      <c r="AP158" s="332"/>
      <c r="AQ158" s="28"/>
      <c r="AR158" s="332"/>
      <c r="AS158" s="28"/>
      <c r="AT158" s="28"/>
      <c r="AU158" s="28"/>
      <c r="AV158" s="28"/>
      <c r="AW158" s="28"/>
      <c r="AX158" s="28"/>
      <c r="AY158" s="28"/>
      <c r="AZ158" s="28"/>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24"/>
      <c r="BY158" s="24"/>
      <c r="BZ158" s="24"/>
      <c r="CA158" s="24"/>
      <c r="CB158" s="24"/>
      <c r="CC158" s="24"/>
      <c r="CD158" s="24"/>
    </row>
    <row r="159" spans="1:82" ht="13.2">
      <c r="A159" s="294">
        <f t="shared" si="15"/>
        <v>58</v>
      </c>
      <c r="B159" s="1" t="s">
        <v>472</v>
      </c>
      <c r="C159" s="233" t="str">
        <f ca="1">IFERROR(__xludf.DUMMYFUNCTION("GoogleFinance(B159,""name"")"),"Wheaton Precious Metals Corp")</f>
        <v>Wheaton Precious Metals Corp</v>
      </c>
      <c r="D159" s="234">
        <f ca="1">IFERROR(__xludf.DUMMYFUNCTION("GoogleFinance(B159,""marketcap"")/1000000"),49688.012761)</f>
        <v>49688.012760999998</v>
      </c>
      <c r="E159" s="246" t="s">
        <v>12</v>
      </c>
      <c r="F159" s="246" t="s">
        <v>39</v>
      </c>
      <c r="G159" s="230">
        <v>45687</v>
      </c>
      <c r="H159" s="588">
        <v>82.45</v>
      </c>
      <c r="I159" s="506">
        <v>63.05</v>
      </c>
      <c r="J159" s="507">
        <f t="shared" si="33"/>
        <v>31.720856463124505</v>
      </c>
      <c r="K159" s="249">
        <v>2000</v>
      </c>
      <c r="L159" s="249">
        <v>2000</v>
      </c>
      <c r="M159" s="249">
        <f t="shared" si="10"/>
        <v>2615.3846153846157</v>
      </c>
      <c r="N159" s="508">
        <f t="shared" si="11"/>
        <v>615.3846153846157</v>
      </c>
      <c r="O159" s="509">
        <f t="shared" si="12"/>
        <v>0.30769230769230788</v>
      </c>
      <c r="P159" s="751">
        <f t="shared" si="13"/>
        <v>75</v>
      </c>
      <c r="Q159" s="761">
        <f t="shared" si="17"/>
        <v>615.3846153846157</v>
      </c>
      <c r="R159" s="762">
        <f t="shared" si="18"/>
        <v>0.30769230769230788</v>
      </c>
      <c r="S159" s="752" t="s">
        <v>431</v>
      </c>
      <c r="T159" s="744">
        <v>45762</v>
      </c>
      <c r="U159" s="29" t="s">
        <v>281</v>
      </c>
      <c r="V159" s="339"/>
      <c r="W159" s="339"/>
      <c r="X159" s="14"/>
      <c r="Y159" s="14"/>
      <c r="Z159" s="14"/>
      <c r="AA159" s="14"/>
      <c r="AB159" s="14"/>
      <c r="AC159" s="14"/>
      <c r="AD159" s="14"/>
      <c r="AE159" s="14"/>
      <c r="AF159" s="4"/>
      <c r="AG159" s="4"/>
      <c r="AH159" s="14"/>
      <c r="AI159" s="14"/>
      <c r="AJ159" s="332"/>
      <c r="AK159" s="332"/>
      <c r="AL159" s="332"/>
      <c r="AM159" s="332"/>
      <c r="AN159" s="332"/>
      <c r="AO159" s="332"/>
      <c r="AP159" s="332"/>
      <c r="AQ159" s="28"/>
      <c r="AR159" s="332"/>
      <c r="AS159" s="28"/>
      <c r="AT159" s="28"/>
      <c r="AU159" s="28"/>
      <c r="AV159" s="28"/>
      <c r="AW159" s="28"/>
      <c r="AX159" s="28"/>
      <c r="AY159" s="28"/>
      <c r="AZ159" s="28"/>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24"/>
      <c r="BY159" s="24"/>
      <c r="BZ159" s="24"/>
      <c r="CA159" s="24"/>
      <c r="CB159" s="24"/>
      <c r="CC159" s="24"/>
      <c r="CD159" s="24"/>
    </row>
    <row r="160" spans="1:82" ht="13.2">
      <c r="A160" s="294">
        <f t="shared" si="15"/>
        <v>59</v>
      </c>
      <c r="B160" s="7" t="s">
        <v>26</v>
      </c>
      <c r="C160" s="377" t="str">
        <f ca="1">IFERROR(__xludf.DUMMYFUNCTION("GoogleFinance(B160,""name"")"),"VanEck Junior Gold Miners ETF")</f>
        <v>VanEck Junior Gold Miners ETF</v>
      </c>
      <c r="D160" s="378" t="str">
        <f ca="1">IFERROR(__xludf.DUMMYFUNCTION("GoogleFinance(B160,""marketcap"")/1000000"),"#N/A")</f>
        <v>#N/A</v>
      </c>
      <c r="E160" s="246" t="s">
        <v>12</v>
      </c>
      <c r="F160" s="246" t="s">
        <v>473</v>
      </c>
      <c r="G160" s="266">
        <v>45754</v>
      </c>
      <c r="H160" s="588">
        <v>62.53</v>
      </c>
      <c r="I160" s="490">
        <v>51.8</v>
      </c>
      <c r="J160" s="589">
        <f t="shared" ref="J160:J161" si="35">3000/I160</f>
        <v>57.915057915057915</v>
      </c>
      <c r="K160" s="395">
        <v>3000</v>
      </c>
      <c r="L160" s="395">
        <v>3000</v>
      </c>
      <c r="M160" s="395">
        <f t="shared" si="10"/>
        <v>3621.4285714285716</v>
      </c>
      <c r="N160" s="395">
        <f t="shared" si="11"/>
        <v>621.42857142857156</v>
      </c>
      <c r="O160" s="396">
        <f t="shared" si="12"/>
        <v>0.20714285714285718</v>
      </c>
      <c r="P160" s="751">
        <f t="shared" si="13"/>
        <v>8</v>
      </c>
      <c r="Q160" s="761">
        <f t="shared" si="17"/>
        <v>621.42857142857156</v>
      </c>
      <c r="R160" s="762">
        <f t="shared" si="18"/>
        <v>0.20714285714285718</v>
      </c>
      <c r="S160" s="752" t="s">
        <v>431</v>
      </c>
      <c r="T160" s="744">
        <v>45762</v>
      </c>
      <c r="U160" s="29" t="s">
        <v>281</v>
      </c>
      <c r="V160" s="339"/>
      <c r="W160" s="339"/>
      <c r="X160" s="14"/>
      <c r="Y160" s="14"/>
      <c r="Z160" s="14"/>
      <c r="AA160" s="14"/>
      <c r="AB160" s="14"/>
      <c r="AC160" s="14"/>
      <c r="AD160" s="14"/>
      <c r="AE160" s="14"/>
      <c r="AF160" s="4"/>
      <c r="AG160" s="4"/>
      <c r="AH160" s="14"/>
      <c r="AI160" s="14"/>
      <c r="AJ160" s="332"/>
      <c r="AK160" s="332"/>
      <c r="AL160" s="332"/>
      <c r="AM160" s="332"/>
      <c r="AN160" s="332"/>
      <c r="AO160" s="332"/>
      <c r="AP160" s="332"/>
      <c r="AQ160" s="28"/>
      <c r="AR160" s="332"/>
      <c r="AS160" s="28"/>
      <c r="AT160" s="28"/>
      <c r="AU160" s="28"/>
      <c r="AV160" s="28"/>
      <c r="AW160" s="28"/>
      <c r="AX160" s="28"/>
      <c r="AY160" s="28"/>
      <c r="AZ160" s="28"/>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24"/>
      <c r="BY160" s="24"/>
      <c r="BZ160" s="24"/>
      <c r="CA160" s="24"/>
      <c r="CB160" s="24"/>
      <c r="CC160" s="24"/>
      <c r="CD160" s="24"/>
    </row>
    <row r="161" spans="1:82" ht="13.2">
      <c r="A161" s="294">
        <f t="shared" si="15"/>
        <v>60</v>
      </c>
      <c r="B161" s="7" t="s">
        <v>27</v>
      </c>
      <c r="C161" s="377" t="str">
        <f ca="1">IFERROR(__xludf.DUMMYFUNCTION("GoogleFinance(B161,""name"")"),"Global X Silver Miners ETF")</f>
        <v>Global X Silver Miners ETF</v>
      </c>
      <c r="D161" s="378" t="str">
        <f ca="1">IFERROR(__xludf.DUMMYFUNCTION("GoogleFinance(B161,""marketcap"")/1000000"),"#N/A")</f>
        <v>#N/A</v>
      </c>
      <c r="E161" s="246" t="s">
        <v>12</v>
      </c>
      <c r="F161" s="246" t="s">
        <v>474</v>
      </c>
      <c r="G161" s="266">
        <v>45754</v>
      </c>
      <c r="H161" s="588">
        <v>41.17</v>
      </c>
      <c r="I161" s="490">
        <v>35.200000000000003</v>
      </c>
      <c r="J161" s="589">
        <f t="shared" si="35"/>
        <v>85.22727272727272</v>
      </c>
      <c r="K161" s="395">
        <v>3000</v>
      </c>
      <c r="L161" s="395">
        <v>3000</v>
      </c>
      <c r="M161" s="395">
        <f t="shared" si="10"/>
        <v>3508.806818181818</v>
      </c>
      <c r="N161" s="395">
        <f t="shared" si="11"/>
        <v>508.80681818181802</v>
      </c>
      <c r="O161" s="396">
        <f t="shared" si="12"/>
        <v>0.16960227272727268</v>
      </c>
      <c r="P161" s="626">
        <f t="shared" si="13"/>
        <v>8</v>
      </c>
      <c r="Q161" s="761">
        <f t="shared" si="17"/>
        <v>508.80681818181802</v>
      </c>
      <c r="R161" s="762">
        <f t="shared" si="18"/>
        <v>0.16960227272727268</v>
      </c>
      <c r="S161" s="752" t="s">
        <v>431</v>
      </c>
      <c r="T161" s="230">
        <v>45762</v>
      </c>
      <c r="U161" s="29" t="s">
        <v>296</v>
      </c>
      <c r="V161" s="339"/>
      <c r="W161" s="339"/>
      <c r="X161" s="14"/>
      <c r="Y161" s="14"/>
      <c r="Z161" s="14"/>
      <c r="AA161" s="14"/>
      <c r="AB161" s="14"/>
      <c r="AC161" s="14"/>
      <c r="AD161" s="14"/>
      <c r="AE161" s="14"/>
      <c r="AF161" s="4"/>
      <c r="AG161" s="4"/>
      <c r="AH161" s="14"/>
      <c r="AI161" s="14"/>
      <c r="AJ161" s="14"/>
      <c r="AK161" s="14"/>
      <c r="AL161" s="14"/>
      <c r="AM161" s="14"/>
      <c r="AN161" s="14"/>
      <c r="AO161" s="14"/>
      <c r="AP161" s="14"/>
      <c r="AQ161" s="1"/>
      <c r="AR161" s="14"/>
      <c r="AS161" s="1"/>
      <c r="AT161" s="1"/>
      <c r="AU161" s="1"/>
      <c r="AV161" s="1"/>
      <c r="AW161" s="1"/>
      <c r="AX161" s="1"/>
      <c r="AY161" s="1"/>
      <c r="AZ161" s="1"/>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24"/>
      <c r="BY161" s="24"/>
      <c r="BZ161" s="24"/>
      <c r="CA161" s="24"/>
      <c r="CB161" s="24"/>
      <c r="CC161" s="24"/>
      <c r="CD161" s="24"/>
    </row>
    <row r="162" spans="1:82" ht="13.2">
      <c r="A162" s="294">
        <f t="shared" si="15"/>
        <v>61</v>
      </c>
      <c r="B162" s="7" t="s">
        <v>475</v>
      </c>
      <c r="C162" s="377" t="str">
        <f ca="1">IFERROR(__xludf.DUMMYFUNCTION("GoogleFinance(B162,""name"")"),"Delta Air Lines Inc")</f>
        <v>Delta Air Lines Inc</v>
      </c>
      <c r="D162" s="378">
        <f ca="1">IFERROR(__xludf.DUMMYFUNCTION("GoogleFinance(B162,""marketcap"")/1000000"),37348.643258)</f>
        <v>37348.643257999996</v>
      </c>
      <c r="E162" s="246" t="s">
        <v>11</v>
      </c>
      <c r="F162" s="246" t="s">
        <v>476</v>
      </c>
      <c r="G162" s="266">
        <v>45755</v>
      </c>
      <c r="H162" s="588">
        <v>41.2</v>
      </c>
      <c r="I162" s="490">
        <v>38.619999999999997</v>
      </c>
      <c r="J162" s="589">
        <f>1000/I162</f>
        <v>25.893319523562923</v>
      </c>
      <c r="K162" s="395">
        <v>1000</v>
      </c>
      <c r="L162" s="395">
        <v>1000</v>
      </c>
      <c r="M162" s="395">
        <f t="shared" si="10"/>
        <v>1066.8047643707926</v>
      </c>
      <c r="N162" s="395">
        <f t="shared" si="11"/>
        <v>66.804764370792554</v>
      </c>
      <c r="O162" s="396">
        <f t="shared" si="12"/>
        <v>6.6804764370792552E-2</v>
      </c>
      <c r="P162" s="626">
        <f t="shared" si="13"/>
        <v>7</v>
      </c>
      <c r="Q162" s="761">
        <f t="shared" si="17"/>
        <v>66.804764370792554</v>
      </c>
      <c r="R162" s="762">
        <f t="shared" si="18"/>
        <v>6.6804764370792552E-2</v>
      </c>
      <c r="S162" s="752" t="s">
        <v>431</v>
      </c>
      <c r="T162" s="230">
        <v>45762</v>
      </c>
      <c r="U162" s="29" t="s">
        <v>296</v>
      </c>
      <c r="V162" s="339"/>
      <c r="W162" s="339"/>
      <c r="X162" s="14"/>
      <c r="Y162" s="14"/>
      <c r="Z162" s="14"/>
      <c r="AA162" s="14"/>
      <c r="AB162" s="14"/>
      <c r="AC162" s="14"/>
      <c r="AD162" s="14"/>
      <c r="AE162" s="14"/>
      <c r="AF162" s="4"/>
      <c r="AG162" s="4"/>
      <c r="AH162" s="14"/>
      <c r="AI162" s="14"/>
      <c r="AJ162" s="14"/>
      <c r="AK162" s="14"/>
      <c r="AL162" s="14"/>
      <c r="AM162" s="14"/>
      <c r="AN162" s="14"/>
      <c r="AO162" s="14"/>
      <c r="AP162" s="14"/>
      <c r="AQ162" s="1"/>
      <c r="AR162" s="14"/>
      <c r="AS162" s="1"/>
      <c r="AT162" s="1"/>
      <c r="AU162" s="1"/>
      <c r="AV162" s="1"/>
      <c r="AW162" s="1"/>
      <c r="AX162" s="1"/>
      <c r="AY162" s="1"/>
      <c r="AZ162" s="1"/>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24"/>
      <c r="BY162" s="24"/>
      <c r="BZ162" s="24"/>
      <c r="CA162" s="24"/>
      <c r="CB162" s="24"/>
      <c r="CC162" s="24"/>
      <c r="CD162" s="24"/>
    </row>
    <row r="163" spans="1:82" ht="13.2">
      <c r="A163" s="294">
        <f t="shared" si="15"/>
        <v>62</v>
      </c>
      <c r="B163" s="7" t="s">
        <v>456</v>
      </c>
      <c r="C163" s="377" t="str">
        <f ca="1">IFERROR(__xludf.DUMMYFUNCTION("GoogleFinance(B163,""name"")"),"Richtech Robotics Inc")</f>
        <v>Richtech Robotics Inc</v>
      </c>
      <c r="D163" s="378">
        <f ca="1">IFERROR(__xludf.DUMMYFUNCTION("GoogleFinance(B163,""marketcap"")/1000000"),675.0326)</f>
        <v>675.0326</v>
      </c>
      <c r="E163" s="246" t="s">
        <v>11</v>
      </c>
      <c r="F163" s="246" t="s">
        <v>28</v>
      </c>
      <c r="G163" s="266">
        <v>45754</v>
      </c>
      <c r="H163" s="588">
        <v>1.96</v>
      </c>
      <c r="I163" s="490">
        <v>1.92</v>
      </c>
      <c r="J163" s="589">
        <f t="shared" ref="J163:J164" si="36">2000/I163</f>
        <v>1041.6666666666667</v>
      </c>
      <c r="K163" s="395">
        <v>2000</v>
      </c>
      <c r="L163" s="395">
        <v>2000</v>
      </c>
      <c r="M163" s="395">
        <f t="shared" si="10"/>
        <v>2041.6666666666667</v>
      </c>
      <c r="N163" s="395">
        <f t="shared" si="11"/>
        <v>41.666666666666742</v>
      </c>
      <c r="O163" s="396">
        <f t="shared" si="12"/>
        <v>2.083333333333337E-2</v>
      </c>
      <c r="P163" s="626">
        <f t="shared" si="13"/>
        <v>8</v>
      </c>
      <c r="Q163" s="761">
        <f t="shared" si="17"/>
        <v>41.666666666666742</v>
      </c>
      <c r="R163" s="762">
        <f t="shared" si="18"/>
        <v>2.083333333333337E-2</v>
      </c>
      <c r="S163" s="752" t="s">
        <v>431</v>
      </c>
      <c r="T163" s="230">
        <v>45762</v>
      </c>
      <c r="U163" s="29" t="s">
        <v>296</v>
      </c>
      <c r="V163" s="339"/>
      <c r="W163" s="339"/>
      <c r="X163" s="14"/>
      <c r="Y163" s="14"/>
      <c r="Z163" s="14"/>
      <c r="AA163" s="14"/>
      <c r="AB163" s="14"/>
      <c r="AC163" s="14"/>
      <c r="AD163" s="14"/>
      <c r="AE163" s="14"/>
      <c r="AF163" s="4"/>
      <c r="AG163" s="4"/>
      <c r="AH163" s="14"/>
      <c r="AI163" s="14"/>
      <c r="AJ163" s="14"/>
      <c r="AK163" s="14"/>
      <c r="AL163" s="14"/>
      <c r="AM163" s="14"/>
      <c r="AN163" s="14"/>
      <c r="AO163" s="14"/>
      <c r="AP163" s="14"/>
      <c r="AQ163" s="1"/>
      <c r="AR163" s="14"/>
      <c r="AS163" s="1"/>
      <c r="AT163" s="1"/>
      <c r="AU163" s="1"/>
      <c r="AV163" s="1"/>
      <c r="AW163" s="1"/>
      <c r="AX163" s="1"/>
      <c r="AY163" s="1"/>
      <c r="AZ163" s="1"/>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24"/>
      <c r="BY163" s="24"/>
      <c r="BZ163" s="24"/>
      <c r="CA163" s="24"/>
      <c r="CB163" s="24"/>
      <c r="CC163" s="24"/>
      <c r="CD163" s="24"/>
    </row>
    <row r="164" spans="1:82" ht="13.2">
      <c r="A164" s="294">
        <f t="shared" si="15"/>
        <v>63</v>
      </c>
      <c r="B164" s="7" t="s">
        <v>449</v>
      </c>
      <c r="C164" s="377" t="str">
        <f ca="1">IFERROR(__xludf.DUMMYFUNCTION("GoogleFinance(B164,""name"")"),"Riot Platforms Inc")</f>
        <v>Riot Platforms Inc</v>
      </c>
      <c r="D164" s="378">
        <f ca="1">IFERROR(__xludf.DUMMYFUNCTION("GoogleFinance(B164,""marketcap"")/1000000"),6538.632836)</f>
        <v>6538.6328359999998</v>
      </c>
      <c r="E164" s="246" t="s">
        <v>11</v>
      </c>
      <c r="F164" s="246" t="s">
        <v>28</v>
      </c>
      <c r="G164" s="266">
        <v>45754</v>
      </c>
      <c r="H164" s="588">
        <v>6.63</v>
      </c>
      <c r="I164" s="490">
        <v>7.2</v>
      </c>
      <c r="J164" s="589">
        <f t="shared" si="36"/>
        <v>277.77777777777777</v>
      </c>
      <c r="K164" s="395">
        <v>2000</v>
      </c>
      <c r="L164" s="395">
        <v>2000</v>
      </c>
      <c r="M164" s="395">
        <f t="shared" si="10"/>
        <v>1841.6666666666665</v>
      </c>
      <c r="N164" s="395">
        <f t="shared" si="11"/>
        <v>-158.33333333333348</v>
      </c>
      <c r="O164" s="396">
        <f t="shared" si="12"/>
        <v>-7.9166666666666746E-2</v>
      </c>
      <c r="P164" s="626">
        <f t="shared" si="13"/>
        <v>8</v>
      </c>
      <c r="Q164" s="761">
        <f t="shared" si="17"/>
        <v>-158.33333333333348</v>
      </c>
      <c r="R164" s="762">
        <f t="shared" si="18"/>
        <v>-7.9166666666666746E-2</v>
      </c>
      <c r="S164" s="752" t="s">
        <v>431</v>
      </c>
      <c r="T164" s="230">
        <v>45762</v>
      </c>
      <c r="U164" s="29" t="s">
        <v>296</v>
      </c>
      <c r="V164" s="339"/>
      <c r="W164" s="339"/>
      <c r="X164" s="14"/>
      <c r="Y164" s="14"/>
      <c r="Z164" s="14"/>
      <c r="AA164" s="14"/>
      <c r="AB164" s="14"/>
      <c r="AC164" s="14"/>
      <c r="AD164" s="14"/>
      <c r="AE164" s="14"/>
      <c r="AF164" s="4"/>
      <c r="AG164" s="4"/>
      <c r="AH164" s="14"/>
      <c r="AI164" s="14"/>
      <c r="AJ164" s="14"/>
      <c r="AK164" s="14"/>
      <c r="AL164" s="14"/>
      <c r="AM164" s="14"/>
      <c r="AN164" s="14"/>
      <c r="AO164" s="14"/>
      <c r="AP164" s="14"/>
      <c r="AQ164" s="1"/>
      <c r="AR164" s="14"/>
      <c r="AS164" s="1"/>
      <c r="AT164" s="1"/>
      <c r="AU164" s="1"/>
      <c r="AV164" s="1"/>
      <c r="AW164" s="1"/>
      <c r="AX164" s="1"/>
      <c r="AY164" s="1"/>
      <c r="AZ164" s="1"/>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24"/>
      <c r="BY164" s="24"/>
      <c r="BZ164" s="24"/>
      <c r="CA164" s="24"/>
      <c r="CB164" s="24"/>
      <c r="CC164" s="24"/>
      <c r="CD164" s="24"/>
    </row>
    <row r="165" spans="1:82" ht="13.2">
      <c r="A165" s="294">
        <f t="shared" si="15"/>
        <v>64</v>
      </c>
      <c r="B165" s="1" t="s">
        <v>439</v>
      </c>
      <c r="C165" s="438" t="str">
        <f ca="1">IFERROR(__xludf.DUMMYFUNCTION("GoogleFinance(B165,""name"")"),"Terawulf Inc")</f>
        <v>Terawulf Inc</v>
      </c>
      <c r="D165" s="234">
        <f ca="1">IFERROR(__xludf.DUMMYFUNCTION("GoogleFinance(B165,""marketcap"")/1000000"),4441.959124)</f>
        <v>4441.959124</v>
      </c>
      <c r="E165" s="246" t="s">
        <v>14</v>
      </c>
      <c r="F165" s="246" t="s">
        <v>440</v>
      </c>
      <c r="G165" s="230">
        <v>45679</v>
      </c>
      <c r="H165" s="228">
        <v>2.2400000000000002</v>
      </c>
      <c r="I165" s="506">
        <v>5.74</v>
      </c>
      <c r="J165" s="507">
        <f>1000/I165</f>
        <v>174.21602787456445</v>
      </c>
      <c r="K165" s="249">
        <v>1000</v>
      </c>
      <c r="L165" s="249">
        <v>1000</v>
      </c>
      <c r="M165" s="249">
        <f t="shared" si="10"/>
        <v>390.2439024390244</v>
      </c>
      <c r="N165" s="789">
        <f t="shared" si="11"/>
        <v>-609.7560975609756</v>
      </c>
      <c r="O165" s="790">
        <f t="shared" si="12"/>
        <v>-0.6097560975609756</v>
      </c>
      <c r="P165" s="626">
        <f t="shared" si="13"/>
        <v>83</v>
      </c>
      <c r="Q165" s="761">
        <f t="shared" si="17"/>
        <v>-609.7560975609756</v>
      </c>
      <c r="R165" s="762">
        <f t="shared" si="18"/>
        <v>-0.6097560975609756</v>
      </c>
      <c r="S165" s="752" t="s">
        <v>431</v>
      </c>
      <c r="T165" s="230">
        <v>45762</v>
      </c>
      <c r="U165" s="29" t="s">
        <v>296</v>
      </c>
      <c r="V165" s="339"/>
      <c r="W165" s="339"/>
      <c r="X165" s="14"/>
      <c r="Y165" s="14"/>
      <c r="Z165" s="14"/>
      <c r="AA165" s="14"/>
      <c r="AB165" s="14"/>
      <c r="AC165" s="14"/>
      <c r="AD165" s="14"/>
      <c r="AE165" s="14"/>
      <c r="AF165" s="4"/>
      <c r="AG165" s="4"/>
      <c r="AH165" s="14"/>
      <c r="AI165" s="14"/>
      <c r="AJ165" s="14"/>
      <c r="AK165" s="14"/>
      <c r="AL165" s="14"/>
      <c r="AM165" s="14"/>
      <c r="AN165" s="14"/>
      <c r="AO165" s="14"/>
      <c r="AP165" s="14"/>
      <c r="AQ165" s="1"/>
      <c r="AR165" s="14"/>
      <c r="AS165" s="1"/>
      <c r="AT165" s="1"/>
      <c r="AU165" s="1"/>
      <c r="AV165" s="1"/>
      <c r="AW165" s="1"/>
      <c r="AX165" s="1"/>
      <c r="AY165" s="1"/>
      <c r="AZ165" s="1"/>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24"/>
      <c r="BY165" s="24"/>
      <c r="BZ165" s="24"/>
      <c r="CA165" s="24"/>
      <c r="CB165" s="24"/>
      <c r="CC165" s="24"/>
      <c r="CD165" s="24"/>
    </row>
    <row r="166" spans="1:82" ht="13.2">
      <c r="A166" s="294">
        <f t="shared" si="15"/>
        <v>65</v>
      </c>
      <c r="B166" s="7" t="s">
        <v>477</v>
      </c>
      <c r="C166" s="377" t="str">
        <f ca="1">IFERROR(__xludf.DUMMYFUNCTION("GoogleFinance(B166,""name"")"),"AST SpaceMobile Inc")</f>
        <v>AST SpaceMobile Inc</v>
      </c>
      <c r="D166" s="378">
        <f ca="1">IFERROR(__xludf.DUMMYFUNCTION("GoogleFinance(B166,""marketcap"")/1000000"),17599.653583)</f>
        <v>17599.653582999999</v>
      </c>
      <c r="E166" s="246" t="s">
        <v>7</v>
      </c>
      <c r="F166" s="246" t="s">
        <v>478</v>
      </c>
      <c r="G166" s="266">
        <v>45681</v>
      </c>
      <c r="H166" s="588">
        <v>22.72</v>
      </c>
      <c r="I166" s="490">
        <v>20.2</v>
      </c>
      <c r="J166" s="589">
        <f t="shared" ref="J166:J167" si="37">3000/I166</f>
        <v>148.51485148514851</v>
      </c>
      <c r="K166" s="395">
        <v>3000</v>
      </c>
      <c r="L166" s="395">
        <v>3000</v>
      </c>
      <c r="M166" s="395">
        <f t="shared" si="10"/>
        <v>3374.257425742574</v>
      </c>
      <c r="N166" s="395">
        <f t="shared" si="11"/>
        <v>374.25742574257401</v>
      </c>
      <c r="O166" s="396">
        <f t="shared" si="12"/>
        <v>0.12475247524752467</v>
      </c>
      <c r="P166" s="626">
        <f t="shared" si="13"/>
        <v>81</v>
      </c>
      <c r="Q166" s="761">
        <f t="shared" si="17"/>
        <v>374.25742574257401</v>
      </c>
      <c r="R166" s="762">
        <f t="shared" si="18"/>
        <v>0.12475247524752467</v>
      </c>
      <c r="S166" s="752" t="s">
        <v>431</v>
      </c>
      <c r="T166" s="230">
        <v>45762</v>
      </c>
      <c r="U166" s="29" t="s">
        <v>296</v>
      </c>
      <c r="V166" s="339"/>
      <c r="W166" s="339"/>
      <c r="X166" s="14"/>
      <c r="Y166" s="14"/>
      <c r="Z166" s="14"/>
      <c r="AA166" s="14"/>
      <c r="AB166" s="14"/>
      <c r="AC166" s="14"/>
      <c r="AD166" s="14"/>
      <c r="AE166" s="14"/>
      <c r="AF166" s="4"/>
      <c r="AG166" s="4"/>
      <c r="AH166" s="14"/>
      <c r="AI166" s="14"/>
      <c r="AJ166" s="14"/>
      <c r="AK166" s="14"/>
      <c r="AL166" s="14"/>
      <c r="AM166" s="14"/>
      <c r="AN166" s="14"/>
      <c r="AO166" s="14"/>
      <c r="AP166" s="14"/>
      <c r="AQ166" s="1"/>
      <c r="AR166" s="14"/>
      <c r="AS166" s="1"/>
      <c r="AT166" s="1"/>
      <c r="AU166" s="1"/>
      <c r="AV166" s="1"/>
      <c r="AW166" s="1"/>
      <c r="AX166" s="1"/>
      <c r="AY166" s="1"/>
      <c r="AZ166" s="1"/>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24"/>
      <c r="BY166" s="24"/>
      <c r="BZ166" s="24"/>
      <c r="CA166" s="24"/>
      <c r="CB166" s="24"/>
      <c r="CC166" s="24"/>
      <c r="CD166" s="24"/>
    </row>
    <row r="167" spans="1:82" ht="13.2">
      <c r="A167" s="294">
        <f t="shared" si="15"/>
        <v>66</v>
      </c>
      <c r="B167" s="7" t="s">
        <v>447</v>
      </c>
      <c r="C167" s="377" t="str">
        <f ca="1">IFERROR(__xludf.DUMMYFUNCTION("GoogleFinance(B167,""name"")"),"Oklo Inc")</f>
        <v>Oklo Inc</v>
      </c>
      <c r="D167" s="378">
        <f ca="1">IFERROR(__xludf.DUMMYFUNCTION("GoogleFinance(B167,""marketcap"")/1000000"),16315.233642)</f>
        <v>16315.233641999999</v>
      </c>
      <c r="E167" s="779" t="s">
        <v>380</v>
      </c>
      <c r="F167" s="779" t="s">
        <v>448</v>
      </c>
      <c r="G167" s="266">
        <v>45754</v>
      </c>
      <c r="H167" s="588">
        <v>22.68</v>
      </c>
      <c r="I167" s="490">
        <v>22</v>
      </c>
      <c r="J167" s="589">
        <f t="shared" si="37"/>
        <v>136.36363636363637</v>
      </c>
      <c r="K167" s="395">
        <v>3000</v>
      </c>
      <c r="L167" s="395">
        <v>3000</v>
      </c>
      <c r="M167" s="395">
        <f t="shared" si="10"/>
        <v>3092.727272727273</v>
      </c>
      <c r="N167" s="395">
        <f t="shared" si="11"/>
        <v>92.727272727272975</v>
      </c>
      <c r="O167" s="396">
        <f t="shared" si="12"/>
        <v>3.090909090909099E-2</v>
      </c>
      <c r="P167" s="626">
        <f t="shared" si="13"/>
        <v>8</v>
      </c>
      <c r="Q167" s="761">
        <f t="shared" si="17"/>
        <v>92.727272727272975</v>
      </c>
      <c r="R167" s="762">
        <f t="shared" si="18"/>
        <v>3.090909090909099E-2</v>
      </c>
      <c r="S167" s="752" t="s">
        <v>431</v>
      </c>
      <c r="T167" s="230">
        <v>45762</v>
      </c>
      <c r="U167" s="29" t="s">
        <v>296</v>
      </c>
      <c r="V167" s="339"/>
      <c r="W167" s="339"/>
      <c r="X167" s="14"/>
      <c r="Y167" s="14"/>
      <c r="Z167" s="14"/>
      <c r="AA167" s="14"/>
      <c r="AB167" s="14"/>
      <c r="AC167" s="14"/>
      <c r="AD167" s="14"/>
      <c r="AE167" s="14"/>
      <c r="AF167" s="4"/>
      <c r="AG167" s="4"/>
      <c r="AH167" s="14"/>
      <c r="AI167" s="14"/>
      <c r="AJ167" s="14"/>
      <c r="AK167" s="14"/>
      <c r="AL167" s="14"/>
      <c r="AM167" s="14"/>
      <c r="AN167" s="14"/>
      <c r="AO167" s="14"/>
      <c r="AP167" s="14"/>
      <c r="AQ167" s="1"/>
      <c r="AR167" s="14"/>
      <c r="AS167" s="1"/>
      <c r="AT167" s="1"/>
      <c r="AU167" s="1"/>
      <c r="AV167" s="1"/>
      <c r="AW167" s="1"/>
      <c r="AX167" s="1"/>
      <c r="AY167" s="1"/>
      <c r="AZ167" s="1"/>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24"/>
      <c r="BY167" s="24"/>
      <c r="BZ167" s="24"/>
      <c r="CA167" s="24"/>
      <c r="CB167" s="24"/>
      <c r="CC167" s="24"/>
      <c r="CD167" s="24"/>
    </row>
    <row r="168" spans="1:82" ht="13.2">
      <c r="A168" s="294">
        <f t="shared" si="15"/>
        <v>67</v>
      </c>
      <c r="B168" s="1" t="s">
        <v>479</v>
      </c>
      <c r="C168" s="233" t="str">
        <f ca="1">IFERROR(__xludf.DUMMYFUNCTION("GoogleFinance(B168,""name"")"),"Magmatic Resources Ltd")</f>
        <v>Magmatic Resources Ltd</v>
      </c>
      <c r="D168" s="234">
        <f ca="1">IFERROR(__xludf.DUMMYFUNCTION("GoogleFinance(B168,""marketcap"")/1000000"),24.972158)</f>
        <v>24.972158</v>
      </c>
      <c r="E168" s="246" t="s">
        <v>12</v>
      </c>
      <c r="F168" s="246" t="s">
        <v>41</v>
      </c>
      <c r="G168" s="230">
        <v>45562</v>
      </c>
      <c r="H168" s="588">
        <v>16.3</v>
      </c>
      <c r="I168" s="506">
        <v>14.6</v>
      </c>
      <c r="J168" s="507">
        <f>K168/I168</f>
        <v>136.98630136986301</v>
      </c>
      <c r="K168" s="249">
        <v>2000</v>
      </c>
      <c r="L168" s="249">
        <v>1863.013698630137</v>
      </c>
      <c r="M168" s="249">
        <f t="shared" si="10"/>
        <v>2232.8767123287671</v>
      </c>
      <c r="N168" s="508">
        <f t="shared" si="11"/>
        <v>232.8767123287671</v>
      </c>
      <c r="O168" s="509">
        <f t="shared" si="12"/>
        <v>0.11643835616438356</v>
      </c>
      <c r="P168" s="626">
        <f t="shared" si="13"/>
        <v>201</v>
      </c>
      <c r="Q168" s="761">
        <f t="shared" si="17"/>
        <v>369.86301369863008</v>
      </c>
      <c r="R168" s="762">
        <f t="shared" si="18"/>
        <v>0.19852941176470584</v>
      </c>
      <c r="S168" s="752" t="s">
        <v>431</v>
      </c>
      <c r="T168" s="230">
        <v>45763</v>
      </c>
      <c r="U168" s="29" t="s">
        <v>296</v>
      </c>
      <c r="V168" s="339"/>
      <c r="W168" s="339"/>
      <c r="X168" s="14"/>
      <c r="Y168" s="14"/>
      <c r="Z168" s="14"/>
      <c r="AA168" s="14"/>
      <c r="AB168" s="14"/>
      <c r="AC168" s="14"/>
      <c r="AD168" s="14"/>
      <c r="AE168" s="14"/>
      <c r="AF168" s="4"/>
      <c r="AG168" s="4"/>
      <c r="AH168" s="14"/>
      <c r="AI168" s="14"/>
      <c r="AJ168" s="14"/>
      <c r="AK168" s="14"/>
      <c r="AL168" s="14"/>
      <c r="AM168" s="14"/>
      <c r="AN168" s="14"/>
      <c r="AO168" s="14"/>
      <c r="AP168" s="14"/>
      <c r="AQ168" s="1"/>
      <c r="AR168" s="14"/>
      <c r="AS168" s="1"/>
      <c r="AT168" s="1"/>
      <c r="AU168" s="1"/>
      <c r="AV168" s="1"/>
      <c r="AW168" s="1"/>
      <c r="AX168" s="1"/>
      <c r="AY168" s="1"/>
      <c r="AZ168" s="1"/>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24"/>
      <c r="BY168" s="24"/>
      <c r="BZ168" s="24"/>
      <c r="CA168" s="24"/>
      <c r="CB168" s="24"/>
      <c r="CC168" s="24"/>
      <c r="CD168" s="24"/>
    </row>
    <row r="169" spans="1:82" ht="13.2">
      <c r="A169" s="294">
        <f t="shared" si="15"/>
        <v>68</v>
      </c>
      <c r="B169" s="7" t="s">
        <v>480</v>
      </c>
      <c r="C169" s="377" t="str">
        <f ca="1">IFERROR(__xludf.DUMMYFUNCTION("GoogleFinance(B169,""name"")"),"Direxion Daily Semiconductor Bear 3X Shares")</f>
        <v>Direxion Daily Semiconductor Bear 3X Shares</v>
      </c>
      <c r="D169" s="378" t="str">
        <f ca="1">IFERROR(__xludf.DUMMYFUNCTION("GoogleFinance(B169,""marketcap"")/1000000"),"#N/A")</f>
        <v>#N/A</v>
      </c>
      <c r="E169" s="246" t="s">
        <v>481</v>
      </c>
      <c r="F169" s="246" t="s">
        <v>481</v>
      </c>
      <c r="G169" s="266">
        <v>45762</v>
      </c>
      <c r="H169" s="588">
        <v>26.69</v>
      </c>
      <c r="I169" s="490">
        <v>22.53</v>
      </c>
      <c r="J169" s="589">
        <f>3000/I169</f>
        <v>133.15579227696404</v>
      </c>
      <c r="K169" s="395">
        <v>3000</v>
      </c>
      <c r="L169" s="395">
        <v>3000</v>
      </c>
      <c r="M169" s="395">
        <f t="shared" si="10"/>
        <v>3553.9280958721702</v>
      </c>
      <c r="N169" s="395">
        <f t="shared" si="11"/>
        <v>553.92809587217016</v>
      </c>
      <c r="O169" s="396">
        <f t="shared" si="12"/>
        <v>0.18464269862405672</v>
      </c>
      <c r="P169" s="626">
        <f t="shared" si="13"/>
        <v>1</v>
      </c>
      <c r="Q169" s="761">
        <f t="shared" si="17"/>
        <v>553.92809587217016</v>
      </c>
      <c r="R169" s="762">
        <f t="shared" si="18"/>
        <v>0.18464269862405672</v>
      </c>
      <c r="S169" s="752" t="s">
        <v>431</v>
      </c>
      <c r="T169" s="230">
        <v>45763</v>
      </c>
      <c r="U169" s="29" t="s">
        <v>296</v>
      </c>
      <c r="V169" s="339"/>
      <c r="W169" s="339"/>
      <c r="X169" s="14"/>
      <c r="Y169" s="14"/>
      <c r="Z169" s="14"/>
      <c r="AA169" s="14"/>
      <c r="AB169" s="14"/>
      <c r="AC169" s="14"/>
      <c r="AD169" s="14"/>
      <c r="AE169" s="14"/>
      <c r="AF169" s="4"/>
      <c r="AG169" s="4"/>
      <c r="AH169" s="14"/>
      <c r="AI169" s="14"/>
      <c r="AJ169" s="14"/>
      <c r="AK169" s="14"/>
      <c r="AL169" s="14"/>
      <c r="AM169" s="14"/>
      <c r="AN169" s="14"/>
      <c r="AO169" s="14"/>
      <c r="AP169" s="14"/>
      <c r="AQ169" s="1"/>
      <c r="AR169" s="14"/>
      <c r="AS169" s="1"/>
      <c r="AT169" s="1"/>
      <c r="AU169" s="1"/>
      <c r="AV169" s="1"/>
      <c r="AW169" s="1"/>
      <c r="AX169" s="1"/>
      <c r="AY169" s="1"/>
      <c r="AZ169" s="1"/>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24"/>
      <c r="BY169" s="24"/>
      <c r="BZ169" s="24"/>
      <c r="CA169" s="24"/>
      <c r="CB169" s="24"/>
      <c r="CC169" s="24"/>
      <c r="CD169" s="24"/>
    </row>
    <row r="170" spans="1:82" ht="13.2">
      <c r="A170" s="294">
        <f t="shared" si="15"/>
        <v>69</v>
      </c>
      <c r="B170" s="7" t="s">
        <v>214</v>
      </c>
      <c r="C170" s="377" t="str">
        <f ca="1">IFERROR(__xludf.DUMMYFUNCTION("GoogleFinance(B170,""name"")"),"JPMorgan US Tech Leaders ETF")</f>
        <v>JPMorgan US Tech Leaders ETF</v>
      </c>
      <c r="D170" s="378" t="str">
        <f ca="1">IFERROR(__xludf.DUMMYFUNCTION("GoogleFinance(B170,""marketcap"")/1000000"),"#N/A")</f>
        <v>#N/A</v>
      </c>
      <c r="E170" s="779" t="s">
        <v>380</v>
      </c>
      <c r="F170" s="392" t="s">
        <v>7</v>
      </c>
      <c r="G170" s="266">
        <v>45768</v>
      </c>
      <c r="H170" s="588">
        <v>66</v>
      </c>
      <c r="I170" s="490">
        <v>61.38</v>
      </c>
      <c r="J170" s="589">
        <f>K170/I170</f>
        <v>325.83903551645489</v>
      </c>
      <c r="K170" s="395">
        <v>20000</v>
      </c>
      <c r="L170" s="395">
        <f>K170</f>
        <v>20000</v>
      </c>
      <c r="M170" s="395">
        <f t="shared" si="10"/>
        <v>21505.376344086024</v>
      </c>
      <c r="N170" s="395">
        <f t="shared" si="11"/>
        <v>1505.3763440860239</v>
      </c>
      <c r="O170" s="396">
        <f t="shared" si="12"/>
        <v>7.5268817204301189E-2</v>
      </c>
      <c r="P170" s="626">
        <f t="shared" si="13"/>
        <v>2</v>
      </c>
      <c r="Q170" s="761">
        <f t="shared" si="17"/>
        <v>1505.3763440860239</v>
      </c>
      <c r="R170" s="762">
        <f t="shared" si="18"/>
        <v>7.5268817204301189E-2</v>
      </c>
      <c r="S170" s="752" t="s">
        <v>431</v>
      </c>
      <c r="T170" s="230">
        <v>45770</v>
      </c>
      <c r="U170" s="29" t="s">
        <v>296</v>
      </c>
      <c r="V170" s="339"/>
      <c r="W170" s="339"/>
      <c r="X170" s="14"/>
      <c r="Y170" s="14"/>
      <c r="Z170" s="14"/>
      <c r="AA170" s="14"/>
      <c r="AB170" s="14"/>
      <c r="AC170" s="14"/>
      <c r="AD170" s="14"/>
      <c r="AE170" s="14"/>
      <c r="AF170" s="4"/>
      <c r="AG170" s="4"/>
      <c r="AH170" s="14"/>
      <c r="AI170" s="14"/>
      <c r="AJ170" s="14"/>
      <c r="AK170" s="14"/>
      <c r="AL170" s="14"/>
      <c r="AM170" s="14"/>
      <c r="AN170" s="14"/>
      <c r="AO170" s="14"/>
      <c r="AP170" s="14"/>
      <c r="AQ170" s="1"/>
      <c r="AR170" s="14"/>
      <c r="AS170" s="1"/>
      <c r="AT170" s="1"/>
      <c r="AU170" s="1"/>
      <c r="AV170" s="1"/>
      <c r="AW170" s="1"/>
      <c r="AX170" s="1"/>
      <c r="AY170" s="1"/>
      <c r="AZ170" s="1"/>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24"/>
      <c r="BY170" s="24"/>
      <c r="BZ170" s="24"/>
      <c r="CA170" s="24"/>
      <c r="CB170" s="24"/>
      <c r="CC170" s="24"/>
      <c r="CD170" s="24"/>
    </row>
    <row r="171" spans="1:82" ht="13.2">
      <c r="A171" s="294">
        <f t="shared" si="15"/>
        <v>70</v>
      </c>
      <c r="B171" s="1" t="s">
        <v>482</v>
      </c>
      <c r="C171" s="233" t="str">
        <f ca="1">IFERROR(__xludf.DUMMYFUNCTION("GoogleFinance(B171,""name"")"),"CME Group Inc")</f>
        <v>CME Group Inc</v>
      </c>
      <c r="D171" s="234">
        <f ca="1">IFERROR(__xludf.DUMMYFUNCTION("GoogleFinance(B171,""marketcap"")/1000000"),97402.7)</f>
        <v>97402.7</v>
      </c>
      <c r="E171" s="229" t="s">
        <v>14</v>
      </c>
      <c r="F171" s="229"/>
      <c r="G171" s="266">
        <v>45757</v>
      </c>
      <c r="H171" s="588">
        <v>273.39999999999998</v>
      </c>
      <c r="I171" s="237">
        <v>259.3</v>
      </c>
      <c r="J171" s="507">
        <f>3000/I171</f>
        <v>11.569610489780176</v>
      </c>
      <c r="K171" s="249">
        <f>J171*H171</f>
        <v>3163.1315079059</v>
      </c>
      <c r="L171" s="249">
        <v>3000</v>
      </c>
      <c r="M171" s="249">
        <v>3000</v>
      </c>
      <c r="N171" s="395">
        <f t="shared" si="11"/>
        <v>-163.13150790589998</v>
      </c>
      <c r="O171" s="396">
        <f t="shared" si="12"/>
        <v>-5.1572787125091286E-2</v>
      </c>
      <c r="P171" s="626">
        <f t="shared" si="13"/>
        <v>20</v>
      </c>
      <c r="Q171" s="761">
        <f>M171-K171</f>
        <v>-163.13150790589998</v>
      </c>
      <c r="R171" s="762">
        <f t="shared" si="18"/>
        <v>-5.4377169301966663E-2</v>
      </c>
      <c r="S171" s="752" t="s">
        <v>483</v>
      </c>
      <c r="T171" s="230">
        <v>45777</v>
      </c>
      <c r="U171" s="29" t="s">
        <v>62</v>
      </c>
      <c r="V171" s="339"/>
      <c r="W171" s="339"/>
      <c r="X171" s="14"/>
      <c r="Y171" s="14"/>
      <c r="Z171" s="14"/>
      <c r="AA171" s="14"/>
      <c r="AB171" s="14"/>
      <c r="AC171" s="14"/>
      <c r="AD171" s="14"/>
      <c r="AE171" s="14"/>
      <c r="AF171" s="4"/>
      <c r="AG171" s="4"/>
      <c r="AH171" s="14"/>
      <c r="AI171" s="14"/>
      <c r="AJ171" s="332"/>
      <c r="AK171" s="332"/>
      <c r="AL171" s="332"/>
      <c r="AM171" s="332"/>
      <c r="AN171" s="332"/>
      <c r="AO171" s="332"/>
      <c r="AP171" s="332"/>
      <c r="AQ171" s="28"/>
      <c r="AR171" s="332"/>
      <c r="AS171" s="28"/>
      <c r="AT171" s="28"/>
      <c r="AU171" s="28"/>
      <c r="AV171" s="28"/>
      <c r="AW171" s="28"/>
      <c r="AX171" s="28"/>
      <c r="AY171" s="28"/>
      <c r="AZ171" s="28"/>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24"/>
      <c r="BY171" s="24"/>
      <c r="BZ171" s="24"/>
      <c r="CA171" s="24"/>
      <c r="CB171" s="24"/>
      <c r="CC171" s="24"/>
      <c r="CD171" s="24"/>
    </row>
    <row r="172" spans="1:82" ht="13.2">
      <c r="A172" s="294">
        <f t="shared" si="15"/>
        <v>71</v>
      </c>
      <c r="B172" s="450" t="s">
        <v>214</v>
      </c>
      <c r="C172" s="458" t="str">
        <f ca="1">IFERROR(__xludf.DUMMYFUNCTION("GoogleFinance(B172,""name"")"),"JPMorgan US Tech Leaders ETF")</f>
        <v>JPMorgan US Tech Leaders ETF</v>
      </c>
      <c r="D172" s="452" t="str">
        <f ca="1">IFERROR(__xludf.DUMMYFUNCTION("GoogleFinance(B172,""marketcap"")/1000000"),"#N/A")</f>
        <v>#N/A</v>
      </c>
      <c r="E172" s="791" t="s">
        <v>380</v>
      </c>
      <c r="F172" s="425" t="s">
        <v>7</v>
      </c>
      <c r="G172" s="792">
        <v>45768</v>
      </c>
      <c r="H172" s="793">
        <v>71.38</v>
      </c>
      <c r="I172" s="794">
        <v>61.38</v>
      </c>
      <c r="J172" s="795">
        <f>K172/I172</f>
        <v>651.67807103290977</v>
      </c>
      <c r="K172" s="433">
        <f>60000-20000</f>
        <v>40000</v>
      </c>
      <c r="L172" s="433">
        <f>K172</f>
        <v>40000</v>
      </c>
      <c r="M172" s="433">
        <f t="shared" ref="M172:M176" si="38">J172*H172</f>
        <v>46516.780710329098</v>
      </c>
      <c r="N172" s="433">
        <f t="shared" si="11"/>
        <v>6516.7807103290979</v>
      </c>
      <c r="O172" s="796">
        <f t="shared" si="12"/>
        <v>0.16291951775822744</v>
      </c>
      <c r="P172" s="626">
        <f t="shared" si="13"/>
        <v>11</v>
      </c>
      <c r="Q172" s="761">
        <f t="shared" ref="Q172:Q211" si="39">M172-L172</f>
        <v>6516.7807103290979</v>
      </c>
      <c r="R172" s="762">
        <f t="shared" si="18"/>
        <v>0.16291951775822744</v>
      </c>
      <c r="S172" s="752" t="s">
        <v>431</v>
      </c>
      <c r="T172" s="230">
        <v>45779</v>
      </c>
      <c r="U172" s="29" t="s">
        <v>296</v>
      </c>
      <c r="V172" s="339"/>
      <c r="W172" s="339"/>
      <c r="X172" s="14"/>
      <c r="Y172" s="14"/>
      <c r="Z172" s="14"/>
      <c r="AA172" s="14"/>
      <c r="AB172" s="14"/>
      <c r="AC172" s="14"/>
      <c r="AD172" s="14"/>
      <c r="AE172" s="14"/>
      <c r="AF172" s="4"/>
      <c r="AG172" s="4"/>
      <c r="AH172" s="14"/>
      <c r="AI172" s="14"/>
      <c r="AJ172" s="332"/>
      <c r="AK172" s="332"/>
      <c r="AL172" s="332"/>
      <c r="AM172" s="332"/>
      <c r="AN172" s="332"/>
      <c r="AO172" s="332"/>
      <c r="AP172" s="332"/>
      <c r="AQ172" s="28"/>
      <c r="AR172" s="332"/>
      <c r="AS172" s="28"/>
      <c r="AT172" s="28"/>
      <c r="AU172" s="28"/>
      <c r="AV172" s="28"/>
      <c r="AW172" s="28"/>
      <c r="AX172" s="28"/>
      <c r="AY172" s="28"/>
      <c r="AZ172" s="28"/>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24"/>
      <c r="BY172" s="24"/>
      <c r="BZ172" s="24"/>
      <c r="CA172" s="24"/>
      <c r="CB172" s="24"/>
      <c r="CC172" s="24"/>
      <c r="CD172" s="24"/>
    </row>
    <row r="173" spans="1:82" ht="13.2">
      <c r="A173" s="294">
        <f t="shared" si="15"/>
        <v>72</v>
      </c>
      <c r="B173" s="7" t="s">
        <v>273</v>
      </c>
      <c r="C173" s="377" t="str">
        <f ca="1">IFERROR(__xludf.DUMMYFUNCTION("GoogleFinance(B173,""name"")"),"Global X Uranium ETF")</f>
        <v>Global X Uranium ETF</v>
      </c>
      <c r="D173" s="378" t="str">
        <f ca="1">IFERROR(__xludf.DUMMYFUNCTION("GoogleFinance(B173,""marketcap"")/1000000"),"#N/A")</f>
        <v>#N/A</v>
      </c>
      <c r="E173" s="246" t="s">
        <v>15</v>
      </c>
      <c r="F173" s="246" t="s">
        <v>274</v>
      </c>
      <c r="G173" s="266">
        <v>45768</v>
      </c>
      <c r="H173" s="588">
        <v>27.74</v>
      </c>
      <c r="I173" s="490">
        <v>22.53</v>
      </c>
      <c r="J173" s="589">
        <f>3000/I173</f>
        <v>133.15579227696404</v>
      </c>
      <c r="K173" s="395">
        <v>3000</v>
      </c>
      <c r="L173" s="395">
        <v>3000</v>
      </c>
      <c r="M173" s="395">
        <f t="shared" si="38"/>
        <v>3693.7416777629824</v>
      </c>
      <c r="N173" s="395">
        <f t="shared" si="11"/>
        <v>693.74167776298236</v>
      </c>
      <c r="O173" s="396">
        <f t="shared" si="12"/>
        <v>0.23124722592099412</v>
      </c>
      <c r="P173" s="626">
        <f t="shared" si="13"/>
        <v>24</v>
      </c>
      <c r="Q173" s="761">
        <f t="shared" si="39"/>
        <v>693.74167776298236</v>
      </c>
      <c r="R173" s="762">
        <f t="shared" si="18"/>
        <v>0.23124722592099412</v>
      </c>
      <c r="S173" s="752" t="s">
        <v>431</v>
      </c>
      <c r="T173" s="230">
        <v>45792</v>
      </c>
      <c r="U173" s="29" t="s">
        <v>296</v>
      </c>
      <c r="V173" s="339"/>
      <c r="W173" s="339"/>
      <c r="X173" s="14"/>
      <c r="Y173" s="14"/>
      <c r="Z173" s="14"/>
      <c r="AA173" s="14"/>
      <c r="AB173" s="14"/>
      <c r="AC173" s="14"/>
      <c r="AD173" s="14"/>
      <c r="AE173" s="14"/>
      <c r="AF173" s="4"/>
      <c r="AG173" s="4"/>
      <c r="AH173" s="14"/>
      <c r="AI173" s="14"/>
      <c r="AJ173" s="332"/>
      <c r="AK173" s="332"/>
      <c r="AL173" s="332"/>
      <c r="AM173" s="332"/>
      <c r="AN173" s="332"/>
      <c r="AO173" s="332"/>
      <c r="AP173" s="332"/>
      <c r="AQ173" s="28"/>
      <c r="AR173" s="332"/>
      <c r="AS173" s="28"/>
      <c r="AT173" s="28"/>
      <c r="AU173" s="28"/>
      <c r="AV173" s="28"/>
      <c r="AW173" s="28"/>
      <c r="AX173" s="28"/>
      <c r="AY173" s="28"/>
      <c r="AZ173" s="28"/>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24"/>
      <c r="BY173" s="24"/>
      <c r="BZ173" s="24"/>
      <c r="CA173" s="24"/>
      <c r="CB173" s="24"/>
      <c r="CC173" s="24"/>
      <c r="CD173" s="24"/>
    </row>
    <row r="174" spans="1:82" ht="13.2">
      <c r="A174" s="294">
        <f t="shared" si="15"/>
        <v>73</v>
      </c>
      <c r="B174" s="753" t="s">
        <v>464</v>
      </c>
      <c r="C174" s="754" t="str">
        <f ca="1">IFERROR(__xludf.DUMMYFUNCTION("GoogleFinance(B174,""name"")"),"Nuscale Power Corp")</f>
        <v>Nuscale Power Corp</v>
      </c>
      <c r="D174" s="755">
        <f ca="1">IFERROR(__xludf.DUMMYFUNCTION("GoogleFinance(B174,""marketcap"")/1000000"),10825.3222)</f>
        <v>10825.322200000001</v>
      </c>
      <c r="E174" s="756" t="s">
        <v>15</v>
      </c>
      <c r="F174" s="756" t="s">
        <v>274</v>
      </c>
      <c r="G174" s="763">
        <v>45754</v>
      </c>
      <c r="H174" s="758">
        <v>22.92</v>
      </c>
      <c r="I174" s="759">
        <v>14</v>
      </c>
      <c r="J174" s="760">
        <v>100</v>
      </c>
      <c r="K174" s="761">
        <f t="shared" ref="K174:K176" si="40">J174*I174</f>
        <v>1400</v>
      </c>
      <c r="L174" s="761">
        <f t="shared" ref="L174:L180" si="41">K174</f>
        <v>1400</v>
      </c>
      <c r="M174" s="761">
        <f t="shared" si="38"/>
        <v>2292</v>
      </c>
      <c r="N174" s="761">
        <f t="shared" si="11"/>
        <v>892</v>
      </c>
      <c r="O174" s="762">
        <f t="shared" si="12"/>
        <v>0.63714285714285712</v>
      </c>
      <c r="P174" s="626">
        <f t="shared" si="13"/>
        <v>38</v>
      </c>
      <c r="Q174" s="761">
        <f t="shared" si="39"/>
        <v>892</v>
      </c>
      <c r="R174" s="762">
        <f t="shared" si="18"/>
        <v>0.63714285714285712</v>
      </c>
      <c r="S174" s="752" t="s">
        <v>431</v>
      </c>
      <c r="T174" s="230">
        <v>45792</v>
      </c>
      <c r="U174" s="29" t="s">
        <v>266</v>
      </c>
      <c r="V174" s="339"/>
      <c r="W174" s="339"/>
      <c r="X174" s="14"/>
      <c r="Y174" s="14"/>
      <c r="Z174" s="14"/>
      <c r="AA174" s="14"/>
      <c r="AB174" s="14"/>
      <c r="AC174" s="14"/>
      <c r="AD174" s="14"/>
      <c r="AE174" s="14"/>
      <c r="AF174" s="4"/>
      <c r="AG174" s="4"/>
      <c r="AH174" s="14"/>
      <c r="AI174" s="14"/>
      <c r="AJ174" s="332"/>
      <c r="AK174" s="332"/>
      <c r="AL174" s="332"/>
      <c r="AM174" s="332"/>
      <c r="AN174" s="332"/>
      <c r="AO174" s="332"/>
      <c r="AP174" s="332"/>
      <c r="AQ174" s="28"/>
      <c r="AR174" s="332"/>
      <c r="AS174" s="28"/>
      <c r="AT174" s="28"/>
      <c r="AU174" s="28"/>
      <c r="AV174" s="28"/>
      <c r="AW174" s="28"/>
      <c r="AX174" s="28"/>
      <c r="AY174" s="28"/>
      <c r="AZ174" s="28"/>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24"/>
      <c r="BY174" s="24"/>
      <c r="BZ174" s="24"/>
      <c r="CA174" s="24"/>
      <c r="CB174" s="24"/>
      <c r="CC174" s="24"/>
      <c r="CD174" s="24"/>
    </row>
    <row r="175" spans="1:82" ht="13.2">
      <c r="A175" s="294">
        <f t="shared" si="15"/>
        <v>74</v>
      </c>
      <c r="B175" s="7" t="s">
        <v>484</v>
      </c>
      <c r="C175" s="377" t="str">
        <f ca="1">IFERROR(__xludf.DUMMYFUNCTION("GoogleFinance(B175,""name"")"),"Uber Technologies Inc")</f>
        <v>Uber Technologies Inc</v>
      </c>
      <c r="D175" s="378">
        <f ca="1">IFERROR(__xludf.DUMMYFUNCTION("GoogleFinance(B175,""marketcap"")/1000000"),205309.494185)</f>
        <v>205309.49418499999</v>
      </c>
      <c r="E175" s="246" t="s">
        <v>7</v>
      </c>
      <c r="F175" s="246" t="s">
        <v>485</v>
      </c>
      <c r="G175" s="266">
        <v>45764</v>
      </c>
      <c r="H175" s="588">
        <v>89.94</v>
      </c>
      <c r="I175" s="490">
        <v>74.84</v>
      </c>
      <c r="J175" s="589">
        <v>20</v>
      </c>
      <c r="K175" s="395">
        <f t="shared" si="40"/>
        <v>1496.8000000000002</v>
      </c>
      <c r="L175" s="395">
        <f t="shared" si="41"/>
        <v>1496.8000000000002</v>
      </c>
      <c r="M175" s="395">
        <f t="shared" si="38"/>
        <v>1798.8</v>
      </c>
      <c r="N175" s="395">
        <f t="shared" si="11"/>
        <v>301.99999999999977</v>
      </c>
      <c r="O175" s="396">
        <f t="shared" si="12"/>
        <v>0.20176376269374649</v>
      </c>
      <c r="P175" s="626">
        <f t="shared" si="13"/>
        <v>28</v>
      </c>
      <c r="Q175" s="761">
        <f t="shared" si="39"/>
        <v>301.99999999999977</v>
      </c>
      <c r="R175" s="762">
        <f t="shared" si="18"/>
        <v>0.20176376269374649</v>
      </c>
      <c r="S175" s="752" t="s">
        <v>431</v>
      </c>
      <c r="T175" s="230">
        <v>45792</v>
      </c>
      <c r="U175" s="29" t="s">
        <v>266</v>
      </c>
      <c r="V175" s="339"/>
      <c r="W175" s="339"/>
      <c r="X175" s="14"/>
      <c r="Y175" s="14"/>
      <c r="Z175" s="14"/>
      <c r="AA175" s="14"/>
      <c r="AB175" s="14"/>
      <c r="AC175" s="14"/>
      <c r="AD175" s="14"/>
      <c r="AE175" s="14"/>
      <c r="AF175" s="4"/>
      <c r="AG175" s="4"/>
      <c r="AH175" s="14"/>
      <c r="AI175" s="14"/>
      <c r="AJ175" s="332"/>
      <c r="AK175" s="332"/>
      <c r="AL175" s="332"/>
      <c r="AM175" s="332"/>
      <c r="AN175" s="332"/>
      <c r="AO175" s="332"/>
      <c r="AP175" s="332"/>
      <c r="AQ175" s="28"/>
      <c r="AR175" s="332"/>
      <c r="AS175" s="28"/>
      <c r="AT175" s="28"/>
      <c r="AU175" s="28"/>
      <c r="AV175" s="28"/>
      <c r="AW175" s="28"/>
      <c r="AX175" s="28"/>
      <c r="AY175" s="28"/>
      <c r="AZ175" s="28"/>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24"/>
      <c r="BY175" s="24"/>
      <c r="BZ175" s="24"/>
      <c r="CA175" s="24"/>
      <c r="CB175" s="24"/>
      <c r="CC175" s="24"/>
      <c r="CD175" s="24"/>
    </row>
    <row r="176" spans="1:82" ht="13.2">
      <c r="A176" s="294">
        <f t="shared" si="15"/>
        <v>75</v>
      </c>
      <c r="B176" s="7" t="s">
        <v>285</v>
      </c>
      <c r="C176" s="377" t="str">
        <f ca="1">IFERROR(__xludf.DUMMYFUNCTION("GoogleFinance(B176,""name"")"),"Alphabet Inc Class A")</f>
        <v>Alphabet Inc Class A</v>
      </c>
      <c r="D176" s="378">
        <f ca="1">IFERROR(__xludf.DUMMYFUNCTION("GoogleFinance(B176,""marketcap"")/1000000"),2985902.562886)</f>
        <v>2985902.5628860001</v>
      </c>
      <c r="E176" s="246" t="s">
        <v>13</v>
      </c>
      <c r="F176" s="246" t="s">
        <v>24</v>
      </c>
      <c r="G176" s="266">
        <v>45784</v>
      </c>
      <c r="H176" s="588">
        <v>164.89</v>
      </c>
      <c r="I176" s="490">
        <v>149.94999999999999</v>
      </c>
      <c r="J176" s="589">
        <v>16</v>
      </c>
      <c r="K176" s="395">
        <f t="shared" si="40"/>
        <v>2399.1999999999998</v>
      </c>
      <c r="L176" s="395">
        <f t="shared" si="41"/>
        <v>2399.1999999999998</v>
      </c>
      <c r="M176" s="395">
        <f t="shared" si="38"/>
        <v>2638.24</v>
      </c>
      <c r="N176" s="395">
        <f t="shared" si="11"/>
        <v>239.03999999999996</v>
      </c>
      <c r="O176" s="396">
        <f t="shared" si="12"/>
        <v>9.9633211070356775E-2</v>
      </c>
      <c r="P176" s="626">
        <f t="shared" si="13"/>
        <v>8</v>
      </c>
      <c r="Q176" s="761">
        <f t="shared" si="39"/>
        <v>239.03999999999996</v>
      </c>
      <c r="R176" s="762">
        <f t="shared" si="18"/>
        <v>9.9633211070356775E-2</v>
      </c>
      <c r="S176" s="752" t="s">
        <v>431</v>
      </c>
      <c r="T176" s="230">
        <v>45792</v>
      </c>
      <c r="U176" s="29" t="s">
        <v>266</v>
      </c>
      <c r="V176" s="339"/>
      <c r="W176" s="339"/>
      <c r="X176" s="14"/>
      <c r="Y176" s="14"/>
      <c r="Z176" s="14"/>
      <c r="AA176" s="14"/>
      <c r="AB176" s="14"/>
      <c r="AC176" s="14"/>
      <c r="AD176" s="14"/>
      <c r="AE176" s="14"/>
      <c r="AF176" s="4"/>
      <c r="AG176" s="4"/>
      <c r="AH176" s="14"/>
      <c r="AI176" s="14"/>
      <c r="AJ176" s="332"/>
      <c r="AK176" s="332"/>
      <c r="AL176" s="332"/>
      <c r="AM176" s="332"/>
      <c r="AN176" s="332"/>
      <c r="AO176" s="332"/>
      <c r="AP176" s="332"/>
      <c r="AQ176" s="28"/>
      <c r="AR176" s="332"/>
      <c r="AS176" s="28"/>
      <c r="AT176" s="28"/>
      <c r="AU176" s="28"/>
      <c r="AV176" s="28"/>
      <c r="AW176" s="28"/>
      <c r="AX176" s="28"/>
      <c r="AY176" s="28"/>
      <c r="AZ176" s="28"/>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24"/>
      <c r="BY176" s="24"/>
      <c r="BZ176" s="24"/>
      <c r="CA176" s="24"/>
      <c r="CB176" s="24"/>
      <c r="CC176" s="24"/>
      <c r="CD176" s="24"/>
    </row>
    <row r="177" spans="1:82" ht="13.2">
      <c r="A177" s="294">
        <f t="shared" si="15"/>
        <v>76</v>
      </c>
      <c r="B177" s="1" t="s">
        <v>329</v>
      </c>
      <c r="C177" s="233" t="str">
        <f ca="1">IFERROR(__xludf.DUMMYFUNCTION("GoogleFinance(B177,""name"")"),"Cigna Group")</f>
        <v>Cigna Group</v>
      </c>
      <c r="D177" s="234">
        <f ca="1">IFERROR(__xludf.DUMMYFUNCTION("GoogleFinance(B177,""marketcap"")/1000000"),76386.789344)</f>
        <v>76386.789344000004</v>
      </c>
      <c r="E177" s="229" t="s">
        <v>17</v>
      </c>
      <c r="F177" s="229" t="s">
        <v>17</v>
      </c>
      <c r="G177" s="266">
        <v>45756</v>
      </c>
      <c r="H177" s="588">
        <v>304.66000000000003</v>
      </c>
      <c r="I177" s="237">
        <v>311.39999999999998</v>
      </c>
      <c r="J177" s="507">
        <f>3000/I177</f>
        <v>9.6339113680154149</v>
      </c>
      <c r="K177" s="249">
        <f>J177*H177</f>
        <v>2935.0674373795764</v>
      </c>
      <c r="L177" s="249">
        <f t="shared" si="41"/>
        <v>2935.0674373795764</v>
      </c>
      <c r="M177" s="395">
        <v>3000</v>
      </c>
      <c r="N177" s="395">
        <f t="shared" si="11"/>
        <v>64.932562620423596</v>
      </c>
      <c r="O177" s="396">
        <f t="shared" si="12"/>
        <v>2.2123022385610085E-2</v>
      </c>
      <c r="P177" s="626">
        <f t="shared" si="13"/>
        <v>36</v>
      </c>
      <c r="Q177" s="761">
        <f t="shared" si="39"/>
        <v>64.932562620423596</v>
      </c>
      <c r="R177" s="762">
        <f t="shared" si="18"/>
        <v>2.2123022385610085E-2</v>
      </c>
      <c r="S177" s="752" t="s">
        <v>483</v>
      </c>
      <c r="T177" s="230">
        <v>45792</v>
      </c>
      <c r="U177" s="29" t="s">
        <v>296</v>
      </c>
      <c r="V177" s="339"/>
      <c r="W177" s="339"/>
      <c r="X177" s="14"/>
      <c r="Y177" s="14"/>
      <c r="Z177" s="14"/>
      <c r="AA177" s="14"/>
      <c r="AB177" s="14"/>
      <c r="AC177" s="14"/>
      <c r="AD177" s="14"/>
      <c r="AE177" s="14"/>
      <c r="AF177" s="4"/>
      <c r="AG177" s="4"/>
      <c r="AH177" s="14"/>
      <c r="AI177" s="14"/>
      <c r="AJ177" s="332"/>
      <c r="AK177" s="332"/>
      <c r="AL177" s="332"/>
      <c r="AM177" s="332"/>
      <c r="AN177" s="332"/>
      <c r="AO177" s="332"/>
      <c r="AP177" s="332"/>
      <c r="AQ177" s="28"/>
      <c r="AR177" s="332"/>
      <c r="AS177" s="28"/>
      <c r="AT177" s="28"/>
      <c r="AU177" s="28"/>
      <c r="AV177" s="28"/>
      <c r="AW177" s="28"/>
      <c r="AX177" s="28"/>
      <c r="AY177" s="28"/>
      <c r="AZ177" s="28"/>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24"/>
      <c r="BY177" s="24"/>
      <c r="BZ177" s="24"/>
      <c r="CA177" s="24"/>
      <c r="CB177" s="24"/>
      <c r="CC177" s="24"/>
      <c r="CD177" s="24"/>
    </row>
    <row r="178" spans="1:82" ht="13.2">
      <c r="A178" s="294">
        <f t="shared" si="15"/>
        <v>77</v>
      </c>
      <c r="B178" s="556" t="s">
        <v>464</v>
      </c>
      <c r="C178" s="557" t="str">
        <f ca="1">IFERROR(__xludf.DUMMYFUNCTION("GoogleFinance(B178,""name"")"),"Nuscale Power Corp")</f>
        <v>Nuscale Power Corp</v>
      </c>
      <c r="D178" s="558">
        <f ca="1">IFERROR(__xludf.DUMMYFUNCTION("GoogleFinance(B178,""marketcap"")/1000000"),10825.3222)</f>
        <v>10825.322200000001</v>
      </c>
      <c r="E178" s="779" t="s">
        <v>15</v>
      </c>
      <c r="F178" s="779" t="s">
        <v>274</v>
      </c>
      <c r="G178" s="560">
        <v>45754</v>
      </c>
      <c r="H178" s="561">
        <v>32.75</v>
      </c>
      <c r="I178" s="562">
        <v>14</v>
      </c>
      <c r="J178" s="563">
        <f>3000/I178-100</f>
        <v>114.28571428571428</v>
      </c>
      <c r="K178" s="564">
        <f t="shared" ref="K178:K180" si="42">J178*I178</f>
        <v>1600</v>
      </c>
      <c r="L178" s="564">
        <f t="shared" si="41"/>
        <v>1600</v>
      </c>
      <c r="M178" s="564">
        <f t="shared" ref="M178:M186" si="43">J178*H178</f>
        <v>3742.8571428571427</v>
      </c>
      <c r="N178" s="564">
        <f t="shared" si="11"/>
        <v>2142.8571428571427</v>
      </c>
      <c r="O178" s="565">
        <f t="shared" si="12"/>
        <v>1.3392857142857142</v>
      </c>
      <c r="P178" s="626">
        <f t="shared" si="13"/>
        <v>57</v>
      </c>
      <c r="Q178" s="761">
        <f t="shared" si="39"/>
        <v>2142.8571428571427</v>
      </c>
      <c r="R178" s="762">
        <f t="shared" si="18"/>
        <v>1.3392857142857142</v>
      </c>
      <c r="S178" s="752" t="s">
        <v>431</v>
      </c>
      <c r="T178" s="230">
        <v>45811</v>
      </c>
      <c r="U178" s="29" t="s">
        <v>296</v>
      </c>
      <c r="V178" s="339"/>
      <c r="W178" s="339"/>
      <c r="X178" s="14"/>
      <c r="Y178" s="14"/>
      <c r="Z178" s="14"/>
      <c r="AA178" s="14"/>
      <c r="AB178" s="14"/>
      <c r="AC178" s="14"/>
      <c r="AD178" s="14"/>
      <c r="AE178" s="14"/>
      <c r="AF178" s="4"/>
      <c r="AG178" s="4"/>
      <c r="AH178" s="14"/>
      <c r="AI178" s="14"/>
      <c r="AJ178" s="332"/>
      <c r="AK178" s="332"/>
      <c r="AL178" s="332"/>
      <c r="AM178" s="332"/>
      <c r="AN178" s="332"/>
      <c r="AO178" s="332"/>
      <c r="AP178" s="332"/>
      <c r="AQ178" s="28"/>
      <c r="AR178" s="332"/>
      <c r="AS178" s="28"/>
      <c r="AT178" s="28"/>
      <c r="AU178" s="28"/>
      <c r="AV178" s="28"/>
      <c r="AW178" s="28"/>
      <c r="AX178" s="28"/>
      <c r="AY178" s="28"/>
      <c r="AZ178" s="28"/>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24"/>
      <c r="BY178" s="24"/>
      <c r="BZ178" s="24"/>
      <c r="CA178" s="24"/>
      <c r="CB178" s="24"/>
      <c r="CC178" s="24"/>
      <c r="CD178" s="24"/>
    </row>
    <row r="179" spans="1:82" ht="13.2">
      <c r="A179" s="294">
        <f t="shared" si="15"/>
        <v>78</v>
      </c>
      <c r="B179" s="7" t="s">
        <v>480</v>
      </c>
      <c r="C179" s="377" t="str">
        <f ca="1">IFERROR(__xludf.DUMMYFUNCTION("GoogleFinance(B179,""name"")"),"Direxion Daily Semiconductor Bear 3X Shares")</f>
        <v>Direxion Daily Semiconductor Bear 3X Shares</v>
      </c>
      <c r="D179" s="378" t="str">
        <f ca="1">IFERROR(__xludf.DUMMYFUNCTION("GoogleFinance(B179,""marketcap"")/1000000"),"#N/A")</f>
        <v>#N/A</v>
      </c>
      <c r="E179" s="246" t="s">
        <v>481</v>
      </c>
      <c r="F179" s="246" t="s">
        <v>481</v>
      </c>
      <c r="G179" s="266">
        <v>45761</v>
      </c>
      <c r="H179" s="588">
        <v>11</v>
      </c>
      <c r="I179" s="490">
        <v>11.95</v>
      </c>
      <c r="J179" s="589">
        <f>3000/I179</f>
        <v>251.04602510460253</v>
      </c>
      <c r="K179" s="395">
        <f t="shared" si="42"/>
        <v>3000</v>
      </c>
      <c r="L179" s="395">
        <f t="shared" si="41"/>
        <v>3000</v>
      </c>
      <c r="M179" s="395">
        <f t="shared" si="43"/>
        <v>2761.5062761506279</v>
      </c>
      <c r="N179" s="395">
        <f t="shared" si="11"/>
        <v>-238.49372384937215</v>
      </c>
      <c r="O179" s="396">
        <f t="shared" si="12"/>
        <v>-7.9497907949790711E-2</v>
      </c>
      <c r="P179" s="626">
        <f t="shared" si="13"/>
        <v>53</v>
      </c>
      <c r="Q179" s="761">
        <f t="shared" si="39"/>
        <v>-238.49372384937215</v>
      </c>
      <c r="R179" s="762">
        <f t="shared" si="18"/>
        <v>-7.9497907949790711E-2</v>
      </c>
      <c r="S179" s="752" t="s">
        <v>431</v>
      </c>
      <c r="T179" s="230">
        <v>45814</v>
      </c>
      <c r="U179" s="29" t="s">
        <v>62</v>
      </c>
      <c r="V179" s="339"/>
      <c r="W179" s="339"/>
      <c r="X179" s="14"/>
      <c r="Y179" s="14"/>
      <c r="Z179" s="14"/>
      <c r="AA179" s="14"/>
      <c r="AB179" s="14"/>
      <c r="AC179" s="14"/>
      <c r="AD179" s="14"/>
      <c r="AE179" s="14"/>
      <c r="AF179" s="4"/>
      <c r="AG179" s="4"/>
      <c r="AH179" s="14"/>
      <c r="AI179" s="14"/>
      <c r="AJ179" s="332"/>
      <c r="AK179" s="332"/>
      <c r="AL179" s="332"/>
      <c r="AM179" s="332"/>
      <c r="AN179" s="332"/>
      <c r="AO179" s="332"/>
      <c r="AP179" s="332"/>
      <c r="AQ179" s="28"/>
      <c r="AR179" s="332"/>
      <c r="AS179" s="28"/>
      <c r="AT179" s="28"/>
      <c r="AU179" s="28"/>
      <c r="AV179" s="28"/>
      <c r="AW179" s="28"/>
      <c r="AX179" s="28"/>
      <c r="AY179" s="28"/>
      <c r="AZ179" s="28"/>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24"/>
      <c r="BY179" s="24"/>
      <c r="BZ179" s="24"/>
      <c r="CA179" s="24"/>
      <c r="CB179" s="24"/>
      <c r="CC179" s="24"/>
      <c r="CD179" s="24"/>
    </row>
    <row r="180" spans="1:82" ht="13.2">
      <c r="A180" s="294">
        <f t="shared" si="15"/>
        <v>79</v>
      </c>
      <c r="B180" s="556" t="s">
        <v>285</v>
      </c>
      <c r="C180" s="557" t="str">
        <f ca="1">IFERROR(__xludf.DUMMYFUNCTION("GoogleFinance(B180,""name"")"),"Alphabet Inc Class A")</f>
        <v>Alphabet Inc Class A</v>
      </c>
      <c r="D180" s="558">
        <f ca="1">IFERROR(__xludf.DUMMYFUNCTION("GoogleFinance(B180,""marketcap"")/1000000"),2985902.562886)</f>
        <v>2985902.5628860001</v>
      </c>
      <c r="E180" s="779" t="s">
        <v>13</v>
      </c>
      <c r="F180" s="779" t="s">
        <v>24</v>
      </c>
      <c r="G180" s="560">
        <v>45784</v>
      </c>
      <c r="H180" s="561">
        <v>178.9</v>
      </c>
      <c r="I180" s="562">
        <v>149.94999999999999</v>
      </c>
      <c r="J180" s="563">
        <f>5000/I180-16</f>
        <v>17.344448149383133</v>
      </c>
      <c r="K180" s="564">
        <f t="shared" si="42"/>
        <v>2600.8000000000006</v>
      </c>
      <c r="L180" s="564">
        <f t="shared" si="41"/>
        <v>2600.8000000000006</v>
      </c>
      <c r="M180" s="564">
        <f t="shared" si="43"/>
        <v>3102.9217739246428</v>
      </c>
      <c r="N180" s="564">
        <f t="shared" si="11"/>
        <v>502.12177392464218</v>
      </c>
      <c r="O180" s="565">
        <f t="shared" si="12"/>
        <v>0.1930643547849285</v>
      </c>
      <c r="P180" s="626">
        <f t="shared" si="13"/>
        <v>30</v>
      </c>
      <c r="Q180" s="761">
        <f t="shared" si="39"/>
        <v>502.12177392464218</v>
      </c>
      <c r="R180" s="762">
        <f t="shared" si="18"/>
        <v>0.1930643547849285</v>
      </c>
      <c r="S180" s="752" t="s">
        <v>431</v>
      </c>
      <c r="T180" s="230">
        <v>45814</v>
      </c>
      <c r="U180" s="29" t="s">
        <v>296</v>
      </c>
      <c r="V180" s="339"/>
      <c r="W180" s="339"/>
      <c r="X180" s="14"/>
      <c r="Y180" s="14"/>
      <c r="Z180" s="14"/>
      <c r="AA180" s="14"/>
      <c r="AB180" s="14"/>
      <c r="AC180" s="14"/>
      <c r="AD180" s="14"/>
      <c r="AE180" s="14"/>
      <c r="AF180" s="4"/>
      <c r="AG180" s="4"/>
      <c r="AH180" s="14"/>
      <c r="AI180" s="14"/>
      <c r="AJ180" s="332"/>
      <c r="AK180" s="332"/>
      <c r="AL180" s="332"/>
      <c r="AM180" s="332"/>
      <c r="AN180" s="332"/>
      <c r="AO180" s="332"/>
      <c r="AP180" s="332"/>
      <c r="AQ180" s="28"/>
      <c r="AR180" s="332"/>
      <c r="AS180" s="28"/>
      <c r="AT180" s="28"/>
      <c r="AU180" s="28"/>
      <c r="AV180" s="28"/>
      <c r="AW180" s="28"/>
      <c r="AX180" s="28"/>
      <c r="AY180" s="28"/>
      <c r="AZ180" s="28"/>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24"/>
      <c r="BY180" s="24"/>
      <c r="BZ180" s="24"/>
      <c r="CA180" s="24"/>
      <c r="CB180" s="24"/>
      <c r="CC180" s="24"/>
      <c r="CD180" s="24"/>
    </row>
    <row r="181" spans="1:82" ht="13.2">
      <c r="A181" s="294">
        <f t="shared" si="15"/>
        <v>80</v>
      </c>
      <c r="B181" s="7" t="s">
        <v>338</v>
      </c>
      <c r="C181" s="377" t="str">
        <f ca="1">IFERROR(__xludf.DUMMYFUNCTION("GoogleFinance(B181,""name"")"),"Nano Nuclear Energy Inc")</f>
        <v>Nano Nuclear Energy Inc</v>
      </c>
      <c r="D181" s="378">
        <f ca="1">IFERROR(__xludf.DUMMYFUNCTION("GoogleFinance(B181,""marketcap"")/1000000"),1633.704562)</f>
        <v>1633.7045619999999</v>
      </c>
      <c r="E181" s="246" t="s">
        <v>11</v>
      </c>
      <c r="F181" s="246" t="s">
        <v>339</v>
      </c>
      <c r="G181" s="266">
        <v>45679</v>
      </c>
      <c r="H181" s="588">
        <v>35</v>
      </c>
      <c r="I181" s="490">
        <v>33.619999999999997</v>
      </c>
      <c r="J181" s="589">
        <f>1000/I181</f>
        <v>29.744199881023203</v>
      </c>
      <c r="K181" s="395">
        <v>1000</v>
      </c>
      <c r="L181" s="395">
        <v>1000</v>
      </c>
      <c r="M181" s="395">
        <f t="shared" si="43"/>
        <v>1041.0469958358121</v>
      </c>
      <c r="N181" s="395">
        <f t="shared" si="11"/>
        <v>41.04699583581214</v>
      </c>
      <c r="O181" s="396">
        <f t="shared" si="12"/>
        <v>4.1046995835812138E-2</v>
      </c>
      <c r="P181" s="626">
        <f t="shared" si="13"/>
        <v>135</v>
      </c>
      <c r="Q181" s="761">
        <f t="shared" si="39"/>
        <v>41.04699583581214</v>
      </c>
      <c r="R181" s="762">
        <f t="shared" si="18"/>
        <v>4.1046995835812138E-2</v>
      </c>
      <c r="S181" s="752" t="s">
        <v>431</v>
      </c>
      <c r="T181" s="230">
        <v>45814</v>
      </c>
      <c r="U181" s="29" t="s">
        <v>266</v>
      </c>
      <c r="V181" s="339"/>
      <c r="W181" s="339"/>
      <c r="X181" s="14"/>
      <c r="Y181" s="14"/>
      <c r="Z181" s="14"/>
      <c r="AA181" s="14"/>
      <c r="AB181" s="14"/>
      <c r="AC181" s="14"/>
      <c r="AD181" s="14"/>
      <c r="AE181" s="14"/>
      <c r="AF181" s="4"/>
      <c r="AG181" s="4"/>
      <c r="AH181" s="14"/>
      <c r="AI181" s="14"/>
      <c r="AJ181" s="332"/>
      <c r="AK181" s="332"/>
      <c r="AL181" s="332"/>
      <c r="AM181" s="332"/>
      <c r="AN181" s="332"/>
      <c r="AO181" s="332"/>
      <c r="AP181" s="332"/>
      <c r="AQ181" s="28"/>
      <c r="AR181" s="332"/>
      <c r="AS181" s="28"/>
      <c r="AT181" s="28"/>
      <c r="AU181" s="28"/>
      <c r="AV181" s="28"/>
      <c r="AW181" s="28"/>
      <c r="AX181" s="28"/>
      <c r="AY181" s="28"/>
      <c r="AZ181" s="28"/>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24"/>
      <c r="BY181" s="24"/>
      <c r="BZ181" s="24"/>
      <c r="CA181" s="24"/>
      <c r="CB181" s="24"/>
      <c r="CC181" s="24"/>
      <c r="CD181" s="24"/>
    </row>
    <row r="182" spans="1:82" ht="13.2">
      <c r="A182" s="294">
        <f t="shared" si="15"/>
        <v>81</v>
      </c>
      <c r="B182" s="7" t="s">
        <v>486</v>
      </c>
      <c r="C182" s="377" t="str">
        <f ca="1">IFERROR(__xludf.DUMMYFUNCTION("GoogleFinance(B182,""name"")"),"Constellation Brands Inc")</f>
        <v>Constellation Brands Inc</v>
      </c>
      <c r="D182" s="378">
        <f ca="1">IFERROR(__xludf.DUMMYFUNCTION("GoogleFinance(B182,""marketcap"")/1000000"),23357.113534)</f>
        <v>23357.113534</v>
      </c>
      <c r="E182" s="246" t="s">
        <v>487</v>
      </c>
      <c r="F182" s="246" t="s">
        <v>488</v>
      </c>
      <c r="G182" s="266">
        <v>45768</v>
      </c>
      <c r="H182" s="588">
        <v>160</v>
      </c>
      <c r="I182" s="490">
        <v>185.11</v>
      </c>
      <c r="J182" s="589">
        <f>3000/I182</f>
        <v>16.206579871427799</v>
      </c>
      <c r="K182" s="395">
        <v>3000</v>
      </c>
      <c r="L182" s="395">
        <v>3000</v>
      </c>
      <c r="M182" s="395">
        <f t="shared" si="43"/>
        <v>2593.052779428448</v>
      </c>
      <c r="N182" s="395">
        <f t="shared" si="11"/>
        <v>-406.94722057155195</v>
      </c>
      <c r="O182" s="396">
        <f t="shared" si="12"/>
        <v>-0.13564907352385064</v>
      </c>
      <c r="P182" s="626">
        <f t="shared" si="13"/>
        <v>46</v>
      </c>
      <c r="Q182" s="761">
        <f t="shared" si="39"/>
        <v>-406.94722057155195</v>
      </c>
      <c r="R182" s="762">
        <f t="shared" si="18"/>
        <v>-0.13564907352385064</v>
      </c>
      <c r="S182" s="752" t="s">
        <v>431</v>
      </c>
      <c r="T182" s="230">
        <v>45814</v>
      </c>
      <c r="U182" s="29" t="s">
        <v>62</v>
      </c>
      <c r="V182" s="339"/>
      <c r="W182" s="339"/>
      <c r="X182" s="14"/>
      <c r="Y182" s="14"/>
      <c r="Z182" s="14"/>
      <c r="AA182" s="14"/>
      <c r="AB182" s="14"/>
      <c r="AC182" s="14"/>
      <c r="AD182" s="14"/>
      <c r="AE182" s="14"/>
      <c r="AF182" s="4"/>
      <c r="AG182" s="4"/>
      <c r="AH182" s="14"/>
      <c r="AI182" s="14"/>
      <c r="AJ182" s="332"/>
      <c r="AK182" s="332"/>
      <c r="AL182" s="332"/>
      <c r="AM182" s="332"/>
      <c r="AN182" s="332"/>
      <c r="AO182" s="332"/>
      <c r="AP182" s="332"/>
      <c r="AQ182" s="28"/>
      <c r="AR182" s="332"/>
      <c r="AS182" s="28"/>
      <c r="AT182" s="28"/>
      <c r="AU182" s="28"/>
      <c r="AV182" s="28"/>
      <c r="AW182" s="28"/>
      <c r="AX182" s="28"/>
      <c r="AY182" s="28"/>
      <c r="AZ182" s="28"/>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24"/>
      <c r="BY182" s="24"/>
      <c r="BZ182" s="24"/>
      <c r="CA182" s="24"/>
      <c r="CB182" s="24"/>
      <c r="CC182" s="24"/>
      <c r="CD182" s="24"/>
    </row>
    <row r="183" spans="1:82" ht="13.2">
      <c r="A183" s="294">
        <f t="shared" si="15"/>
        <v>82</v>
      </c>
      <c r="B183" s="556" t="s">
        <v>376</v>
      </c>
      <c r="C183" s="557" t="str">
        <f ca="1">IFERROR(__xludf.DUMMYFUNCTION("GoogleFinance(B183,""name"")"),"Grupo Financiero Galicia SA")</f>
        <v>Grupo Financiero Galicia SA</v>
      </c>
      <c r="D183" s="558">
        <f ca="1">IFERROR(__xludf.DUMMYFUNCTION("GoogleFinance(B183,""marketcap"")/1000000"),4112.099185)</f>
        <v>4112.099185</v>
      </c>
      <c r="E183" s="779" t="s">
        <v>14</v>
      </c>
      <c r="F183" s="779" t="s">
        <v>21</v>
      </c>
      <c r="G183" s="560">
        <v>45238</v>
      </c>
      <c r="H183" s="561">
        <v>50.5</v>
      </c>
      <c r="I183" s="562">
        <v>11.73</v>
      </c>
      <c r="J183" s="563">
        <v>15</v>
      </c>
      <c r="K183" s="564">
        <f t="shared" ref="K183:K184" si="44">J183*I183</f>
        <v>175.95000000000002</v>
      </c>
      <c r="L183" s="564">
        <f>J183*62.32</f>
        <v>934.8</v>
      </c>
      <c r="M183" s="564">
        <f t="shared" si="43"/>
        <v>757.5</v>
      </c>
      <c r="N183" s="564">
        <f t="shared" si="11"/>
        <v>581.54999999999995</v>
      </c>
      <c r="O183" s="565">
        <f t="shared" si="12"/>
        <v>3.3052003410059672</v>
      </c>
      <c r="P183" s="626">
        <f t="shared" si="13"/>
        <v>601</v>
      </c>
      <c r="Q183" s="761">
        <f t="shared" si="39"/>
        <v>-177.29999999999995</v>
      </c>
      <c r="R183" s="762">
        <f t="shared" si="18"/>
        <v>-0.18966623876765079</v>
      </c>
      <c r="S183" s="752" t="s">
        <v>431</v>
      </c>
      <c r="T183" s="230">
        <v>45839</v>
      </c>
      <c r="U183" s="29" t="s">
        <v>296</v>
      </c>
      <c r="V183" s="339"/>
      <c r="W183" s="339"/>
      <c r="X183" s="14"/>
      <c r="Y183" s="14"/>
      <c r="Z183" s="14"/>
      <c r="AA183" s="14"/>
      <c r="AB183" s="14"/>
      <c r="AC183" s="14"/>
      <c r="AD183" s="14"/>
      <c r="AE183" s="14"/>
      <c r="AF183" s="4"/>
      <c r="AG183" s="4"/>
      <c r="AH183" s="14"/>
      <c r="AI183" s="14"/>
      <c r="AJ183" s="332"/>
      <c r="AK183" s="332"/>
      <c r="AL183" s="332"/>
      <c r="AM183" s="332"/>
      <c r="AN183" s="332"/>
      <c r="AO183" s="332"/>
      <c r="AP183" s="332"/>
      <c r="AQ183" s="28"/>
      <c r="AR183" s="332"/>
      <c r="AS183" s="28"/>
      <c r="AT183" s="28"/>
      <c r="AU183" s="28"/>
      <c r="AV183" s="28"/>
      <c r="AW183" s="28"/>
      <c r="AX183" s="28"/>
      <c r="AY183" s="28"/>
      <c r="AZ183" s="28"/>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24"/>
      <c r="BY183" s="24"/>
      <c r="BZ183" s="24"/>
      <c r="CA183" s="24"/>
      <c r="CB183" s="24"/>
      <c r="CC183" s="24"/>
      <c r="CD183" s="24"/>
    </row>
    <row r="184" spans="1:82" ht="13.2">
      <c r="A184" s="294">
        <f t="shared" si="15"/>
        <v>83</v>
      </c>
      <c r="B184" s="753" t="s">
        <v>355</v>
      </c>
      <c r="C184" s="754" t="str">
        <f ca="1">IFERROR(__xludf.DUMMYFUNCTION("GoogleFinance(B184,""name"")"),"Sibanye Stillwater Ltd")</f>
        <v>Sibanye Stillwater Ltd</v>
      </c>
      <c r="D184" s="755">
        <f ca="1">IFERROR(__xludf.DUMMYFUNCTION("GoogleFinance(B184,""marketcap"")/1000000"),141245.2933)</f>
        <v>141245.29329999999</v>
      </c>
      <c r="E184" s="756" t="s">
        <v>12</v>
      </c>
      <c r="F184" s="756" t="s">
        <v>197</v>
      </c>
      <c r="G184" s="763">
        <v>45797</v>
      </c>
      <c r="H184" s="758">
        <v>7.4</v>
      </c>
      <c r="I184" s="759">
        <v>5.5</v>
      </c>
      <c r="J184" s="760">
        <f>1500/I184</f>
        <v>272.72727272727275</v>
      </c>
      <c r="K184" s="761">
        <f t="shared" si="44"/>
        <v>1500</v>
      </c>
      <c r="L184" s="761">
        <f t="shared" ref="L184:L187" si="45">K184</f>
        <v>1500</v>
      </c>
      <c r="M184" s="761">
        <f t="shared" si="43"/>
        <v>2018.1818181818185</v>
      </c>
      <c r="N184" s="761">
        <f t="shared" si="11"/>
        <v>518.18181818181847</v>
      </c>
      <c r="O184" s="762">
        <f t="shared" si="12"/>
        <v>0.34545454545454563</v>
      </c>
      <c r="P184" s="626">
        <f t="shared" si="13"/>
        <v>42</v>
      </c>
      <c r="Q184" s="761">
        <f t="shared" si="39"/>
        <v>518.18181818181847</v>
      </c>
      <c r="R184" s="762">
        <f t="shared" si="18"/>
        <v>0.34545454545454563</v>
      </c>
      <c r="S184" s="752" t="s">
        <v>431</v>
      </c>
      <c r="T184" s="230">
        <v>45839</v>
      </c>
      <c r="U184" s="29" t="s">
        <v>266</v>
      </c>
      <c r="V184" s="339"/>
      <c r="W184" s="339"/>
      <c r="X184" s="14"/>
      <c r="Y184" s="14"/>
      <c r="Z184" s="14"/>
      <c r="AA184" s="14"/>
      <c r="AB184" s="14"/>
      <c r="AC184" s="14"/>
      <c r="AD184" s="14"/>
      <c r="AE184" s="14"/>
      <c r="AF184" s="4"/>
      <c r="AG184" s="4"/>
      <c r="AH184" s="14"/>
      <c r="AI184" s="14"/>
      <c r="AJ184" s="332"/>
      <c r="AK184" s="332"/>
      <c r="AL184" s="332"/>
      <c r="AM184" s="332"/>
      <c r="AN184" s="332"/>
      <c r="AO184" s="332"/>
      <c r="AP184" s="332"/>
      <c r="AQ184" s="28"/>
      <c r="AR184" s="332"/>
      <c r="AS184" s="28"/>
      <c r="AT184" s="28"/>
      <c r="AU184" s="28"/>
      <c r="AV184" s="28"/>
      <c r="AW184" s="28"/>
      <c r="AX184" s="28"/>
      <c r="AY184" s="28"/>
      <c r="AZ184" s="28"/>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24"/>
      <c r="BY184" s="24"/>
      <c r="BZ184" s="24"/>
      <c r="CA184" s="24"/>
      <c r="CB184" s="24"/>
      <c r="CC184" s="24"/>
      <c r="CD184" s="24"/>
    </row>
    <row r="185" spans="1:82" ht="13.2">
      <c r="A185" s="294">
        <f t="shared" si="15"/>
        <v>84</v>
      </c>
      <c r="B185" s="7" t="s">
        <v>489</v>
      </c>
      <c r="C185" s="377" t="str">
        <f ca="1">IFERROR(__xludf.DUMMYFUNCTION("GoogleFinance(B185,""name"")"),"US Global Jets ETF")</f>
        <v>US Global Jets ETF</v>
      </c>
      <c r="D185" s="378" t="str">
        <f ca="1">IFERROR(__xludf.DUMMYFUNCTION("GoogleFinance(B185,""marketcap"")/1000000"),"#N/A")</f>
        <v>#N/A</v>
      </c>
      <c r="E185" s="392" t="s">
        <v>11</v>
      </c>
      <c r="F185" s="392" t="s">
        <v>490</v>
      </c>
      <c r="G185" s="266">
        <v>45821</v>
      </c>
      <c r="H185" s="588">
        <v>25.18</v>
      </c>
      <c r="I185" s="490">
        <v>21.9</v>
      </c>
      <c r="J185" s="589">
        <f>K185/I185</f>
        <v>136.98630136986301</v>
      </c>
      <c r="K185" s="395">
        <v>3000</v>
      </c>
      <c r="L185" s="395">
        <f t="shared" si="45"/>
        <v>3000</v>
      </c>
      <c r="M185" s="395">
        <f t="shared" si="43"/>
        <v>3449.3150684931506</v>
      </c>
      <c r="N185" s="395">
        <f t="shared" si="11"/>
        <v>449.31506849315065</v>
      </c>
      <c r="O185" s="396">
        <f t="shared" si="12"/>
        <v>0.14977168949771688</v>
      </c>
      <c r="P185" s="626">
        <f t="shared" si="13"/>
        <v>27</v>
      </c>
      <c r="Q185" s="761">
        <f t="shared" si="39"/>
        <v>449.31506849315065</v>
      </c>
      <c r="R185" s="762">
        <f t="shared" si="18"/>
        <v>0.14977168949771688</v>
      </c>
      <c r="S185" s="752" t="s">
        <v>431</v>
      </c>
      <c r="T185" s="230">
        <v>45848</v>
      </c>
      <c r="U185" s="29" t="s">
        <v>264</v>
      </c>
      <c r="V185" s="339"/>
      <c r="W185" s="339"/>
      <c r="X185" s="14"/>
      <c r="Y185" s="14"/>
      <c r="Z185" s="14"/>
      <c r="AA185" s="14"/>
      <c r="AB185" s="14"/>
      <c r="AC185" s="14"/>
      <c r="AD185" s="14"/>
      <c r="AE185" s="14"/>
      <c r="AF185" s="4"/>
      <c r="AG185" s="4"/>
      <c r="AH185" s="14"/>
      <c r="AI185" s="14"/>
      <c r="AJ185" s="332"/>
      <c r="AK185" s="332"/>
      <c r="AL185" s="332"/>
      <c r="AM185" s="332"/>
      <c r="AN185" s="332"/>
      <c r="AO185" s="332"/>
      <c r="AP185" s="332"/>
      <c r="AQ185" s="28"/>
      <c r="AR185" s="332"/>
      <c r="AS185" s="28"/>
      <c r="AT185" s="28"/>
      <c r="AU185" s="28"/>
      <c r="AV185" s="28"/>
      <c r="AW185" s="28"/>
      <c r="AX185" s="28"/>
      <c r="AY185" s="28"/>
      <c r="AZ185" s="28"/>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24"/>
      <c r="BY185" s="24"/>
      <c r="BZ185" s="24"/>
      <c r="CA185" s="24"/>
      <c r="CB185" s="24"/>
      <c r="CC185" s="24"/>
      <c r="CD185" s="24"/>
    </row>
    <row r="186" spans="1:82" ht="13.2">
      <c r="A186" s="294">
        <f t="shared" si="15"/>
        <v>85</v>
      </c>
      <c r="B186" s="556" t="s">
        <v>484</v>
      </c>
      <c r="C186" s="557" t="str">
        <f ca="1">IFERROR(__xludf.DUMMYFUNCTION("GoogleFinance(B186,""name"")"),"Uber Technologies Inc")</f>
        <v>Uber Technologies Inc</v>
      </c>
      <c r="D186" s="558">
        <f ca="1">IFERROR(__xludf.DUMMYFUNCTION("GoogleFinance(B186,""marketcap"")/1000000"),205309.494185)</f>
        <v>205309.49418499999</v>
      </c>
      <c r="E186" s="779" t="s">
        <v>7</v>
      </c>
      <c r="F186" s="779" t="s">
        <v>485</v>
      </c>
      <c r="G186" s="560">
        <v>45764</v>
      </c>
      <c r="H186" s="561">
        <v>96</v>
      </c>
      <c r="I186" s="562">
        <v>74.84</v>
      </c>
      <c r="J186" s="563">
        <f>3000/I186-20</f>
        <v>20.085515766969536</v>
      </c>
      <c r="K186" s="564">
        <f>J186*I186</f>
        <v>1503.2</v>
      </c>
      <c r="L186" s="564">
        <f t="shared" si="45"/>
        <v>1503.2</v>
      </c>
      <c r="M186" s="564">
        <f t="shared" si="43"/>
        <v>1928.2095136290754</v>
      </c>
      <c r="N186" s="564">
        <f t="shared" si="11"/>
        <v>425.0095136290754</v>
      </c>
      <c r="O186" s="565">
        <f t="shared" si="12"/>
        <v>0.28273650454302512</v>
      </c>
      <c r="P186" s="626">
        <f t="shared" si="13"/>
        <v>84</v>
      </c>
      <c r="Q186" s="761">
        <f t="shared" si="39"/>
        <v>425.0095136290754</v>
      </c>
      <c r="R186" s="762">
        <f t="shared" si="18"/>
        <v>0.28273650454302512</v>
      </c>
      <c r="S186" s="752" t="s">
        <v>431</v>
      </c>
      <c r="T186" s="230">
        <v>45848</v>
      </c>
      <c r="U186" s="29" t="s">
        <v>264</v>
      </c>
      <c r="V186" s="339"/>
      <c r="W186" s="339"/>
      <c r="X186" s="14"/>
      <c r="Y186" s="14"/>
      <c r="Z186" s="14"/>
      <c r="AA186" s="14"/>
      <c r="AB186" s="14"/>
      <c r="AC186" s="14"/>
      <c r="AD186" s="14"/>
      <c r="AE186" s="14"/>
      <c r="AF186" s="4"/>
      <c r="AG186" s="4"/>
      <c r="AH186" s="14"/>
      <c r="AI186" s="14"/>
      <c r="AJ186" s="332"/>
      <c r="AK186" s="332"/>
      <c r="AL186" s="332"/>
      <c r="AM186" s="332"/>
      <c r="AN186" s="332"/>
      <c r="AO186" s="332"/>
      <c r="AP186" s="332"/>
      <c r="AQ186" s="28"/>
      <c r="AR186" s="332"/>
      <c r="AS186" s="28"/>
      <c r="AT186" s="28"/>
      <c r="AU186" s="28"/>
      <c r="AV186" s="28"/>
      <c r="AW186" s="28"/>
      <c r="AX186" s="28"/>
      <c r="AY186" s="28"/>
      <c r="AZ186" s="28"/>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24"/>
      <c r="BY186" s="24"/>
      <c r="BZ186" s="24"/>
      <c r="CA186" s="24"/>
      <c r="CB186" s="24"/>
      <c r="CC186" s="24"/>
      <c r="CD186" s="24"/>
    </row>
    <row r="187" spans="1:82" ht="13.2">
      <c r="A187" s="294">
        <f t="shared" si="15"/>
        <v>86</v>
      </c>
      <c r="B187" s="1" t="s">
        <v>491</v>
      </c>
      <c r="C187" s="233" t="str">
        <f ca="1">IFERROR(__xludf.DUMMYFUNCTION("GoogleFinance(B187,""name"")"),"Marriott International Inc")</f>
        <v>Marriott International Inc</v>
      </c>
      <c r="D187" s="234">
        <f ca="1">IFERROR(__xludf.DUMMYFUNCTION("GoogleFinance(B187,""marketcap"")/1000000"),71721.863018)</f>
        <v>71721.863018000004</v>
      </c>
      <c r="E187" s="229" t="s">
        <v>10</v>
      </c>
      <c r="F187" s="229" t="s">
        <v>492</v>
      </c>
      <c r="G187" s="266">
        <v>45783</v>
      </c>
      <c r="H187" s="588">
        <v>282</v>
      </c>
      <c r="I187" s="237">
        <v>254.26</v>
      </c>
      <c r="J187" s="507">
        <f t="shared" ref="J187:J188" si="46">3000/I187</f>
        <v>11.798945960827499</v>
      </c>
      <c r="K187" s="249">
        <f>J187*H187</f>
        <v>3327.3027609533547</v>
      </c>
      <c r="L187" s="249">
        <f t="shared" si="45"/>
        <v>3327.3027609533547</v>
      </c>
      <c r="M187" s="564">
        <v>3000</v>
      </c>
      <c r="N187" s="564">
        <f t="shared" si="11"/>
        <v>-327.30276095335466</v>
      </c>
      <c r="O187" s="565">
        <f t="shared" si="12"/>
        <v>-9.8368794326241085E-2</v>
      </c>
      <c r="P187" s="626">
        <f t="shared" si="13"/>
        <v>65</v>
      </c>
      <c r="Q187" s="761">
        <f t="shared" si="39"/>
        <v>-327.30276095335466</v>
      </c>
      <c r="R187" s="762">
        <f t="shared" si="18"/>
        <v>-9.8368794326241085E-2</v>
      </c>
      <c r="S187" s="752" t="s">
        <v>483</v>
      </c>
      <c r="T187" s="230">
        <v>45848</v>
      </c>
      <c r="U187" s="29" t="s">
        <v>62</v>
      </c>
      <c r="V187" s="339"/>
      <c r="W187" s="339"/>
      <c r="X187" s="14"/>
      <c r="Y187" s="14"/>
      <c r="Z187" s="14"/>
      <c r="AA187" s="14"/>
      <c r="AB187" s="14"/>
      <c r="AC187" s="14"/>
      <c r="AD187" s="14"/>
      <c r="AE187" s="14"/>
      <c r="AF187" s="4"/>
      <c r="AG187" s="4"/>
      <c r="AH187" s="14"/>
      <c r="AI187" s="14"/>
      <c r="AJ187" s="332"/>
      <c r="AK187" s="332"/>
      <c r="AL187" s="332"/>
      <c r="AM187" s="332"/>
      <c r="AN187" s="332"/>
      <c r="AO187" s="332"/>
      <c r="AP187" s="332"/>
      <c r="AQ187" s="28"/>
      <c r="AR187" s="332"/>
      <c r="AS187" s="28"/>
      <c r="AT187" s="28"/>
      <c r="AU187" s="28"/>
      <c r="AV187" s="28"/>
      <c r="AW187" s="28"/>
      <c r="AX187" s="28"/>
      <c r="AY187" s="28"/>
      <c r="AZ187" s="28"/>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24"/>
      <c r="BY187" s="24"/>
      <c r="BZ187" s="24"/>
      <c r="CA187" s="24"/>
      <c r="CB187" s="24"/>
      <c r="CC187" s="24"/>
      <c r="CD187" s="24"/>
    </row>
    <row r="188" spans="1:82" ht="13.2">
      <c r="A188" s="294">
        <f t="shared" si="15"/>
        <v>87</v>
      </c>
      <c r="B188" s="7" t="s">
        <v>493</v>
      </c>
      <c r="C188" s="377" t="str">
        <f ca="1">IFERROR(__xludf.DUMMYFUNCTION("GoogleFinance(B188,""name"")"),"iShares Biotechnology ETF")</f>
        <v>iShares Biotechnology ETF</v>
      </c>
      <c r="D188" s="378">
        <f ca="1">IFERROR(__xludf.DUMMYFUNCTION("GoogleFinance(B188,""marketcap"")/1000000"),8965.056427)</f>
        <v>8965.0564269999995</v>
      </c>
      <c r="E188" s="246" t="s">
        <v>17</v>
      </c>
      <c r="F188" s="246" t="s">
        <v>22</v>
      </c>
      <c r="G188" s="266">
        <v>45768</v>
      </c>
      <c r="H188" s="588">
        <v>132.1</v>
      </c>
      <c r="I188" s="490">
        <v>118.4</v>
      </c>
      <c r="J188" s="589">
        <f t="shared" si="46"/>
        <v>25.337837837837835</v>
      </c>
      <c r="K188" s="395">
        <v>3000</v>
      </c>
      <c r="L188" s="395">
        <v>3000</v>
      </c>
      <c r="M188" s="395">
        <f t="shared" ref="M188:M192" si="47">J188*H188</f>
        <v>3347.1283783783779</v>
      </c>
      <c r="N188" s="395">
        <f t="shared" si="11"/>
        <v>347.12837837837787</v>
      </c>
      <c r="O188" s="396">
        <f t="shared" si="12"/>
        <v>0.11570945945945929</v>
      </c>
      <c r="P188" s="626">
        <f t="shared" si="13"/>
        <v>81</v>
      </c>
      <c r="Q188" s="761">
        <f t="shared" si="39"/>
        <v>347.12837837837787</v>
      </c>
      <c r="R188" s="762">
        <f t="shared" si="18"/>
        <v>0.11570945945945929</v>
      </c>
      <c r="S188" s="752" t="s">
        <v>431</v>
      </c>
      <c r="T188" s="230">
        <v>45849</v>
      </c>
      <c r="U188" s="29" t="s">
        <v>296</v>
      </c>
      <c r="V188" s="339"/>
      <c r="W188" s="339"/>
      <c r="X188" s="14"/>
      <c r="Y188" s="14"/>
      <c r="Z188" s="14"/>
      <c r="AA188" s="14"/>
      <c r="AB188" s="14"/>
      <c r="AC188" s="14"/>
      <c r="AD188" s="14"/>
      <c r="AE188" s="14"/>
      <c r="AF188" s="4"/>
      <c r="AG188" s="4"/>
      <c r="AH188" s="14"/>
      <c r="AI188" s="14"/>
      <c r="AJ188" s="332"/>
      <c r="AK188" s="332"/>
      <c r="AL188" s="332"/>
      <c r="AM188" s="332"/>
      <c r="AN188" s="332"/>
      <c r="AO188" s="332"/>
      <c r="AP188" s="332"/>
      <c r="AQ188" s="28"/>
      <c r="AR188" s="332"/>
      <c r="AS188" s="28"/>
      <c r="AT188" s="28"/>
      <c r="AU188" s="28"/>
      <c r="AV188" s="28"/>
      <c r="AW188" s="28"/>
      <c r="AX188" s="28"/>
      <c r="AY188" s="28"/>
      <c r="AZ188" s="28"/>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24"/>
      <c r="BY188" s="24"/>
      <c r="BZ188" s="24"/>
      <c r="CA188" s="24"/>
      <c r="CB188" s="24"/>
      <c r="CC188" s="24"/>
      <c r="CD188" s="24"/>
    </row>
    <row r="189" spans="1:82" ht="13.2">
      <c r="A189" s="294">
        <f t="shared" si="15"/>
        <v>88</v>
      </c>
      <c r="B189" s="7" t="s">
        <v>494</v>
      </c>
      <c r="C189" s="377" t="str">
        <f ca="1">IFERROR(__xludf.DUMMYFUNCTION("GoogleFinance(B189,""name"")"),"Copa Holdings, S.A.")</f>
        <v>Copa Holdings, S.A.</v>
      </c>
      <c r="D189" s="378">
        <f ca="1">IFERROR(__xludf.DUMMYFUNCTION("GoogleFinance(B189,""marketcap"")/1000000"),4838.626419)</f>
        <v>4838.6264190000002</v>
      </c>
      <c r="E189" s="392" t="s">
        <v>11</v>
      </c>
      <c r="F189" s="392" t="s">
        <v>490</v>
      </c>
      <c r="G189" s="266">
        <v>45832</v>
      </c>
      <c r="H189" s="588">
        <v>110.5</v>
      </c>
      <c r="I189" s="490">
        <v>102.6</v>
      </c>
      <c r="J189" s="589">
        <f t="shared" ref="J189:J190" si="48">1500/I189</f>
        <v>14.619883040935674</v>
      </c>
      <c r="K189" s="395">
        <f t="shared" ref="K189:K190" si="49">J189*I189</f>
        <v>1500</v>
      </c>
      <c r="L189" s="395">
        <f t="shared" ref="L189:L190" si="50">K189</f>
        <v>1500</v>
      </c>
      <c r="M189" s="395">
        <f t="shared" si="47"/>
        <v>1615.4970760233921</v>
      </c>
      <c r="N189" s="395">
        <f t="shared" si="11"/>
        <v>115.49707602339208</v>
      </c>
      <c r="O189" s="396">
        <f t="shared" si="12"/>
        <v>7.6998050682261385E-2</v>
      </c>
      <c r="P189" s="626">
        <f t="shared" si="13"/>
        <v>7</v>
      </c>
      <c r="Q189" s="761">
        <f t="shared" si="39"/>
        <v>115.49707602339208</v>
      </c>
      <c r="R189" s="762">
        <f t="shared" si="18"/>
        <v>7.6998050682261385E-2</v>
      </c>
      <c r="S189" s="752" t="s">
        <v>431</v>
      </c>
      <c r="T189" s="230">
        <v>45839</v>
      </c>
      <c r="U189" s="29" t="s">
        <v>266</v>
      </c>
      <c r="V189" s="339"/>
      <c r="W189" s="339"/>
      <c r="X189" s="14"/>
      <c r="Y189" s="14"/>
      <c r="Z189" s="14"/>
      <c r="AA189" s="14"/>
      <c r="AB189" s="14"/>
      <c r="AC189" s="14"/>
      <c r="AD189" s="14"/>
      <c r="AE189" s="14"/>
      <c r="AF189" s="4"/>
      <c r="AG189" s="4"/>
      <c r="AH189" s="14"/>
      <c r="AI189" s="14"/>
      <c r="AJ189" s="332"/>
      <c r="AK189" s="332"/>
      <c r="AL189" s="332"/>
      <c r="AM189" s="332"/>
      <c r="AN189" s="332"/>
      <c r="AO189" s="332"/>
      <c r="AP189" s="332"/>
      <c r="AQ189" s="28"/>
      <c r="AR189" s="332"/>
      <c r="AS189" s="28"/>
      <c r="AT189" s="28"/>
      <c r="AU189" s="28"/>
      <c r="AV189" s="28"/>
      <c r="AW189" s="28"/>
      <c r="AX189" s="28"/>
      <c r="AY189" s="28"/>
      <c r="AZ189" s="28"/>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24"/>
      <c r="BY189" s="24"/>
      <c r="BZ189" s="24"/>
      <c r="CA189" s="24"/>
      <c r="CB189" s="24"/>
      <c r="CC189" s="24"/>
      <c r="CD189" s="24"/>
    </row>
    <row r="190" spans="1:82" ht="13.2">
      <c r="A190" s="294">
        <f t="shared" si="15"/>
        <v>89</v>
      </c>
      <c r="B190" s="7" t="s">
        <v>494</v>
      </c>
      <c r="C190" s="377" t="str">
        <f ca="1">IFERROR(__xludf.DUMMYFUNCTION("GoogleFinance(B190,""name"")"),"Copa Holdings, S.A.")</f>
        <v>Copa Holdings, S.A.</v>
      </c>
      <c r="D190" s="378">
        <f ca="1">IFERROR(__xludf.DUMMYFUNCTION("GoogleFinance(B190,""marketcap"")/1000000"),4838.626419)</f>
        <v>4838.6264190000002</v>
      </c>
      <c r="E190" s="392" t="s">
        <v>11</v>
      </c>
      <c r="F190" s="392" t="s">
        <v>490</v>
      </c>
      <c r="G190" s="266">
        <v>45832</v>
      </c>
      <c r="H190" s="588">
        <v>109.2</v>
      </c>
      <c r="I190" s="490">
        <v>102.6</v>
      </c>
      <c r="J190" s="589">
        <f t="shared" si="48"/>
        <v>14.619883040935674</v>
      </c>
      <c r="K190" s="395">
        <f t="shared" si="49"/>
        <v>1500</v>
      </c>
      <c r="L190" s="395">
        <f t="shared" si="50"/>
        <v>1500</v>
      </c>
      <c r="M190" s="395">
        <f t="shared" si="47"/>
        <v>1596.4912280701756</v>
      </c>
      <c r="N190" s="395">
        <f t="shared" si="11"/>
        <v>96.491228070175566</v>
      </c>
      <c r="O190" s="396">
        <f t="shared" si="12"/>
        <v>6.4327485380117039E-2</v>
      </c>
      <c r="P190" s="626">
        <f t="shared" si="13"/>
        <v>22</v>
      </c>
      <c r="Q190" s="761">
        <f t="shared" si="39"/>
        <v>96.491228070175566</v>
      </c>
      <c r="R190" s="762">
        <f t="shared" si="18"/>
        <v>6.4327485380117039E-2</v>
      </c>
      <c r="S190" s="752" t="s">
        <v>431</v>
      </c>
      <c r="T190" s="230">
        <v>45854</v>
      </c>
      <c r="U190" s="29" t="s">
        <v>264</v>
      </c>
      <c r="V190" s="339"/>
      <c r="W190" s="339"/>
      <c r="X190" s="14"/>
      <c r="Y190" s="14"/>
      <c r="Z190" s="14"/>
      <c r="AA190" s="14"/>
      <c r="AB190" s="14"/>
      <c r="AC190" s="14"/>
      <c r="AD190" s="14"/>
      <c r="AE190" s="14"/>
      <c r="AF190" s="4"/>
      <c r="AG190" s="4"/>
      <c r="AH190" s="14"/>
      <c r="AI190" s="14"/>
      <c r="AJ190" s="332"/>
      <c r="AK190" s="332"/>
      <c r="AL190" s="332"/>
      <c r="AM190" s="332"/>
      <c r="AN190" s="332"/>
      <c r="AO190" s="332"/>
      <c r="AP190" s="332"/>
      <c r="AQ190" s="28"/>
      <c r="AR190" s="332"/>
      <c r="AS190" s="28"/>
      <c r="AT190" s="28"/>
      <c r="AU190" s="28"/>
      <c r="AV190" s="28"/>
      <c r="AW190" s="28"/>
      <c r="AX190" s="28"/>
      <c r="AY190" s="28"/>
      <c r="AZ190" s="28"/>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24"/>
      <c r="BY190" s="24"/>
      <c r="BZ190" s="24"/>
      <c r="CA190" s="24"/>
      <c r="CB190" s="24"/>
      <c r="CC190" s="24"/>
      <c r="CD190" s="24"/>
    </row>
    <row r="191" spans="1:82" ht="13.2">
      <c r="A191" s="294">
        <f t="shared" si="15"/>
        <v>90</v>
      </c>
      <c r="B191" s="7" t="s">
        <v>495</v>
      </c>
      <c r="C191" s="377" t="str">
        <f ca="1">IFERROR(__xludf.DUMMYFUNCTION("GoogleFinance(B191,""name"")"),"Companhia Siderurgica Nacional SA")</f>
        <v>Companhia Siderurgica Nacional SA</v>
      </c>
      <c r="D191" s="378">
        <f ca="1">IFERROR(__xludf.DUMMYFUNCTION("GoogleFinance(B191,""marketcap"")/1000000"),10595.490756)</f>
        <v>10595.490755999999</v>
      </c>
      <c r="E191" s="246" t="s">
        <v>12</v>
      </c>
      <c r="F191" s="246" t="s">
        <v>496</v>
      </c>
      <c r="G191" s="266">
        <v>45840</v>
      </c>
      <c r="H191" s="588">
        <v>1.42</v>
      </c>
      <c r="I191" s="490">
        <v>1.49</v>
      </c>
      <c r="J191" s="589">
        <f>3000/I191</f>
        <v>2013.4228187919464</v>
      </c>
      <c r="K191" s="395">
        <v>3000</v>
      </c>
      <c r="L191" s="395">
        <v>3000</v>
      </c>
      <c r="M191" s="395">
        <f t="shared" si="47"/>
        <v>2859.0604026845635</v>
      </c>
      <c r="N191" s="395">
        <f t="shared" si="11"/>
        <v>-140.93959731543646</v>
      </c>
      <c r="O191" s="396">
        <f t="shared" si="12"/>
        <v>-4.6979865771812152E-2</v>
      </c>
      <c r="P191" s="626">
        <f t="shared" si="13"/>
        <v>14</v>
      </c>
      <c r="Q191" s="761">
        <f t="shared" si="39"/>
        <v>-140.93959731543646</v>
      </c>
      <c r="R191" s="762">
        <f t="shared" si="18"/>
        <v>-4.6979865771812152E-2</v>
      </c>
      <c r="S191" s="752" t="s">
        <v>431</v>
      </c>
      <c r="T191" s="230">
        <v>45854</v>
      </c>
      <c r="U191" s="29" t="s">
        <v>264</v>
      </c>
      <c r="V191" s="339"/>
      <c r="W191" s="339"/>
      <c r="X191" s="14"/>
      <c r="Y191" s="14"/>
      <c r="Z191" s="14"/>
      <c r="AA191" s="14"/>
      <c r="AB191" s="14"/>
      <c r="AC191" s="14"/>
      <c r="AD191" s="14"/>
      <c r="AE191" s="14"/>
      <c r="AF191" s="4"/>
      <c r="AG191" s="4"/>
      <c r="AH191" s="14"/>
      <c r="AI191" s="14"/>
      <c r="AJ191" s="332"/>
      <c r="AK191" s="332"/>
      <c r="AL191" s="332"/>
      <c r="AM191" s="332"/>
      <c r="AN191" s="332"/>
      <c r="AO191" s="332"/>
      <c r="AP191" s="332"/>
      <c r="AQ191" s="28"/>
      <c r="AR191" s="332"/>
      <c r="AS191" s="28"/>
      <c r="AT191" s="28"/>
      <c r="AU191" s="28"/>
      <c r="AV191" s="28"/>
      <c r="AW191" s="28"/>
      <c r="AX191" s="28"/>
      <c r="AY191" s="28"/>
      <c r="AZ191" s="28"/>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24"/>
      <c r="BY191" s="24"/>
      <c r="BZ191" s="24"/>
      <c r="CA191" s="24"/>
      <c r="CB191" s="24"/>
      <c r="CC191" s="24"/>
      <c r="CD191" s="24"/>
    </row>
    <row r="192" spans="1:82" ht="13.2">
      <c r="A192" s="294">
        <f t="shared" si="15"/>
        <v>91</v>
      </c>
      <c r="B192" s="7" t="s">
        <v>497</v>
      </c>
      <c r="C192" s="377" t="str">
        <f ca="1">IFERROR(__xludf.DUMMYFUNCTION("GoogleFinance(B192,""name"")"),"Oscar Health Inc")</f>
        <v>Oscar Health Inc</v>
      </c>
      <c r="D192" s="378">
        <f ca="1">IFERROR(__xludf.DUMMYFUNCTION("GoogleFinance(B192,""marketcap"")/1000000"),4762.636537)</f>
        <v>4762.6365370000003</v>
      </c>
      <c r="E192" s="392" t="s">
        <v>17</v>
      </c>
      <c r="F192" s="392"/>
      <c r="G192" s="266">
        <v>45854</v>
      </c>
      <c r="H192" s="588">
        <v>13</v>
      </c>
      <c r="I192" s="490">
        <v>15.1</v>
      </c>
      <c r="J192" s="589">
        <f>2000/I192</f>
        <v>132.45033112582783</v>
      </c>
      <c r="K192" s="395">
        <f>J192*I192</f>
        <v>2000.0000000000002</v>
      </c>
      <c r="L192" s="395">
        <f t="shared" ref="L192:L200" si="51">K192</f>
        <v>2000.0000000000002</v>
      </c>
      <c r="M192" s="395">
        <f t="shared" si="47"/>
        <v>1721.8543046357618</v>
      </c>
      <c r="N192" s="395">
        <f t="shared" si="11"/>
        <v>-278.14569536423846</v>
      </c>
      <c r="O192" s="396">
        <f t="shared" si="12"/>
        <v>-0.13907284768211922</v>
      </c>
      <c r="P192" s="571">
        <f ca="1">TODAY()-G192</f>
        <v>75</v>
      </c>
      <c r="Q192" s="761">
        <f t="shared" si="39"/>
        <v>-278.14569536423846</v>
      </c>
      <c r="R192" s="762">
        <f t="shared" si="18"/>
        <v>-0.13907284768211922</v>
      </c>
      <c r="S192" s="752" t="s">
        <v>431</v>
      </c>
      <c r="T192" s="230">
        <v>45860</v>
      </c>
      <c r="U192" s="29" t="s">
        <v>62</v>
      </c>
      <c r="V192" s="339"/>
      <c r="W192" s="339"/>
      <c r="X192" s="14"/>
      <c r="Y192" s="14"/>
      <c r="Z192" s="14"/>
      <c r="AA192" s="14"/>
      <c r="AB192" s="14"/>
      <c r="AC192" s="14"/>
      <c r="AD192" s="14"/>
      <c r="AE192" s="14"/>
      <c r="AF192" s="4"/>
      <c r="AG192" s="4"/>
      <c r="AH192" s="14"/>
      <c r="AI192" s="14"/>
      <c r="AJ192" s="332"/>
      <c r="AK192" s="332"/>
      <c r="AL192" s="332"/>
      <c r="AM192" s="332"/>
      <c r="AN192" s="332"/>
      <c r="AO192" s="332"/>
      <c r="AP192" s="332"/>
      <c r="AQ192" s="28"/>
      <c r="AR192" s="332"/>
      <c r="AS192" s="28"/>
      <c r="AT192" s="28"/>
      <c r="AU192" s="28"/>
      <c r="AV192" s="28"/>
      <c r="AW192" s="28"/>
      <c r="AX192" s="28"/>
      <c r="AY192" s="28"/>
      <c r="AZ192" s="28"/>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24"/>
      <c r="BY192" s="24"/>
      <c r="BZ192" s="24"/>
      <c r="CA192" s="24"/>
      <c r="CB192" s="24"/>
      <c r="CC192" s="24"/>
      <c r="CD192" s="24"/>
    </row>
    <row r="193" spans="1:82" ht="13.2">
      <c r="A193" s="294">
        <f t="shared" si="15"/>
        <v>92</v>
      </c>
      <c r="B193" s="1" t="s">
        <v>451</v>
      </c>
      <c r="C193" s="233" t="str">
        <f ca="1">IFERROR(__xludf.DUMMYFUNCTION("GoogleFinance(B193,""name"")"),"Palantir Technologies Inc")</f>
        <v>Palantir Technologies Inc</v>
      </c>
      <c r="D193" s="234">
        <f ca="1">IFERROR(__xludf.DUMMYFUNCTION("GoogleFinance(B193,""marketcap"")/1000000"),421078.4)</f>
        <v>421078.4</v>
      </c>
      <c r="E193" s="229" t="s">
        <v>7</v>
      </c>
      <c r="F193" s="229" t="s">
        <v>373</v>
      </c>
      <c r="G193" s="266">
        <v>45825</v>
      </c>
      <c r="H193" s="588">
        <v>160</v>
      </c>
      <c r="I193" s="237">
        <v>137.6</v>
      </c>
      <c r="J193" s="507">
        <f>3000/I193</f>
        <v>21.802325581395351</v>
      </c>
      <c r="K193" s="249">
        <f>J193*H193</f>
        <v>3488.3720930232562</v>
      </c>
      <c r="L193" s="249">
        <f t="shared" si="51"/>
        <v>3488.3720930232562</v>
      </c>
      <c r="M193" s="564">
        <v>3000</v>
      </c>
      <c r="N193" s="564">
        <f t="shared" si="11"/>
        <v>-488.37209302325618</v>
      </c>
      <c r="O193" s="565">
        <f t="shared" si="12"/>
        <v>-0.1400000000000001</v>
      </c>
      <c r="P193" s="626">
        <f t="shared" ref="P193:P211" si="52">T193-G193</f>
        <v>38</v>
      </c>
      <c r="Q193" s="761">
        <f t="shared" si="39"/>
        <v>-488.37209302325618</v>
      </c>
      <c r="R193" s="762">
        <f t="shared" si="18"/>
        <v>-0.1400000000000001</v>
      </c>
      <c r="S193" s="752" t="s">
        <v>483</v>
      </c>
      <c r="T193" s="230">
        <v>45863</v>
      </c>
      <c r="U193" s="29" t="s">
        <v>62</v>
      </c>
      <c r="V193" s="339"/>
      <c r="W193" s="339"/>
      <c r="X193" s="14"/>
      <c r="Y193" s="14"/>
      <c r="Z193" s="14"/>
      <c r="AA193" s="14"/>
      <c r="AB193" s="14"/>
      <c r="AC193" s="14"/>
      <c r="AD193" s="14"/>
      <c r="AE193" s="14"/>
      <c r="AF193" s="4"/>
      <c r="AG193" s="4"/>
      <c r="AH193" s="14"/>
      <c r="AI193" s="14"/>
      <c r="AJ193" s="332"/>
      <c r="AK193" s="332"/>
      <c r="AL193" s="332"/>
      <c r="AM193" s="332"/>
      <c r="AN193" s="332"/>
      <c r="AO193" s="332"/>
      <c r="AP193" s="332"/>
      <c r="AQ193" s="28"/>
      <c r="AR193" s="332"/>
      <c r="AS193" s="28"/>
      <c r="AT193" s="28"/>
      <c r="AU193" s="28"/>
      <c r="AV193" s="28"/>
      <c r="AW193" s="28"/>
      <c r="AX193" s="28"/>
      <c r="AY193" s="28"/>
      <c r="AZ193" s="28"/>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24"/>
      <c r="BY193" s="24"/>
      <c r="BZ193" s="24"/>
      <c r="CA193" s="24"/>
      <c r="CB193" s="24"/>
      <c r="CC193" s="24"/>
      <c r="CD193" s="24"/>
    </row>
    <row r="194" spans="1:82" ht="13.2">
      <c r="A194" s="294">
        <f t="shared" si="15"/>
        <v>93</v>
      </c>
      <c r="B194" s="7" t="s">
        <v>498</v>
      </c>
      <c r="C194" s="377" t="str">
        <f ca="1">IFERROR(__xludf.DUMMYFUNCTION("GoogleFinance(B194,""name"")"),"ProShares Ultra VIX Short-Term Futures ETF")</f>
        <v>ProShares Ultra VIX Short-Term Futures ETF</v>
      </c>
      <c r="D194" s="378" t="str">
        <f ca="1">IFERROR(__xludf.DUMMYFUNCTION("GoogleFinance(B194,""marketcap"")/1000000"),"#N/A")</f>
        <v>#N/A</v>
      </c>
      <c r="E194" s="392" t="s">
        <v>499</v>
      </c>
      <c r="F194" s="392" t="s">
        <v>499</v>
      </c>
      <c r="G194" s="266">
        <v>45848</v>
      </c>
      <c r="H194" s="588">
        <v>15</v>
      </c>
      <c r="I194" s="490">
        <v>17.059999999999999</v>
      </c>
      <c r="J194" s="589">
        <f>K194/I194</f>
        <v>175.8499413833529</v>
      </c>
      <c r="K194" s="395">
        <v>3000</v>
      </c>
      <c r="L194" s="395">
        <f t="shared" si="51"/>
        <v>3000</v>
      </c>
      <c r="M194" s="395">
        <f t="shared" ref="M194:M198" si="53">J194*H194</f>
        <v>2637.7491207502935</v>
      </c>
      <c r="N194" s="395">
        <f t="shared" si="11"/>
        <v>-362.25087924970649</v>
      </c>
      <c r="O194" s="396">
        <f t="shared" si="12"/>
        <v>-0.1207502930832355</v>
      </c>
      <c r="P194" s="626">
        <f t="shared" si="52"/>
        <v>18</v>
      </c>
      <c r="Q194" s="761">
        <f t="shared" si="39"/>
        <v>-362.25087924970649</v>
      </c>
      <c r="R194" s="762">
        <f t="shared" si="18"/>
        <v>-0.1207502930832355</v>
      </c>
      <c r="S194" s="752" t="s">
        <v>431</v>
      </c>
      <c r="T194" s="230">
        <v>45866</v>
      </c>
      <c r="U194" s="29" t="s">
        <v>62</v>
      </c>
      <c r="V194" s="339"/>
      <c r="W194" s="339"/>
      <c r="X194" s="14"/>
      <c r="Y194" s="14"/>
      <c r="Z194" s="14"/>
      <c r="AA194" s="14"/>
      <c r="AB194" s="14"/>
      <c r="AC194" s="14"/>
      <c r="AD194" s="14"/>
      <c r="AE194" s="14"/>
      <c r="AF194" s="4"/>
      <c r="AG194" s="4"/>
      <c r="AH194" s="14"/>
      <c r="AI194" s="14"/>
      <c r="AJ194" s="332"/>
      <c r="AK194" s="332"/>
      <c r="AL194" s="332"/>
      <c r="AM194" s="332"/>
      <c r="AN194" s="332"/>
      <c r="AO194" s="332"/>
      <c r="AP194" s="332"/>
      <c r="AQ194" s="28"/>
      <c r="AR194" s="332"/>
      <c r="AS194" s="28"/>
      <c r="AT194" s="28"/>
      <c r="AU194" s="28"/>
      <c r="AV194" s="28"/>
      <c r="AW194" s="28"/>
      <c r="AX194" s="28"/>
      <c r="AY194" s="28"/>
      <c r="AZ194" s="28"/>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24"/>
      <c r="BY194" s="24"/>
      <c r="BZ194" s="24"/>
      <c r="CA194" s="24"/>
      <c r="CB194" s="24"/>
      <c r="CC194" s="24"/>
      <c r="CD194" s="24"/>
    </row>
    <row r="195" spans="1:82" ht="13.2">
      <c r="A195" s="294">
        <f t="shared" si="15"/>
        <v>94</v>
      </c>
      <c r="B195" s="7" t="s">
        <v>500</v>
      </c>
      <c r="C195" s="377" t="str">
        <f ca="1">IFERROR(__xludf.DUMMYFUNCTION("GoogleFinance(B195,""name"")"),"IBM Common Stock")</f>
        <v>IBM Common Stock</v>
      </c>
      <c r="D195" s="378">
        <f ca="1">IFERROR(__xludf.DUMMYFUNCTION("GoogleFinance(B195,""marketcap"")/1000000"),264840.249908)</f>
        <v>264840.249908</v>
      </c>
      <c r="E195" s="392" t="s">
        <v>7</v>
      </c>
      <c r="F195" s="392" t="s">
        <v>501</v>
      </c>
      <c r="G195" s="266">
        <v>45862</v>
      </c>
      <c r="H195" s="588">
        <v>249</v>
      </c>
      <c r="I195" s="490">
        <v>261.72000000000003</v>
      </c>
      <c r="J195" s="589">
        <f t="shared" ref="J195:J196" si="54">3000/I195</f>
        <v>11.462631820265932</v>
      </c>
      <c r="K195" s="395">
        <v>3000</v>
      </c>
      <c r="L195" s="395">
        <f t="shared" si="51"/>
        <v>3000</v>
      </c>
      <c r="M195" s="395">
        <f t="shared" si="53"/>
        <v>2854.195323246217</v>
      </c>
      <c r="N195" s="395">
        <f t="shared" si="11"/>
        <v>-145.80467675378304</v>
      </c>
      <c r="O195" s="396">
        <f t="shared" si="12"/>
        <v>-4.8601558917927681E-2</v>
      </c>
      <c r="P195" s="626">
        <f t="shared" si="52"/>
        <v>8</v>
      </c>
      <c r="Q195" s="761">
        <f t="shared" si="39"/>
        <v>-145.80467675378304</v>
      </c>
      <c r="R195" s="762">
        <f t="shared" si="18"/>
        <v>-4.8601558917927681E-2</v>
      </c>
      <c r="S195" s="752" t="s">
        <v>431</v>
      </c>
      <c r="T195" s="230">
        <v>45870</v>
      </c>
      <c r="U195" s="29" t="s">
        <v>62</v>
      </c>
      <c r="V195" s="339"/>
      <c r="W195" s="339"/>
      <c r="X195" s="14"/>
      <c r="Y195" s="14"/>
      <c r="Z195" s="14"/>
      <c r="AA195" s="14"/>
      <c r="AB195" s="14"/>
      <c r="AC195" s="14"/>
      <c r="AD195" s="14"/>
      <c r="AE195" s="14"/>
      <c r="AF195" s="4"/>
      <c r="AG195" s="4"/>
      <c r="AH195" s="14"/>
      <c r="AI195" s="14"/>
      <c r="AJ195" s="332"/>
      <c r="AK195" s="332"/>
      <c r="AL195" s="332"/>
      <c r="AM195" s="332"/>
      <c r="AN195" s="332"/>
      <c r="AO195" s="332"/>
      <c r="AP195" s="332"/>
      <c r="AQ195" s="28"/>
      <c r="AR195" s="332"/>
      <c r="AS195" s="28"/>
      <c r="AT195" s="28"/>
      <c r="AU195" s="28"/>
      <c r="AV195" s="28"/>
      <c r="AW195" s="28"/>
      <c r="AX195" s="28"/>
      <c r="AY195" s="28"/>
      <c r="AZ195" s="28"/>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24"/>
      <c r="BY195" s="24"/>
      <c r="BZ195" s="24"/>
      <c r="CA195" s="24"/>
      <c r="CB195" s="24"/>
      <c r="CC195" s="24"/>
      <c r="CD195" s="24"/>
    </row>
    <row r="196" spans="1:82" ht="13.2">
      <c r="A196" s="294">
        <f t="shared" si="15"/>
        <v>95</v>
      </c>
      <c r="B196" s="7" t="s">
        <v>502</v>
      </c>
      <c r="C196" s="377" t="str">
        <f ca="1">IFERROR(__xludf.DUMMYFUNCTION("GoogleFinance(B196,""name"")"),"Direxion Daily AAPL Bear 1X Shares")</f>
        <v>Direxion Daily AAPL Bear 1X Shares</v>
      </c>
      <c r="D196" s="378" t="str">
        <f ca="1">IFERROR(__xludf.DUMMYFUNCTION("GoogleFinance(B196,""marketcap"")/1000000"),"#N/A")</f>
        <v>#N/A</v>
      </c>
      <c r="E196" s="392" t="s">
        <v>503</v>
      </c>
      <c r="F196" s="392" t="s">
        <v>504</v>
      </c>
      <c r="G196" s="266">
        <v>45876</v>
      </c>
      <c r="H196" s="588">
        <v>15.5</v>
      </c>
      <c r="I196" s="490">
        <v>16.399999999999999</v>
      </c>
      <c r="J196" s="589">
        <f t="shared" si="54"/>
        <v>182.92682926829269</v>
      </c>
      <c r="K196" s="395">
        <f>J196*I196</f>
        <v>3000</v>
      </c>
      <c r="L196" s="395">
        <f t="shared" si="51"/>
        <v>3000</v>
      </c>
      <c r="M196" s="395">
        <f t="shared" si="53"/>
        <v>2835.3658536585367</v>
      </c>
      <c r="N196" s="395">
        <f t="shared" si="11"/>
        <v>-164.63414634146329</v>
      </c>
      <c r="O196" s="396">
        <f t="shared" si="12"/>
        <v>-5.4878048780487763E-2</v>
      </c>
      <c r="P196" s="626">
        <f t="shared" si="52"/>
        <v>6</v>
      </c>
      <c r="Q196" s="761">
        <f t="shared" si="39"/>
        <v>-164.63414634146329</v>
      </c>
      <c r="R196" s="762">
        <f t="shared" si="18"/>
        <v>-5.4878048780487763E-2</v>
      </c>
      <c r="S196" s="752" t="s">
        <v>431</v>
      </c>
      <c r="T196" s="230">
        <v>45882</v>
      </c>
      <c r="U196" s="29" t="s">
        <v>62</v>
      </c>
      <c r="V196" s="339"/>
      <c r="W196" s="339"/>
      <c r="X196" s="14"/>
      <c r="Y196" s="14"/>
      <c r="Z196" s="14"/>
      <c r="AA196" s="14"/>
      <c r="AB196" s="14"/>
      <c r="AC196" s="14"/>
      <c r="AD196" s="14"/>
      <c r="AE196" s="14"/>
      <c r="AF196" s="4"/>
      <c r="AG196" s="4"/>
      <c r="AH196" s="14"/>
      <c r="AI196" s="14"/>
      <c r="AJ196" s="332"/>
      <c r="AK196" s="332"/>
      <c r="AL196" s="332"/>
      <c r="AM196" s="332"/>
      <c r="AN196" s="332"/>
      <c r="AO196" s="332"/>
      <c r="AP196" s="332"/>
      <c r="AQ196" s="28"/>
      <c r="AR196" s="332"/>
      <c r="AS196" s="28"/>
      <c r="AT196" s="28"/>
      <c r="AU196" s="28"/>
      <c r="AV196" s="28"/>
      <c r="AW196" s="28"/>
      <c r="AX196" s="28"/>
      <c r="AY196" s="28"/>
      <c r="AZ196" s="28"/>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24"/>
      <c r="BY196" s="24"/>
      <c r="BZ196" s="24"/>
      <c r="CA196" s="24"/>
      <c r="CB196" s="24"/>
      <c r="CC196" s="24"/>
      <c r="CD196" s="24"/>
    </row>
    <row r="197" spans="1:82" ht="13.2">
      <c r="A197" s="294">
        <f t="shared" si="15"/>
        <v>96</v>
      </c>
      <c r="B197" s="7" t="s">
        <v>505</v>
      </c>
      <c r="C197" s="377" t="str">
        <f ca="1">IFERROR(__xludf.DUMMYFUNCTION("GoogleFinance(B197,""name"")"),"Direxion Daily S&amp;P 500 Bear 3X Shares")</f>
        <v>Direxion Daily S&amp;P 500 Bear 3X Shares</v>
      </c>
      <c r="D197" s="378" t="str">
        <f ca="1">IFERROR(__xludf.DUMMYFUNCTION("GoogleFinance(B197,""marketcap"")/1000000"),"#N/A")</f>
        <v>#N/A</v>
      </c>
      <c r="E197" s="392" t="s">
        <v>506</v>
      </c>
      <c r="F197" s="392" t="s">
        <v>506</v>
      </c>
      <c r="G197" s="266">
        <v>45841</v>
      </c>
      <c r="H197" s="588">
        <v>4.2699999999999996</v>
      </c>
      <c r="I197" s="490">
        <v>4.5599999999999996</v>
      </c>
      <c r="J197" s="589">
        <f t="shared" ref="J197:J198" si="55">K197/I197</f>
        <v>1096.4912280701756</v>
      </c>
      <c r="K197" s="395">
        <v>5000</v>
      </c>
      <c r="L197" s="395">
        <f t="shared" si="51"/>
        <v>5000</v>
      </c>
      <c r="M197" s="395">
        <f t="shared" si="53"/>
        <v>4682.0175438596489</v>
      </c>
      <c r="N197" s="395">
        <f t="shared" si="11"/>
        <v>-317.98245614035113</v>
      </c>
      <c r="O197" s="396">
        <f t="shared" si="12"/>
        <v>-6.359649122807022E-2</v>
      </c>
      <c r="P197" s="626">
        <f t="shared" si="52"/>
        <v>41</v>
      </c>
      <c r="Q197" s="761">
        <f t="shared" si="39"/>
        <v>-317.98245614035113</v>
      </c>
      <c r="R197" s="762">
        <f t="shared" si="18"/>
        <v>-6.359649122807022E-2</v>
      </c>
      <c r="S197" s="752" t="s">
        <v>431</v>
      </c>
      <c r="T197" s="230">
        <v>45882</v>
      </c>
      <c r="U197" s="29" t="s">
        <v>62</v>
      </c>
      <c r="V197" s="339"/>
      <c r="W197" s="339"/>
      <c r="X197" s="14"/>
      <c r="Y197" s="14"/>
      <c r="Z197" s="14"/>
      <c r="AA197" s="14"/>
      <c r="AB197" s="14"/>
      <c r="AC197" s="14"/>
      <c r="AD197" s="14"/>
      <c r="AE197" s="14"/>
      <c r="AF197" s="4"/>
      <c r="AG197" s="4"/>
      <c r="AH197" s="14"/>
      <c r="AI197" s="14"/>
      <c r="AJ197" s="332"/>
      <c r="AK197" s="332"/>
      <c r="AL197" s="332"/>
      <c r="AM197" s="332"/>
      <c r="AN197" s="332"/>
      <c r="AO197" s="332"/>
      <c r="AP197" s="332"/>
      <c r="AQ197" s="28"/>
      <c r="AR197" s="332"/>
      <c r="AS197" s="28"/>
      <c r="AT197" s="28"/>
      <c r="AU197" s="28"/>
      <c r="AV197" s="28"/>
      <c r="AW197" s="28"/>
      <c r="AX197" s="28"/>
      <c r="AY197" s="28"/>
      <c r="AZ197" s="28"/>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24"/>
      <c r="BY197" s="24"/>
      <c r="BZ197" s="24"/>
      <c r="CA197" s="24"/>
      <c r="CB197" s="24"/>
      <c r="CC197" s="24"/>
      <c r="CD197" s="24"/>
    </row>
    <row r="198" spans="1:82" ht="13.2">
      <c r="A198" s="294">
        <f t="shared" si="15"/>
        <v>97</v>
      </c>
      <c r="B198" s="7" t="s">
        <v>480</v>
      </c>
      <c r="C198" s="377" t="str">
        <f ca="1">IFERROR(__xludf.DUMMYFUNCTION("GoogleFinance(B198,""name"")"),"Direxion Daily Semiconductor Bear 3X Shares")</f>
        <v>Direxion Daily Semiconductor Bear 3X Shares</v>
      </c>
      <c r="D198" s="378" t="str">
        <f ca="1">IFERROR(__xludf.DUMMYFUNCTION("GoogleFinance(B198,""marketcap"")/1000000"),"#N/A")</f>
        <v>#N/A</v>
      </c>
      <c r="E198" s="392" t="s">
        <v>507</v>
      </c>
      <c r="F198" s="392" t="s">
        <v>507</v>
      </c>
      <c r="G198" s="266">
        <v>45861</v>
      </c>
      <c r="H198" s="588">
        <v>6.7</v>
      </c>
      <c r="I198" s="490">
        <v>7.64</v>
      </c>
      <c r="J198" s="589">
        <f t="shared" si="55"/>
        <v>392.67015706806285</v>
      </c>
      <c r="K198" s="395">
        <v>3000</v>
      </c>
      <c r="L198" s="395">
        <f t="shared" si="51"/>
        <v>3000</v>
      </c>
      <c r="M198" s="395">
        <f t="shared" si="53"/>
        <v>2630.890052356021</v>
      </c>
      <c r="N198" s="395">
        <f t="shared" si="11"/>
        <v>-369.10994764397901</v>
      </c>
      <c r="O198" s="396">
        <f t="shared" si="12"/>
        <v>-0.12303664921465968</v>
      </c>
      <c r="P198" s="626">
        <f t="shared" si="52"/>
        <v>21</v>
      </c>
      <c r="Q198" s="761">
        <f t="shared" si="39"/>
        <v>-369.10994764397901</v>
      </c>
      <c r="R198" s="762">
        <f t="shared" si="18"/>
        <v>-0.12303664921465968</v>
      </c>
      <c r="S198" s="752" t="s">
        <v>431</v>
      </c>
      <c r="T198" s="230">
        <v>45882</v>
      </c>
      <c r="U198" s="29" t="s">
        <v>62</v>
      </c>
      <c r="V198" s="339"/>
      <c r="W198" s="339"/>
      <c r="X198" s="14"/>
      <c r="Y198" s="14"/>
      <c r="Z198" s="14"/>
      <c r="AA198" s="14"/>
      <c r="AB198" s="14"/>
      <c r="AC198" s="14"/>
      <c r="AD198" s="14"/>
      <c r="AE198" s="14"/>
      <c r="AF198" s="4"/>
      <c r="AG198" s="4"/>
      <c r="AH198" s="14"/>
      <c r="AI198" s="14"/>
      <c r="AJ198" s="332"/>
      <c r="AK198" s="332"/>
      <c r="AL198" s="332"/>
      <c r="AM198" s="332"/>
      <c r="AN198" s="332"/>
      <c r="AO198" s="332"/>
      <c r="AP198" s="332"/>
      <c r="AQ198" s="28"/>
      <c r="AR198" s="332"/>
      <c r="AS198" s="28"/>
      <c r="AT198" s="28"/>
      <c r="AU198" s="28"/>
      <c r="AV198" s="28"/>
      <c r="AW198" s="28"/>
      <c r="AX198" s="28"/>
      <c r="AY198" s="28"/>
      <c r="AZ198" s="28"/>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24"/>
      <c r="BY198" s="24"/>
      <c r="BZ198" s="24"/>
      <c r="CA198" s="24"/>
      <c r="CB198" s="24"/>
      <c r="CC198" s="24"/>
      <c r="CD198" s="24"/>
    </row>
    <row r="199" spans="1:82" ht="13.2">
      <c r="A199" s="294">
        <f t="shared" si="15"/>
        <v>98</v>
      </c>
      <c r="B199" s="1" t="s">
        <v>309</v>
      </c>
      <c r="C199" s="233" t="str">
        <f ca="1">IFERROR(__xludf.DUMMYFUNCTION("GoogleFinance(B199,""name"")"),"AbbVie Inc")</f>
        <v>AbbVie Inc</v>
      </c>
      <c r="D199" s="234">
        <f ca="1">IFERROR(__xludf.DUMMYFUNCTION("GoogleFinance(B199,""marketcap"")/1000000"),389720.361458)</f>
        <v>389720.36145800003</v>
      </c>
      <c r="E199" s="229" t="s">
        <v>17</v>
      </c>
      <c r="F199" s="229" t="s">
        <v>301</v>
      </c>
      <c r="G199" s="266">
        <v>45825</v>
      </c>
      <c r="H199" s="588">
        <v>200</v>
      </c>
      <c r="I199" s="237">
        <v>185.9</v>
      </c>
      <c r="J199" s="507">
        <f>3000/I199</f>
        <v>16.137708445400751</v>
      </c>
      <c r="K199" s="249">
        <f>J199*H199</f>
        <v>3227.5416890801503</v>
      </c>
      <c r="L199" s="249">
        <f t="shared" si="51"/>
        <v>3227.5416890801503</v>
      </c>
      <c r="M199" s="395">
        <v>3000</v>
      </c>
      <c r="N199" s="395">
        <f t="shared" si="11"/>
        <v>-227.54168908015026</v>
      </c>
      <c r="O199" s="396">
        <f t="shared" si="12"/>
        <v>-7.0499999999999896E-2</v>
      </c>
      <c r="P199" s="626">
        <f t="shared" si="52"/>
        <v>57</v>
      </c>
      <c r="Q199" s="761">
        <f t="shared" si="39"/>
        <v>-227.54168908015026</v>
      </c>
      <c r="R199" s="762">
        <f t="shared" si="18"/>
        <v>-7.0499999999999896E-2</v>
      </c>
      <c r="S199" s="752" t="s">
        <v>483</v>
      </c>
      <c r="T199" s="230">
        <v>45882</v>
      </c>
      <c r="U199" s="29" t="s">
        <v>62</v>
      </c>
      <c r="V199" s="339"/>
      <c r="W199" s="339"/>
      <c r="X199" s="14"/>
      <c r="Y199" s="14"/>
      <c r="Z199" s="14"/>
      <c r="AA199" s="14"/>
      <c r="AB199" s="14"/>
      <c r="AC199" s="14"/>
      <c r="AD199" s="14"/>
      <c r="AE199" s="14"/>
      <c r="AF199" s="4"/>
      <c r="AG199" s="4"/>
      <c r="AH199" s="14"/>
      <c r="AI199" s="14"/>
      <c r="AJ199" s="332"/>
      <c r="AK199" s="332"/>
      <c r="AL199" s="332"/>
      <c r="AM199" s="332"/>
      <c r="AN199" s="332"/>
      <c r="AO199" s="332"/>
      <c r="AP199" s="332"/>
      <c r="AQ199" s="28"/>
      <c r="AR199" s="332"/>
      <c r="AS199" s="28"/>
      <c r="AT199" s="28"/>
      <c r="AU199" s="28"/>
      <c r="AV199" s="28"/>
      <c r="AW199" s="28"/>
      <c r="AX199" s="28"/>
      <c r="AY199" s="28"/>
      <c r="AZ199" s="28"/>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24"/>
      <c r="BY199" s="24"/>
      <c r="BZ199" s="24"/>
      <c r="CA199" s="24"/>
      <c r="CB199" s="24"/>
      <c r="CC199" s="24"/>
      <c r="CD199" s="24"/>
    </row>
    <row r="200" spans="1:82" ht="13.2">
      <c r="A200" s="294">
        <f t="shared" si="15"/>
        <v>99</v>
      </c>
      <c r="B200" s="753" t="s">
        <v>508</v>
      </c>
      <c r="C200" s="754" t="str">
        <f ca="1">IFERROR(__xludf.DUMMYFUNCTION("GoogleFinance(B200,""name"")"),"Zoom Communications Inc")</f>
        <v>Zoom Communications Inc</v>
      </c>
      <c r="D200" s="755">
        <f ca="1">IFERROR(__xludf.DUMMYFUNCTION("GoogleFinance(B200,""marketcap"")/1000000"),25292.94)</f>
        <v>25292.94</v>
      </c>
      <c r="E200" s="756" t="s">
        <v>13</v>
      </c>
      <c r="F200" s="756" t="s">
        <v>24</v>
      </c>
      <c r="G200" s="763">
        <v>45870</v>
      </c>
      <c r="H200" s="758">
        <v>82.8</v>
      </c>
      <c r="I200" s="759">
        <v>71.44</v>
      </c>
      <c r="J200" s="760">
        <v>14</v>
      </c>
      <c r="K200" s="761">
        <f>J200*I200</f>
        <v>1000.16</v>
      </c>
      <c r="L200" s="761">
        <f t="shared" si="51"/>
        <v>1000.16</v>
      </c>
      <c r="M200" s="761">
        <f t="shared" ref="M200:M202" si="56">J200*H200</f>
        <v>1159.2</v>
      </c>
      <c r="N200" s="761">
        <f t="shared" si="11"/>
        <v>159.04000000000008</v>
      </c>
      <c r="O200" s="762">
        <f t="shared" si="12"/>
        <v>0.15901455767077277</v>
      </c>
      <c r="P200" s="626">
        <f t="shared" si="52"/>
        <v>24</v>
      </c>
      <c r="Q200" s="761">
        <f t="shared" si="39"/>
        <v>159.04000000000008</v>
      </c>
      <c r="R200" s="762">
        <f t="shared" si="18"/>
        <v>0.15901455767077277</v>
      </c>
      <c r="S200" s="752" t="s">
        <v>431</v>
      </c>
      <c r="T200" s="230">
        <v>45894</v>
      </c>
      <c r="U200" s="29" t="s">
        <v>509</v>
      </c>
      <c r="V200" s="339"/>
      <c r="W200" s="339"/>
      <c r="X200" s="14"/>
      <c r="Y200" s="14"/>
      <c r="Z200" s="14"/>
      <c r="AA200" s="14"/>
      <c r="AB200" s="14"/>
      <c r="AC200" s="14"/>
      <c r="AD200" s="14"/>
      <c r="AE200" s="14"/>
      <c r="AF200" s="4"/>
      <c r="AG200" s="4"/>
      <c r="AH200" s="14"/>
      <c r="AI200" s="14"/>
      <c r="AJ200" s="332"/>
      <c r="AK200" s="332"/>
      <c r="AL200" s="332"/>
      <c r="AM200" s="332"/>
      <c r="AN200" s="332"/>
      <c r="AO200" s="332"/>
      <c r="AP200" s="332"/>
      <c r="AQ200" s="28"/>
      <c r="AR200" s="332"/>
      <c r="AS200" s="28"/>
      <c r="AT200" s="28"/>
      <c r="AU200" s="28"/>
      <c r="AV200" s="28"/>
      <c r="AW200" s="28"/>
      <c r="AX200" s="28"/>
      <c r="AY200" s="28"/>
      <c r="AZ200" s="28"/>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24"/>
      <c r="BY200" s="24"/>
      <c r="BZ200" s="24"/>
      <c r="CA200" s="24"/>
      <c r="CB200" s="24"/>
      <c r="CC200" s="24"/>
      <c r="CD200" s="24"/>
    </row>
    <row r="201" spans="1:82" ht="13.2">
      <c r="A201" s="294">
        <f t="shared" si="15"/>
        <v>100</v>
      </c>
      <c r="B201" s="7" t="s">
        <v>510</v>
      </c>
      <c r="C201" s="377" t="str">
        <f ca="1">IFERROR(__xludf.DUMMYFUNCTION("GoogleFinance(B201,""name"")"),"Moderna Inc")</f>
        <v>Moderna Inc</v>
      </c>
      <c r="D201" s="378">
        <f ca="1">IFERROR(__xludf.DUMMYFUNCTION("GoogleFinance(B201,""marketcap"")/1000000"),9528.561763)</f>
        <v>9528.5617629999997</v>
      </c>
      <c r="E201" s="246" t="s">
        <v>17</v>
      </c>
      <c r="F201" s="246" t="s">
        <v>301</v>
      </c>
      <c r="G201" s="266">
        <v>45840</v>
      </c>
      <c r="H201" s="588">
        <v>25</v>
      </c>
      <c r="I201" s="490">
        <v>29.3</v>
      </c>
      <c r="J201" s="589">
        <f>3000/I201</f>
        <v>102.38907849829351</v>
      </c>
      <c r="K201" s="395">
        <v>3000</v>
      </c>
      <c r="L201" s="395">
        <v>3000</v>
      </c>
      <c r="M201" s="395">
        <f t="shared" si="56"/>
        <v>2559.7269624573378</v>
      </c>
      <c r="N201" s="395">
        <f t="shared" si="11"/>
        <v>-440.27303754266222</v>
      </c>
      <c r="O201" s="396">
        <f t="shared" si="12"/>
        <v>-0.14675767918088742</v>
      </c>
      <c r="P201" s="626">
        <f t="shared" si="52"/>
        <v>55</v>
      </c>
      <c r="Q201" s="761">
        <f t="shared" si="39"/>
        <v>-440.27303754266222</v>
      </c>
      <c r="R201" s="762">
        <f t="shared" si="18"/>
        <v>-0.14675767918088742</v>
      </c>
      <c r="S201" s="752" t="s">
        <v>431</v>
      </c>
      <c r="T201" s="230">
        <v>45895</v>
      </c>
      <c r="U201" s="29" t="s">
        <v>62</v>
      </c>
      <c r="V201" s="339"/>
      <c r="W201" s="339"/>
      <c r="X201" s="14"/>
      <c r="Y201" s="14"/>
      <c r="Z201" s="14"/>
      <c r="AA201" s="14"/>
      <c r="AB201" s="14"/>
      <c r="AC201" s="14"/>
      <c r="AD201" s="14"/>
      <c r="AE201" s="14"/>
      <c r="AF201" s="4"/>
      <c r="AG201" s="4"/>
      <c r="AH201" s="14"/>
      <c r="AI201" s="14"/>
      <c r="AJ201" s="332"/>
      <c r="AK201" s="332"/>
      <c r="AL201" s="332"/>
      <c r="AM201" s="332"/>
      <c r="AN201" s="332"/>
      <c r="AO201" s="332"/>
      <c r="AP201" s="332"/>
      <c r="AQ201" s="28"/>
      <c r="AR201" s="332"/>
      <c r="AS201" s="28"/>
      <c r="AT201" s="28"/>
      <c r="AU201" s="28"/>
      <c r="AV201" s="28"/>
      <c r="AW201" s="28"/>
      <c r="AX201" s="28"/>
      <c r="AY201" s="28"/>
      <c r="AZ201" s="28"/>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24"/>
      <c r="BY201" s="24"/>
      <c r="BZ201" s="24"/>
      <c r="CA201" s="24"/>
      <c r="CB201" s="24"/>
      <c r="CC201" s="24"/>
      <c r="CD201" s="24"/>
    </row>
    <row r="202" spans="1:82" ht="13.2">
      <c r="A202" s="294">
        <f t="shared" si="15"/>
        <v>101</v>
      </c>
      <c r="B202" s="28" t="s">
        <v>430</v>
      </c>
      <c r="C202" s="797" t="str">
        <f ca="1">IFERROR(__xludf.DUMMYFUNCTION("GoogleFinance(B202,""name"")"),"Nauticus Robotics Inc")</f>
        <v>Nauticus Robotics Inc</v>
      </c>
      <c r="D202" s="511">
        <f ca="1">IFERROR(__xludf.DUMMYFUNCTION("GoogleFinance(B202,""marketcap"")/1000000"),14.887591)</f>
        <v>14.887591</v>
      </c>
      <c r="E202" s="743" t="s">
        <v>7</v>
      </c>
      <c r="F202" s="743" t="s">
        <v>28</v>
      </c>
      <c r="G202" s="744">
        <v>45896</v>
      </c>
      <c r="H202" s="798">
        <v>0.7</v>
      </c>
      <c r="I202" s="746">
        <v>1.1299999999999999</v>
      </c>
      <c r="J202" s="747">
        <f>1000/I202</f>
        <v>884.95575221238948</v>
      </c>
      <c r="K202" s="748">
        <f>J202*I202</f>
        <v>1000</v>
      </c>
      <c r="L202" s="748">
        <f>K202</f>
        <v>1000</v>
      </c>
      <c r="M202" s="748">
        <f t="shared" si="56"/>
        <v>619.46902654867256</v>
      </c>
      <c r="N202" s="749">
        <f t="shared" si="11"/>
        <v>-380.53097345132744</v>
      </c>
      <c r="O202" s="750">
        <f t="shared" si="12"/>
        <v>-0.38053097345132741</v>
      </c>
      <c r="P202" s="626">
        <f t="shared" si="52"/>
        <v>6</v>
      </c>
      <c r="Q202" s="761">
        <f t="shared" si="39"/>
        <v>-380.53097345132744</v>
      </c>
      <c r="R202" s="762">
        <f t="shared" si="18"/>
        <v>-0.38053097345132741</v>
      </c>
      <c r="S202" s="752" t="s">
        <v>431</v>
      </c>
      <c r="T202" s="230">
        <v>45902</v>
      </c>
      <c r="U202" s="29" t="s">
        <v>62</v>
      </c>
      <c r="V202" s="339"/>
      <c r="W202" s="339"/>
      <c r="X202" s="14"/>
      <c r="Y202" s="14"/>
      <c r="Z202" s="14"/>
      <c r="AA202" s="14"/>
      <c r="AB202" s="14"/>
      <c r="AC202" s="14"/>
      <c r="AD202" s="14"/>
      <c r="AE202" s="14"/>
      <c r="AF202" s="4"/>
      <c r="AG202" s="4"/>
      <c r="AH202" s="14"/>
      <c r="AI202" s="14"/>
      <c r="AJ202" s="332"/>
      <c r="AK202" s="332"/>
      <c r="AL202" s="332"/>
      <c r="AM202" s="332"/>
      <c r="AN202" s="332"/>
      <c r="AO202" s="332"/>
      <c r="AP202" s="332"/>
      <c r="AQ202" s="28"/>
      <c r="AR202" s="332"/>
      <c r="AS202" s="28"/>
      <c r="AT202" s="28"/>
      <c r="AU202" s="28"/>
      <c r="AV202" s="28"/>
      <c r="AW202" s="28"/>
      <c r="AX202" s="28"/>
      <c r="AY202" s="28"/>
      <c r="AZ202" s="28"/>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24"/>
      <c r="BY202" s="24"/>
      <c r="BZ202" s="24"/>
      <c r="CA202" s="24"/>
      <c r="CB202" s="24"/>
      <c r="CC202" s="24"/>
      <c r="CD202" s="24"/>
    </row>
    <row r="203" spans="1:82" ht="13.2">
      <c r="A203" s="294">
        <f t="shared" si="15"/>
        <v>102</v>
      </c>
      <c r="B203" s="1" t="s">
        <v>511</v>
      </c>
      <c r="C203" s="233" t="str">
        <f ca="1">IFERROR(__xludf.DUMMYFUNCTION("GoogleFinance(B203,""name"")"),"Burlington Stores Inc")</f>
        <v>Burlington Stores Inc</v>
      </c>
      <c r="D203" s="234">
        <f ca="1">IFERROR(__xludf.DUMMYFUNCTION("GoogleFinance(B203,""marketcap"")/1000000"),16621.068338)</f>
        <v>16621.068338000001</v>
      </c>
      <c r="E203" s="229" t="s">
        <v>10</v>
      </c>
      <c r="F203" s="229" t="s">
        <v>278</v>
      </c>
      <c r="G203" s="266">
        <v>45862</v>
      </c>
      <c r="H203" s="588">
        <v>300</v>
      </c>
      <c r="I203" s="237">
        <v>278.64</v>
      </c>
      <c r="J203" s="507">
        <f>3000/I203</f>
        <v>10.766580534022395</v>
      </c>
      <c r="K203" s="249">
        <f>J203*H203</f>
        <v>3229.9741602067188</v>
      </c>
      <c r="L203" s="249">
        <v>3230</v>
      </c>
      <c r="M203" s="249">
        <v>3000</v>
      </c>
      <c r="N203" s="749">
        <f t="shared" si="11"/>
        <v>-229.97416020671881</v>
      </c>
      <c r="O203" s="750">
        <f t="shared" si="12"/>
        <v>-7.1200000000000138E-2</v>
      </c>
      <c r="P203" s="626">
        <f t="shared" si="52"/>
        <v>20</v>
      </c>
      <c r="Q203" s="761">
        <f t="shared" si="39"/>
        <v>-230</v>
      </c>
      <c r="R203" s="762">
        <f t="shared" si="18"/>
        <v>-7.1207430340557279E-2</v>
      </c>
      <c r="S203" s="752" t="s">
        <v>483</v>
      </c>
      <c r="T203" s="230">
        <v>45882</v>
      </c>
      <c r="U203" s="29" t="s">
        <v>62</v>
      </c>
      <c r="V203" s="339"/>
      <c r="W203" s="339"/>
      <c r="X203" s="14"/>
      <c r="Y203" s="14"/>
      <c r="Z203" s="14"/>
      <c r="AA203" s="14"/>
      <c r="AB203" s="14"/>
      <c r="AC203" s="14"/>
      <c r="AD203" s="14"/>
      <c r="AE203" s="14"/>
      <c r="AF203" s="4"/>
      <c r="AG203" s="4"/>
      <c r="AH203" s="14"/>
      <c r="AI203" s="14"/>
      <c r="AJ203" s="332"/>
      <c r="AK203" s="332"/>
      <c r="AL203" s="332"/>
      <c r="AM203" s="332"/>
      <c r="AN203" s="332"/>
      <c r="AO203" s="332"/>
      <c r="AP203" s="332"/>
      <c r="AQ203" s="28"/>
      <c r="AR203" s="332"/>
      <c r="AS203" s="28"/>
      <c r="AT203" s="28"/>
      <c r="AU203" s="28"/>
      <c r="AV203" s="28"/>
      <c r="AW203" s="28"/>
      <c r="AX203" s="28"/>
      <c r="AY203" s="28"/>
      <c r="AZ203" s="28"/>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24"/>
      <c r="BY203" s="24"/>
      <c r="BZ203" s="24"/>
      <c r="CA203" s="24"/>
      <c r="CB203" s="24"/>
      <c r="CC203" s="24"/>
      <c r="CD203" s="24"/>
    </row>
    <row r="204" spans="1:82" ht="13.2">
      <c r="A204" s="294">
        <f t="shared" si="15"/>
        <v>103</v>
      </c>
      <c r="B204" s="7" t="s">
        <v>512</v>
      </c>
      <c r="C204" s="377" t="str">
        <f ca="1">IFERROR(__xludf.DUMMYFUNCTION("GoogleFinance(B204,""name"")"),"Opendoor Technologies Inc")</f>
        <v>Opendoor Technologies Inc</v>
      </c>
      <c r="D204" s="378">
        <f ca="1">IFERROR(__xludf.DUMMYFUNCTION("GoogleFinance(B204,""marketcap"")/1000000"),6538.073106)</f>
        <v>6538.0731059999998</v>
      </c>
      <c r="E204" s="392" t="s">
        <v>513</v>
      </c>
      <c r="F204" s="392" t="s">
        <v>272</v>
      </c>
      <c r="G204" s="266">
        <v>45883</v>
      </c>
      <c r="H204" s="588">
        <v>6.5</v>
      </c>
      <c r="I204" s="490">
        <v>2.79</v>
      </c>
      <c r="J204" s="589">
        <f>500/I204</f>
        <v>179.21146953405017</v>
      </c>
      <c r="K204" s="395">
        <f t="shared" ref="K204:K207" si="57">J204*I204</f>
        <v>500</v>
      </c>
      <c r="L204" s="395">
        <f t="shared" ref="L204:L207" si="58">K204</f>
        <v>500</v>
      </c>
      <c r="M204" s="395">
        <f t="shared" ref="M204:M207" si="59">J204*H204</f>
        <v>1164.8745519713261</v>
      </c>
      <c r="N204" s="395">
        <f t="shared" si="11"/>
        <v>664.87455197132613</v>
      </c>
      <c r="O204" s="396">
        <f t="shared" si="12"/>
        <v>1.3297491039426523</v>
      </c>
      <c r="P204" s="626">
        <f t="shared" si="52"/>
        <v>11</v>
      </c>
      <c r="Q204" s="761">
        <f t="shared" si="39"/>
        <v>664.87455197132613</v>
      </c>
      <c r="R204" s="762">
        <f t="shared" si="18"/>
        <v>1.3297491039426523</v>
      </c>
      <c r="S204" s="752" t="s">
        <v>431</v>
      </c>
      <c r="T204" s="230">
        <v>45894</v>
      </c>
      <c r="U204" s="29" t="s">
        <v>509</v>
      </c>
      <c r="V204" s="339"/>
      <c r="W204" s="339"/>
      <c r="X204" s="14"/>
      <c r="Y204" s="14"/>
      <c r="Z204" s="14"/>
      <c r="AA204" s="14"/>
      <c r="AB204" s="14"/>
      <c r="AC204" s="14"/>
      <c r="AD204" s="14"/>
      <c r="AE204" s="14"/>
      <c r="AF204" s="4"/>
      <c r="AG204" s="4"/>
      <c r="AH204" s="14"/>
      <c r="AI204" s="14"/>
      <c r="AJ204" s="332"/>
      <c r="AK204" s="332"/>
      <c r="AL204" s="332"/>
      <c r="AM204" s="332"/>
      <c r="AN204" s="332"/>
      <c r="AO204" s="332"/>
      <c r="AP204" s="332"/>
      <c r="AQ204" s="28"/>
      <c r="AR204" s="332"/>
      <c r="AS204" s="28"/>
      <c r="AT204" s="28"/>
      <c r="AU204" s="28"/>
      <c r="AV204" s="28"/>
      <c r="AW204" s="28"/>
      <c r="AX204" s="28"/>
      <c r="AY204" s="28"/>
      <c r="AZ204" s="28"/>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24"/>
      <c r="BY204" s="24"/>
      <c r="BZ204" s="24"/>
      <c r="CA204" s="24"/>
      <c r="CB204" s="24"/>
      <c r="CC204" s="24"/>
      <c r="CD204" s="24"/>
    </row>
    <row r="205" spans="1:82" ht="13.2">
      <c r="A205" s="294">
        <f t="shared" si="15"/>
        <v>104</v>
      </c>
      <c r="B205" s="7" t="s">
        <v>514</v>
      </c>
      <c r="C205" s="377" t="str">
        <f ca="1">IFERROR(__xludf.DUMMYFUNCTION("GoogleFinance(B205,""name"")"),"Direxion Daily AMZN Bear 1X Shares")</f>
        <v>Direxion Daily AMZN Bear 1X Shares</v>
      </c>
      <c r="D205" s="378" t="str">
        <f ca="1">IFERROR(__xludf.DUMMYFUNCTION("GoogleFinance(B205,""marketcap"")/1000000"),"#N/A")</f>
        <v>#N/A</v>
      </c>
      <c r="E205" s="392" t="s">
        <v>515</v>
      </c>
      <c r="F205" s="392" t="s">
        <v>504</v>
      </c>
      <c r="G205" s="266">
        <v>45876</v>
      </c>
      <c r="H205" s="588">
        <v>10.3</v>
      </c>
      <c r="I205" s="490">
        <v>10.8</v>
      </c>
      <c r="J205" s="589">
        <f>3000/I205</f>
        <v>277.77777777777777</v>
      </c>
      <c r="K205" s="395">
        <f t="shared" si="57"/>
        <v>3000</v>
      </c>
      <c r="L205" s="395">
        <f t="shared" si="58"/>
        <v>3000</v>
      </c>
      <c r="M205" s="395">
        <f t="shared" si="59"/>
        <v>2861.1111111111113</v>
      </c>
      <c r="N205" s="395">
        <f t="shared" si="11"/>
        <v>-138.88888888888869</v>
      </c>
      <c r="O205" s="396">
        <f t="shared" si="12"/>
        <v>-4.6296296296296231E-2</v>
      </c>
      <c r="P205" s="626">
        <f t="shared" si="52"/>
        <v>26</v>
      </c>
      <c r="Q205" s="761">
        <f t="shared" si="39"/>
        <v>-138.88888888888869</v>
      </c>
      <c r="R205" s="762">
        <f t="shared" si="18"/>
        <v>-4.6296296296296231E-2</v>
      </c>
      <c r="S205" s="752" t="s">
        <v>431</v>
      </c>
      <c r="T205" s="230">
        <v>45902</v>
      </c>
      <c r="U205" s="29" t="s">
        <v>62</v>
      </c>
      <c r="V205" s="339"/>
      <c r="W205" s="339"/>
      <c r="X205" s="14"/>
      <c r="Y205" s="14"/>
      <c r="Z205" s="14"/>
      <c r="AA205" s="14"/>
      <c r="AB205" s="14"/>
      <c r="AC205" s="14"/>
      <c r="AD205" s="14"/>
      <c r="AE205" s="14"/>
      <c r="AF205" s="4"/>
      <c r="AG205" s="4"/>
      <c r="AH205" s="14"/>
      <c r="AI205" s="14"/>
      <c r="AJ205" s="332"/>
      <c r="AK205" s="332"/>
      <c r="AL205" s="332"/>
      <c r="AM205" s="332"/>
      <c r="AN205" s="332"/>
      <c r="AO205" s="332"/>
      <c r="AP205" s="332"/>
      <c r="AQ205" s="28"/>
      <c r="AR205" s="332"/>
      <c r="AS205" s="28"/>
      <c r="AT205" s="28"/>
      <c r="AU205" s="28"/>
      <c r="AV205" s="28"/>
      <c r="AW205" s="28"/>
      <c r="AX205" s="28"/>
      <c r="AY205" s="28"/>
      <c r="AZ205" s="28"/>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24"/>
      <c r="BY205" s="24"/>
      <c r="BZ205" s="24"/>
      <c r="CA205" s="24"/>
      <c r="CB205" s="24"/>
      <c r="CC205" s="24"/>
      <c r="CD205" s="24"/>
    </row>
    <row r="206" spans="1:82" ht="13.2">
      <c r="A206" s="294">
        <f t="shared" si="15"/>
        <v>105</v>
      </c>
      <c r="B206" s="7" t="s">
        <v>512</v>
      </c>
      <c r="C206" s="377" t="str">
        <f ca="1">IFERROR(__xludf.DUMMYFUNCTION("GoogleFinance(B206,""name"")"),"Opendoor Technologies Inc")</f>
        <v>Opendoor Technologies Inc</v>
      </c>
      <c r="D206" s="378">
        <f ca="1">IFERROR(__xludf.DUMMYFUNCTION("GoogleFinance(B206,""marketcap"")/1000000"),6538.073106)</f>
        <v>6538.0731059999998</v>
      </c>
      <c r="E206" s="392" t="s">
        <v>513</v>
      </c>
      <c r="F206" s="392" t="s">
        <v>272</v>
      </c>
      <c r="G206" s="266">
        <v>45883</v>
      </c>
      <c r="H206" s="588">
        <v>6</v>
      </c>
      <c r="I206" s="490">
        <v>2.79</v>
      </c>
      <c r="J206" s="589">
        <f>500/I206</f>
        <v>179.21146953405017</v>
      </c>
      <c r="K206" s="395">
        <f t="shared" si="57"/>
        <v>500</v>
      </c>
      <c r="L206" s="395">
        <f t="shared" si="58"/>
        <v>500</v>
      </c>
      <c r="M206" s="395">
        <f t="shared" si="59"/>
        <v>1075.2688172043011</v>
      </c>
      <c r="N206" s="395">
        <f t="shared" si="11"/>
        <v>575.26881720430106</v>
      </c>
      <c r="O206" s="396">
        <f t="shared" si="12"/>
        <v>1.150537634408602</v>
      </c>
      <c r="P206" s="626">
        <f t="shared" si="52"/>
        <v>19</v>
      </c>
      <c r="Q206" s="761">
        <f t="shared" si="39"/>
        <v>575.26881720430106</v>
      </c>
      <c r="R206" s="762">
        <f t="shared" si="18"/>
        <v>1.150537634408602</v>
      </c>
      <c r="S206" s="752" t="s">
        <v>431</v>
      </c>
      <c r="T206" s="230">
        <v>45902</v>
      </c>
      <c r="U206" s="29" t="s">
        <v>62</v>
      </c>
      <c r="V206" s="339"/>
      <c r="W206" s="339"/>
      <c r="X206" s="14"/>
      <c r="Y206" s="14"/>
      <c r="Z206" s="14"/>
      <c r="AA206" s="14"/>
      <c r="AB206" s="14"/>
      <c r="AC206" s="14"/>
      <c r="AD206" s="14"/>
      <c r="AE206" s="14"/>
      <c r="AF206" s="4"/>
      <c r="AG206" s="4"/>
      <c r="AH206" s="14"/>
      <c r="AI206" s="14"/>
      <c r="AJ206" s="332"/>
      <c r="AK206" s="332"/>
      <c r="AL206" s="332"/>
      <c r="AM206" s="332"/>
      <c r="AN206" s="332"/>
      <c r="AO206" s="332"/>
      <c r="AP206" s="332"/>
      <c r="AQ206" s="28"/>
      <c r="AR206" s="332"/>
      <c r="AS206" s="28"/>
      <c r="AT206" s="28"/>
      <c r="AU206" s="28"/>
      <c r="AV206" s="28"/>
      <c r="AW206" s="28"/>
      <c r="AX206" s="28"/>
      <c r="AY206" s="28"/>
      <c r="AZ206" s="28"/>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24"/>
      <c r="BY206" s="24"/>
      <c r="BZ206" s="24"/>
      <c r="CA206" s="24"/>
      <c r="CB206" s="24"/>
      <c r="CC206" s="24"/>
      <c r="CD206" s="24"/>
    </row>
    <row r="207" spans="1:82" ht="13.2">
      <c r="A207" s="294">
        <f t="shared" si="15"/>
        <v>106</v>
      </c>
      <c r="B207" s="1" t="s">
        <v>477</v>
      </c>
      <c r="C207" s="438" t="str">
        <f ca="1">IFERROR(__xludf.DUMMYFUNCTION("GoogleFinance(B207,""name"")"),"AST SpaceMobile Inc")</f>
        <v>AST SpaceMobile Inc</v>
      </c>
      <c r="D207" s="234">
        <f ca="1">IFERROR(__xludf.DUMMYFUNCTION("GoogleFinance(B207,""marketcap"")/1000000"),17599.653583)</f>
        <v>17599.653582999999</v>
      </c>
      <c r="E207" s="246" t="s">
        <v>7</v>
      </c>
      <c r="F207" s="246" t="s">
        <v>516</v>
      </c>
      <c r="G207" s="230">
        <v>45891</v>
      </c>
      <c r="H207" s="228">
        <v>38</v>
      </c>
      <c r="I207" s="506">
        <v>46.6</v>
      </c>
      <c r="J207" s="507">
        <f>1000/I207</f>
        <v>21.459227467811157</v>
      </c>
      <c r="K207" s="249">
        <f t="shared" si="57"/>
        <v>1000</v>
      </c>
      <c r="L207" s="249">
        <f t="shared" si="58"/>
        <v>1000</v>
      </c>
      <c r="M207" s="249">
        <f t="shared" si="59"/>
        <v>815.45064377682399</v>
      </c>
      <c r="N207" s="508">
        <f t="shared" si="11"/>
        <v>-184.54935622317601</v>
      </c>
      <c r="O207" s="509">
        <f t="shared" si="12"/>
        <v>-0.184549356223176</v>
      </c>
      <c r="P207" s="626">
        <f t="shared" si="52"/>
        <v>11</v>
      </c>
      <c r="Q207" s="761">
        <f t="shared" si="39"/>
        <v>-184.54935622317601</v>
      </c>
      <c r="R207" s="762">
        <f t="shared" si="18"/>
        <v>-0.184549356223176</v>
      </c>
      <c r="S207" s="752" t="s">
        <v>431</v>
      </c>
      <c r="T207" s="230">
        <v>45902</v>
      </c>
      <c r="U207" s="29" t="s">
        <v>62</v>
      </c>
      <c r="V207" s="339"/>
      <c r="W207" s="339"/>
      <c r="X207" s="14"/>
      <c r="Y207" s="14"/>
      <c r="Z207" s="14"/>
      <c r="AA207" s="14"/>
      <c r="AB207" s="14"/>
      <c r="AC207" s="14"/>
      <c r="AD207" s="14"/>
      <c r="AE207" s="14"/>
      <c r="AF207" s="4"/>
      <c r="AG207" s="4"/>
      <c r="AH207" s="14"/>
      <c r="AI207" s="14"/>
      <c r="AJ207" s="332"/>
      <c r="AK207" s="332"/>
      <c r="AL207" s="332"/>
      <c r="AM207" s="332"/>
      <c r="AN207" s="332"/>
      <c r="AO207" s="332"/>
      <c r="AP207" s="332"/>
      <c r="AQ207" s="28"/>
      <c r="AR207" s="332"/>
      <c r="AS207" s="28"/>
      <c r="AT207" s="28"/>
      <c r="AU207" s="28"/>
      <c r="AV207" s="28"/>
      <c r="AW207" s="28"/>
      <c r="AX207" s="28"/>
      <c r="AY207" s="28"/>
      <c r="AZ207" s="28"/>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24"/>
      <c r="BY207" s="24"/>
      <c r="BZ207" s="24"/>
      <c r="CA207" s="24"/>
      <c r="CB207" s="24"/>
      <c r="CC207" s="24"/>
      <c r="CD207" s="24"/>
    </row>
    <row r="208" spans="1:82" ht="13.2">
      <c r="A208" s="294">
        <f t="shared" si="15"/>
        <v>107</v>
      </c>
      <c r="B208" s="1" t="s">
        <v>517</v>
      </c>
      <c r="C208" s="233" t="str">
        <f ca="1">IFERROR(__xludf.DUMMYFUNCTION("GoogleFinance(B208,""name"")"),"Micron Technology Inc")</f>
        <v>Micron Technology Inc</v>
      </c>
      <c r="D208" s="234">
        <f ca="1">IFERROR(__xludf.DUMMYFUNCTION("GoogleFinance(B208,""marketcap"")/1000000"),176004.793531)</f>
        <v>176004.793531</v>
      </c>
      <c r="E208" s="229" t="s">
        <v>7</v>
      </c>
      <c r="F208" s="229" t="s">
        <v>518</v>
      </c>
      <c r="G208" s="266">
        <v>45833</v>
      </c>
      <c r="H208" s="588">
        <v>144</v>
      </c>
      <c r="I208" s="237">
        <v>126.25</v>
      </c>
      <c r="J208" s="507">
        <f>3000/I208</f>
        <v>23.762376237623762</v>
      </c>
      <c r="K208" s="249">
        <f>L208</f>
        <v>3421.7821782178216</v>
      </c>
      <c r="L208" s="249">
        <f>J208*H208</f>
        <v>3421.7821782178216</v>
      </c>
      <c r="M208" s="249">
        <v>3000</v>
      </c>
      <c r="N208" s="508">
        <f t="shared" si="11"/>
        <v>-421.78217821782164</v>
      </c>
      <c r="O208" s="509">
        <f t="shared" si="12"/>
        <v>-0.12326388888888885</v>
      </c>
      <c r="P208" s="626">
        <f t="shared" si="52"/>
        <v>78</v>
      </c>
      <c r="Q208" s="761">
        <f t="shared" si="39"/>
        <v>-421.78217821782164</v>
      </c>
      <c r="R208" s="762">
        <f t="shared" si="18"/>
        <v>-0.12326388888888885</v>
      </c>
      <c r="S208" s="752" t="s">
        <v>483</v>
      </c>
      <c r="T208" s="230">
        <v>45911</v>
      </c>
      <c r="U208" s="29" t="s">
        <v>62</v>
      </c>
      <c r="V208" s="339"/>
      <c r="W208" s="339"/>
      <c r="X208" s="14"/>
      <c r="Y208" s="14"/>
      <c r="Z208" s="14"/>
      <c r="AA208" s="14"/>
      <c r="AB208" s="14"/>
      <c r="AC208" s="14"/>
      <c r="AD208" s="14"/>
      <c r="AE208" s="14"/>
      <c r="AF208" s="4"/>
      <c r="AG208" s="4"/>
      <c r="AH208" s="14"/>
      <c r="AI208" s="14"/>
      <c r="AJ208" s="332"/>
      <c r="AK208" s="332"/>
      <c r="AL208" s="332"/>
      <c r="AM208" s="332"/>
      <c r="AN208" s="332"/>
      <c r="AO208" s="332"/>
      <c r="AP208" s="332"/>
      <c r="AQ208" s="28"/>
      <c r="AR208" s="332"/>
      <c r="AS208" s="28"/>
      <c r="AT208" s="28"/>
      <c r="AU208" s="28"/>
      <c r="AV208" s="28"/>
      <c r="AW208" s="28"/>
      <c r="AX208" s="28"/>
      <c r="AY208" s="28"/>
      <c r="AZ208" s="28"/>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24"/>
      <c r="BY208" s="24"/>
      <c r="BZ208" s="24"/>
      <c r="CA208" s="24"/>
      <c r="CB208" s="24"/>
      <c r="CC208" s="24"/>
      <c r="CD208" s="24"/>
    </row>
    <row r="209" spans="1:82" ht="13.2">
      <c r="A209" s="294">
        <f t="shared" si="15"/>
        <v>108</v>
      </c>
      <c r="B209" s="799" t="s">
        <v>508</v>
      </c>
      <c r="C209" s="800" t="str">
        <f ca="1">IFERROR(__xludf.DUMMYFUNCTION("GoogleFinance(B209,""name"")"),"Zoom Communications Inc")</f>
        <v>Zoom Communications Inc</v>
      </c>
      <c r="D209" s="801">
        <f ca="1">IFERROR(__xludf.DUMMYFUNCTION("GoogleFinance(B209,""marketcap"")/1000000"),25292.94)</f>
        <v>25292.94</v>
      </c>
      <c r="E209" s="802" t="s">
        <v>13</v>
      </c>
      <c r="F209" s="802" t="s">
        <v>24</v>
      </c>
      <c r="G209" s="803">
        <v>45870</v>
      </c>
      <c r="H209" s="804">
        <v>85.6</v>
      </c>
      <c r="I209" s="805">
        <v>71.44</v>
      </c>
      <c r="J209" s="806">
        <v>14</v>
      </c>
      <c r="K209" s="807">
        <f t="shared" ref="K209:K211" si="60">J209*I209</f>
        <v>1000.16</v>
      </c>
      <c r="L209" s="807">
        <f t="shared" ref="L209:L211" si="61">K209</f>
        <v>1000.16</v>
      </c>
      <c r="M209" s="807">
        <f t="shared" ref="M209:M211" si="62">J209*H209</f>
        <v>1198.3999999999999</v>
      </c>
      <c r="N209" s="807">
        <f t="shared" si="11"/>
        <v>198.2399999999999</v>
      </c>
      <c r="O209" s="808">
        <f t="shared" si="12"/>
        <v>0.19820828667413204</v>
      </c>
      <c r="P209" s="626">
        <f t="shared" si="52"/>
        <v>47</v>
      </c>
      <c r="Q209" s="761">
        <f t="shared" si="39"/>
        <v>198.2399999999999</v>
      </c>
      <c r="R209" s="762">
        <f t="shared" si="18"/>
        <v>0.19820828667413204</v>
      </c>
      <c r="S209" s="752" t="s">
        <v>431</v>
      </c>
      <c r="T209" s="230">
        <v>45917</v>
      </c>
      <c r="U209" s="29" t="s">
        <v>519</v>
      </c>
      <c r="V209" s="339"/>
      <c r="W209" s="339"/>
      <c r="X209" s="14"/>
      <c r="Y209" s="14"/>
      <c r="Z209" s="14"/>
      <c r="AA209" s="14"/>
      <c r="AB209" s="14"/>
      <c r="AC209" s="14"/>
      <c r="AD209" s="14"/>
      <c r="AE209" s="14"/>
      <c r="AF209" s="4"/>
      <c r="AG209" s="4"/>
      <c r="AH209" s="14"/>
      <c r="AI209" s="14"/>
      <c r="AJ209" s="332"/>
      <c r="AK209" s="332"/>
      <c r="AL209" s="332"/>
      <c r="AM209" s="332"/>
      <c r="AN209" s="332"/>
      <c r="AO209" s="332"/>
      <c r="AP209" s="332"/>
      <c r="AQ209" s="28"/>
      <c r="AR209" s="332"/>
      <c r="AS209" s="28"/>
      <c r="AT209" s="28"/>
      <c r="AU209" s="28"/>
      <c r="AV209" s="28"/>
      <c r="AW209" s="28"/>
      <c r="AX209" s="28"/>
      <c r="AY209" s="28"/>
      <c r="AZ209" s="28"/>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24"/>
      <c r="BY209" s="24"/>
      <c r="BZ209" s="24"/>
      <c r="CA209" s="24"/>
      <c r="CB209" s="24"/>
      <c r="CC209" s="24"/>
      <c r="CD209" s="24"/>
    </row>
    <row r="210" spans="1:82" ht="13.2">
      <c r="A210" s="294">
        <f t="shared" si="15"/>
        <v>109</v>
      </c>
      <c r="B210" s="7" t="s">
        <v>520</v>
      </c>
      <c r="C210" s="377" t="str">
        <f ca="1">IFERROR(__xludf.DUMMYFUNCTION("GoogleFinance(B210,""name"")"),"PayPal Holdings Inc")</f>
        <v>PayPal Holdings Inc</v>
      </c>
      <c r="D210" s="378">
        <f ca="1">IFERROR(__xludf.DUMMYFUNCTION("GoogleFinance(B210,""marketcap"")/1000000"),64296.96)</f>
        <v>64296.959999999999</v>
      </c>
      <c r="E210" s="392" t="s">
        <v>14</v>
      </c>
      <c r="F210" s="392" t="s">
        <v>521</v>
      </c>
      <c r="G210" s="266">
        <v>45881</v>
      </c>
      <c r="H210" s="588">
        <v>67.97</v>
      </c>
      <c r="I210" s="490">
        <v>67.8</v>
      </c>
      <c r="J210" s="589">
        <f>4000/I210</f>
        <v>58.997050147492629</v>
      </c>
      <c r="K210" s="395">
        <f t="shared" si="60"/>
        <v>4000</v>
      </c>
      <c r="L210" s="395">
        <f t="shared" si="61"/>
        <v>4000</v>
      </c>
      <c r="M210" s="395">
        <f t="shared" si="62"/>
        <v>4010.0294985250739</v>
      </c>
      <c r="N210" s="395">
        <f t="shared" si="11"/>
        <v>10.029498525073905</v>
      </c>
      <c r="O210" s="396">
        <f t="shared" si="12"/>
        <v>2.507374631268476E-3</v>
      </c>
      <c r="P210" s="626">
        <f t="shared" si="52"/>
        <v>36</v>
      </c>
      <c r="Q210" s="761">
        <f t="shared" si="39"/>
        <v>10.029498525073905</v>
      </c>
      <c r="R210" s="762">
        <f t="shared" si="18"/>
        <v>2.507374631268476E-3</v>
      </c>
      <c r="S210" s="752" t="s">
        <v>431</v>
      </c>
      <c r="T210" s="230">
        <v>45917</v>
      </c>
      <c r="U210" s="29" t="s">
        <v>519</v>
      </c>
      <c r="V210" s="339"/>
      <c r="W210" s="339"/>
      <c r="X210" s="14"/>
      <c r="Y210" s="14"/>
      <c r="Z210" s="14"/>
      <c r="AA210" s="14"/>
      <c r="AB210" s="14"/>
      <c r="AC210" s="14"/>
      <c r="AD210" s="14"/>
      <c r="AE210" s="14"/>
      <c r="AF210" s="4"/>
      <c r="AG210" s="4"/>
      <c r="AH210" s="14"/>
      <c r="AI210" s="14"/>
      <c r="AJ210" s="332"/>
      <c r="AK210" s="332"/>
      <c r="AL210" s="332"/>
      <c r="AM210" s="332"/>
      <c r="AN210" s="332"/>
      <c r="AO210" s="332"/>
      <c r="AP210" s="332"/>
      <c r="AQ210" s="28"/>
      <c r="AR210" s="332"/>
      <c r="AS210" s="28"/>
      <c r="AT210" s="28"/>
      <c r="AU210" s="28"/>
      <c r="AV210" s="28"/>
      <c r="AW210" s="28"/>
      <c r="AX210" s="28"/>
      <c r="AY210" s="28"/>
      <c r="AZ210" s="28"/>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24"/>
      <c r="BY210" s="24"/>
      <c r="BZ210" s="24"/>
      <c r="CA210" s="24"/>
      <c r="CB210" s="24"/>
      <c r="CC210" s="24"/>
      <c r="CD210" s="24"/>
    </row>
    <row r="211" spans="1:82" ht="13.2">
      <c r="A211" s="294">
        <f t="shared" si="15"/>
        <v>110</v>
      </c>
      <c r="B211" s="1" t="s">
        <v>298</v>
      </c>
      <c r="C211" s="438" t="str">
        <f ca="1">IFERROR(__xludf.DUMMYFUNCTION("GoogleFinance(B211,""name"")"),"Strategy Inc Class A")</f>
        <v>Strategy Inc Class A</v>
      </c>
      <c r="D211" s="234">
        <f ca="1">IFERROR(__xludf.DUMMYFUNCTION("GoogleFinance(B211,""marketcap"")/1000000"),88540.806152)</f>
        <v>88540.806152000005</v>
      </c>
      <c r="E211" s="246" t="s">
        <v>14</v>
      </c>
      <c r="F211" s="246" t="s">
        <v>44</v>
      </c>
      <c r="G211" s="230">
        <v>45902</v>
      </c>
      <c r="H211" s="228">
        <v>320</v>
      </c>
      <c r="I211" s="506">
        <v>341.28</v>
      </c>
      <c r="J211" s="507">
        <f>1000/I211</f>
        <v>2.9301453352086266</v>
      </c>
      <c r="K211" s="249">
        <f t="shared" si="60"/>
        <v>1000</v>
      </c>
      <c r="L211" s="249">
        <f t="shared" si="61"/>
        <v>1000</v>
      </c>
      <c r="M211" s="249">
        <f t="shared" si="62"/>
        <v>937.64650726676052</v>
      </c>
      <c r="N211" s="508">
        <f t="shared" si="11"/>
        <v>-62.353492733239477</v>
      </c>
      <c r="O211" s="509">
        <f t="shared" si="12"/>
        <v>-6.2353492733239479E-2</v>
      </c>
      <c r="P211" s="626">
        <f t="shared" si="52"/>
        <v>22</v>
      </c>
      <c r="Q211" s="761">
        <f t="shared" si="39"/>
        <v>-62.353492733239477</v>
      </c>
      <c r="R211" s="762">
        <f t="shared" si="18"/>
        <v>-6.2353492733239479E-2</v>
      </c>
      <c r="S211" s="752" t="s">
        <v>431</v>
      </c>
      <c r="T211" s="230">
        <v>45924</v>
      </c>
      <c r="U211" s="29" t="s">
        <v>62</v>
      </c>
      <c r="V211" s="339"/>
      <c r="W211" s="339"/>
      <c r="X211" s="14"/>
      <c r="Y211" s="14"/>
      <c r="Z211" s="14"/>
      <c r="AA211" s="14"/>
      <c r="AB211" s="14"/>
      <c r="AC211" s="14"/>
      <c r="AD211" s="14"/>
      <c r="AE211" s="14"/>
      <c r="AF211" s="4"/>
      <c r="AG211" s="4"/>
      <c r="AH211" s="14"/>
      <c r="AI211" s="14"/>
      <c r="AJ211" s="332"/>
      <c r="AK211" s="332"/>
      <c r="AL211" s="332"/>
      <c r="AM211" s="332"/>
      <c r="AN211" s="332"/>
      <c r="AO211" s="332"/>
      <c r="AP211" s="332"/>
      <c r="AQ211" s="28"/>
      <c r="AR211" s="332"/>
      <c r="AS211" s="28"/>
      <c r="AT211" s="28"/>
      <c r="AU211" s="28"/>
      <c r="AV211" s="28"/>
      <c r="AW211" s="28"/>
      <c r="AX211" s="28"/>
      <c r="AY211" s="28"/>
      <c r="AZ211" s="28"/>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24"/>
      <c r="BY211" s="24"/>
      <c r="BZ211" s="24"/>
      <c r="CA211" s="24"/>
      <c r="CB211" s="24"/>
      <c r="CC211" s="24"/>
      <c r="CD211" s="24"/>
    </row>
    <row r="212" spans="1:82" ht="13.2">
      <c r="A212" s="3"/>
      <c r="B212" s="1"/>
      <c r="C212" s="233"/>
      <c r="D212" s="234"/>
      <c r="E212" s="559"/>
      <c r="F212" s="246"/>
      <c r="G212" s="230"/>
      <c r="H212" s="228"/>
      <c r="I212" s="506"/>
      <c r="J212" s="507"/>
      <c r="K212" s="249"/>
      <c r="L212" s="249"/>
      <c r="M212" s="249"/>
      <c r="N212" s="249"/>
      <c r="O212" s="242"/>
      <c r="P212" s="751"/>
      <c r="Q212" s="771"/>
      <c r="R212" s="809"/>
      <c r="S212" s="752"/>
      <c r="T212" s="744"/>
      <c r="U212" s="29"/>
      <c r="V212" s="339"/>
      <c r="W212" s="339"/>
      <c r="X212" s="14"/>
      <c r="Y212" s="14"/>
      <c r="Z212" s="14"/>
      <c r="AA212" s="14"/>
      <c r="AB212" s="14"/>
      <c r="AC212" s="14"/>
      <c r="AD212" s="14"/>
      <c r="AE212" s="14"/>
      <c r="AF212" s="4"/>
      <c r="AG212" s="4"/>
      <c r="AH212" s="14"/>
      <c r="AI212" s="14"/>
      <c r="AJ212" s="332"/>
      <c r="AK212" s="332"/>
      <c r="AL212" s="332"/>
      <c r="AM212" s="332"/>
      <c r="AN212" s="332"/>
      <c r="AO212" s="332"/>
      <c r="AP212" s="332"/>
      <c r="AQ212" s="28"/>
      <c r="AR212" s="332"/>
      <c r="AS212" s="28"/>
      <c r="AT212" s="28"/>
      <c r="AU212" s="28"/>
      <c r="AV212" s="28"/>
      <c r="AW212" s="28"/>
      <c r="AX212" s="28"/>
      <c r="AY212" s="28"/>
      <c r="AZ212" s="28"/>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24"/>
      <c r="BY212" s="24"/>
      <c r="BZ212" s="24"/>
      <c r="CA212" s="24"/>
      <c r="CB212" s="24"/>
      <c r="CC212" s="24"/>
      <c r="CD212" s="24"/>
    </row>
    <row r="213" spans="1:82" ht="7.5" customHeight="1">
      <c r="A213" s="810"/>
      <c r="B213" s="810"/>
      <c r="C213" s="811"/>
      <c r="D213" s="810"/>
      <c r="E213" s="810"/>
      <c r="F213" s="810"/>
      <c r="G213" s="812"/>
      <c r="H213" s="813"/>
      <c r="I213" s="814"/>
      <c r="J213" s="814"/>
      <c r="K213" s="815"/>
      <c r="L213" s="815"/>
      <c r="M213" s="815"/>
      <c r="N213" s="816"/>
      <c r="O213" s="817"/>
      <c r="P213" s="818"/>
      <c r="Q213" s="817"/>
      <c r="R213" s="819"/>
      <c r="S213" s="817"/>
      <c r="T213" s="819"/>
      <c r="U213" s="29"/>
      <c r="V213" s="29"/>
      <c r="W213" s="29"/>
      <c r="X213" s="29"/>
      <c r="Y213" s="14"/>
      <c r="Z213" s="14"/>
      <c r="AA213" s="14"/>
      <c r="AB213" s="14"/>
      <c r="AC213" s="14"/>
      <c r="AD213" s="29"/>
      <c r="AE213" s="29"/>
      <c r="AF213" s="29"/>
      <c r="AG213" s="29"/>
      <c r="AH213" s="14"/>
      <c r="AI213" s="14"/>
      <c r="AJ213" s="456"/>
      <c r="AK213" s="332"/>
      <c r="AL213" s="456"/>
      <c r="AM213" s="332"/>
      <c r="AN213" s="456"/>
      <c r="AO213" s="332"/>
      <c r="AP213" s="456"/>
      <c r="AQ213" s="28"/>
      <c r="AR213" s="456"/>
      <c r="AS213" s="28"/>
      <c r="AT213" s="28"/>
      <c r="AU213" s="28"/>
      <c r="AV213" s="28"/>
      <c r="AW213" s="311"/>
      <c r="AX213" s="311"/>
      <c r="AY213" s="28"/>
      <c r="AZ213" s="311"/>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row>
    <row r="214" spans="1:82" ht="15.75" customHeight="1">
      <c r="A214" s="29"/>
      <c r="B214" s="29"/>
      <c r="C214" s="820"/>
      <c r="D214" s="29"/>
      <c r="E214" s="29"/>
      <c r="F214" s="29"/>
      <c r="G214" s="30"/>
      <c r="H214" s="694" t="s">
        <v>255</v>
      </c>
      <c r="I214" s="695"/>
      <c r="J214" s="695"/>
      <c r="K214" s="696">
        <f>SUM(K102:K212)</f>
        <v>481854.66182676674</v>
      </c>
      <c r="L214" s="696"/>
      <c r="M214" s="696">
        <f ca="1">SUM(M102:M212)</f>
        <v>510277.60367813119</v>
      </c>
      <c r="N214" s="697">
        <f ca="1">M214-K214</f>
        <v>28422.941851364449</v>
      </c>
      <c r="O214" s="821">
        <f ca="1">N214/103588</f>
        <v>0.27438450256172964</v>
      </c>
      <c r="P214" s="698">
        <f ca="1">AVERAGE(P102:P212)</f>
        <v>56.127272727272725</v>
      </c>
      <c r="Q214" s="822">
        <f ca="1">SUM(Q102:Q212)</f>
        <v>15677.162951824885</v>
      </c>
      <c r="R214" s="823">
        <f ca="1">Q214/103588</f>
        <v>0.15134149661953977</v>
      </c>
      <c r="S214" s="29"/>
      <c r="T214" s="29"/>
      <c r="U214" s="29"/>
      <c r="V214" s="29"/>
      <c r="W214" s="29"/>
      <c r="X214" s="29"/>
      <c r="Y214" s="14"/>
      <c r="Z214" s="14"/>
      <c r="AA214" s="14"/>
      <c r="AB214" s="14"/>
      <c r="AC214" s="14"/>
      <c r="AD214" s="29"/>
      <c r="AE214" s="29"/>
      <c r="AF214" s="29"/>
      <c r="AG214" s="29"/>
      <c r="AH214" s="14"/>
      <c r="AI214" s="14"/>
      <c r="AJ214" s="332"/>
      <c r="AK214" s="332"/>
      <c r="AL214" s="332"/>
      <c r="AM214" s="332"/>
      <c r="AN214" s="332"/>
      <c r="AO214" s="332"/>
      <c r="AP214" s="332"/>
      <c r="AQ214" s="28"/>
      <c r="AR214" s="332"/>
      <c r="AS214" s="28"/>
      <c r="AT214" s="28"/>
      <c r="AU214" s="28"/>
      <c r="AV214" s="28"/>
      <c r="AW214" s="28"/>
      <c r="AX214" s="28"/>
      <c r="AY214" s="28"/>
      <c r="AZ214" s="28"/>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row>
    <row r="215" spans="1:82" ht="15.75" customHeight="1">
      <c r="A215" s="3"/>
      <c r="B215" s="366"/>
      <c r="C215" s="367"/>
      <c r="D215" s="367"/>
      <c r="E215" s="367"/>
      <c r="F215" s="367"/>
      <c r="G215" s="367"/>
      <c r="H215" s="339"/>
      <c r="I215" s="369"/>
      <c r="J215" s="339"/>
      <c r="K215" s="339"/>
      <c r="L215" s="339"/>
      <c r="M215" s="339"/>
      <c r="N215" s="339"/>
      <c r="O215" s="339"/>
      <c r="P215" s="339"/>
      <c r="Q215" s="824"/>
      <c r="R215" s="824"/>
      <c r="S215" s="339"/>
      <c r="T215" s="339"/>
      <c r="U215" s="339"/>
      <c r="V215" s="339"/>
      <c r="W215" s="339"/>
      <c r="X215" s="14"/>
      <c r="Y215" s="14"/>
      <c r="Z215" s="14"/>
      <c r="AA215" s="14"/>
      <c r="AB215" s="14"/>
      <c r="AC215" s="14"/>
      <c r="AD215" s="14"/>
      <c r="AE215" s="14"/>
      <c r="AF215" s="4"/>
      <c r="AG215" s="4"/>
      <c r="AH215" s="14"/>
      <c r="AI215" s="14"/>
      <c r="AJ215" s="332"/>
      <c r="AK215" s="332"/>
      <c r="AL215" s="332"/>
      <c r="AM215" s="332"/>
      <c r="AN215" s="332"/>
      <c r="AO215" s="332"/>
      <c r="AP215" s="332"/>
      <c r="AQ215" s="28"/>
      <c r="AR215" s="332"/>
      <c r="AS215" s="28"/>
      <c r="AT215" s="28"/>
      <c r="AU215" s="28"/>
      <c r="AV215" s="28"/>
      <c r="AW215" s="28"/>
      <c r="AX215" s="28"/>
      <c r="AY215" s="28"/>
      <c r="AZ215" s="28"/>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24"/>
      <c r="BY215" s="24"/>
      <c r="BZ215" s="24"/>
      <c r="CA215" s="24"/>
      <c r="CB215" s="24"/>
      <c r="CC215" s="24"/>
      <c r="CD215" s="24"/>
    </row>
    <row r="216" spans="1:82" ht="15.75" customHeight="1">
      <c r="A216" s="3"/>
      <c r="B216" s="366"/>
      <c r="C216" s="367"/>
      <c r="D216" s="367"/>
      <c r="E216" s="367"/>
      <c r="F216" s="367"/>
      <c r="G216" s="367"/>
      <c r="H216" s="339"/>
      <c r="I216" s="369"/>
      <c r="J216" s="339"/>
      <c r="K216" s="339"/>
      <c r="L216" s="339"/>
      <c r="M216" s="339"/>
      <c r="N216" s="339"/>
      <c r="O216" s="339"/>
      <c r="P216" s="339"/>
      <c r="Q216" s="339"/>
      <c r="R216" s="339"/>
      <c r="S216" s="339"/>
      <c r="T216" s="339"/>
      <c r="U216" s="339"/>
      <c r="V216" s="339"/>
      <c r="W216" s="339"/>
      <c r="X216" s="14"/>
      <c r="Y216" s="14"/>
      <c r="Z216" s="14"/>
      <c r="AA216" s="14"/>
      <c r="AB216" s="14"/>
      <c r="AC216" s="14"/>
      <c r="AD216" s="14"/>
      <c r="AE216" s="14"/>
      <c r="AF216" s="4"/>
      <c r="AG216" s="4"/>
      <c r="AH216" s="14"/>
      <c r="AI216" s="14"/>
      <c r="AJ216" s="332"/>
      <c r="AK216" s="332"/>
      <c r="AL216" s="332"/>
      <c r="AM216" s="332"/>
      <c r="AN216" s="332"/>
      <c r="AO216" s="332"/>
      <c r="AP216" s="332"/>
      <c r="AQ216" s="28"/>
      <c r="AR216" s="332"/>
      <c r="AS216" s="28"/>
      <c r="AT216" s="28"/>
      <c r="AU216" s="28"/>
      <c r="AV216" s="28"/>
      <c r="AW216" s="28"/>
      <c r="AX216" s="28"/>
      <c r="AY216" s="28"/>
      <c r="AZ216" s="28"/>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24"/>
      <c r="BY216" s="24"/>
      <c r="BZ216" s="24"/>
      <c r="CA216" s="24"/>
      <c r="CB216" s="24"/>
      <c r="CC216" s="24"/>
      <c r="CD216" s="24"/>
    </row>
    <row r="217" spans="1:82" ht="15.75" customHeight="1">
      <c r="A217" s="3"/>
      <c r="B217" s="366" t="s">
        <v>306</v>
      </c>
      <c r="C217" s="367"/>
      <c r="D217" s="367"/>
      <c r="E217" s="367"/>
      <c r="F217" s="367"/>
      <c r="G217" s="367"/>
      <c r="H217" s="339"/>
      <c r="I217" s="369"/>
      <c r="J217" s="339"/>
      <c r="K217" s="339"/>
      <c r="L217" s="339"/>
      <c r="M217" s="339"/>
      <c r="N217" s="339"/>
      <c r="O217" s="339"/>
      <c r="P217" s="339"/>
      <c r="Q217" s="339"/>
      <c r="R217" s="339"/>
      <c r="S217" s="339"/>
      <c r="T217" s="339"/>
      <c r="U217" s="339"/>
      <c r="V217" s="339"/>
      <c r="W217" s="339"/>
      <c r="X217" s="14"/>
      <c r="Y217" s="14"/>
      <c r="Z217" s="14"/>
      <c r="AA217" s="14"/>
      <c r="AB217" s="14"/>
      <c r="AC217" s="14"/>
      <c r="AD217" s="14"/>
      <c r="AE217" s="14"/>
      <c r="AF217" s="4"/>
      <c r="AG217" s="4"/>
      <c r="AH217" s="14"/>
      <c r="AI217" s="14"/>
      <c r="AJ217" s="332"/>
      <c r="AK217" s="332"/>
      <c r="AL217" s="332"/>
      <c r="AM217" s="332"/>
      <c r="AN217" s="332"/>
      <c r="AO217" s="332"/>
      <c r="AP217" s="332"/>
      <c r="AQ217" s="28"/>
      <c r="AR217" s="332"/>
      <c r="AS217" s="28"/>
      <c r="AT217" s="28"/>
      <c r="AU217" s="28"/>
      <c r="AV217" s="28"/>
      <c r="AW217" s="28"/>
      <c r="AX217" s="28"/>
      <c r="AY217" s="28"/>
      <c r="AZ217" s="28"/>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24"/>
      <c r="BY217" s="24"/>
      <c r="BZ217" s="24"/>
      <c r="CA217" s="24"/>
      <c r="CB217" s="24"/>
      <c r="CC217" s="24"/>
      <c r="CD217" s="24"/>
    </row>
    <row r="218" spans="1:82" ht="15.75" customHeight="1">
      <c r="A218" s="244"/>
      <c r="B218" s="244"/>
      <c r="C218" s="864" t="s">
        <v>45</v>
      </c>
      <c r="D218" s="862"/>
      <c r="E218" s="862"/>
      <c r="F218" s="862"/>
      <c r="G218" s="863"/>
      <c r="H218" s="865" t="s">
        <v>255</v>
      </c>
      <c r="I218" s="866"/>
      <c r="J218" s="866"/>
      <c r="K218" s="866"/>
      <c r="L218" s="866"/>
      <c r="M218" s="866"/>
      <c r="N218" s="866"/>
      <c r="O218" s="866"/>
      <c r="P218" s="866"/>
      <c r="Q218" s="866"/>
      <c r="R218" s="866"/>
      <c r="S218" s="866"/>
      <c r="T218" s="866"/>
      <c r="U218" s="866"/>
      <c r="V218" s="866"/>
      <c r="W218" s="867"/>
      <c r="X218" s="14"/>
      <c r="Y218" s="14"/>
      <c r="Z218" s="14"/>
      <c r="AA218" s="14"/>
      <c r="AB218" s="14"/>
      <c r="AC218" s="14"/>
      <c r="AD218" s="14"/>
      <c r="AE218" s="4"/>
      <c r="AF218" s="4"/>
      <c r="AG218" s="4"/>
      <c r="AH218" s="14"/>
      <c r="AI218" s="14"/>
      <c r="AJ218" s="332"/>
      <c r="AK218" s="332"/>
      <c r="AL218" s="332"/>
      <c r="AM218" s="332"/>
      <c r="AN218" s="332"/>
      <c r="AO218" s="332"/>
      <c r="AP218" s="332"/>
      <c r="AQ218" s="28"/>
      <c r="AR218" s="332"/>
      <c r="AS218" s="28"/>
      <c r="AT218" s="28"/>
      <c r="AU218" s="28"/>
      <c r="AV218" s="28"/>
      <c r="AW218" s="28"/>
      <c r="AX218" s="28"/>
      <c r="AY218" s="28"/>
      <c r="AZ218" s="28"/>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24"/>
      <c r="BY218" s="24"/>
      <c r="BZ218" s="24"/>
      <c r="CA218" s="24"/>
      <c r="CB218" s="24"/>
      <c r="CC218" s="24"/>
      <c r="CD218" s="24"/>
    </row>
    <row r="219" spans="1:82" ht="48">
      <c r="A219" s="36"/>
      <c r="B219" s="37" t="s">
        <v>0</v>
      </c>
      <c r="C219" s="38" t="s">
        <v>1</v>
      </c>
      <c r="D219" s="37" t="s">
        <v>50</v>
      </c>
      <c r="E219" s="37" t="s">
        <v>2</v>
      </c>
      <c r="F219" s="37" t="s">
        <v>51</v>
      </c>
      <c r="G219" s="37" t="s">
        <v>52</v>
      </c>
      <c r="H219" s="373" t="s">
        <v>258</v>
      </c>
      <c r="I219" s="39" t="s">
        <v>55</v>
      </c>
      <c r="J219" s="39" t="s">
        <v>56</v>
      </c>
      <c r="K219" s="39" t="s">
        <v>57</v>
      </c>
      <c r="L219" s="374"/>
      <c r="M219" s="374" t="s">
        <v>259</v>
      </c>
      <c r="N219" s="39" t="s">
        <v>59</v>
      </c>
      <c r="O219" s="39" t="s">
        <v>60</v>
      </c>
      <c r="P219" s="39" t="s">
        <v>61</v>
      </c>
      <c r="Q219" s="39" t="s">
        <v>428</v>
      </c>
      <c r="R219" s="375" t="s">
        <v>429</v>
      </c>
      <c r="S219" s="375" t="s">
        <v>260</v>
      </c>
      <c r="T219" s="741"/>
      <c r="U219" s="741"/>
      <c r="V219" s="741"/>
      <c r="W219" s="741"/>
      <c r="X219" s="742"/>
      <c r="Y219" s="14"/>
      <c r="Z219" s="14"/>
      <c r="AA219" s="14"/>
      <c r="AB219" s="14"/>
      <c r="AC219" s="14"/>
      <c r="AD219" s="1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36"/>
      <c r="BB219" s="36"/>
      <c r="BC219" s="36"/>
      <c r="BD219" s="36"/>
      <c r="BE219" s="36"/>
      <c r="BF219" s="36"/>
      <c r="BG219" s="36"/>
      <c r="BH219" s="36"/>
      <c r="BI219" s="36"/>
      <c r="BJ219" s="36"/>
      <c r="BK219" s="36"/>
      <c r="BL219" s="36"/>
      <c r="BM219" s="36"/>
      <c r="BN219" s="36"/>
    </row>
    <row r="220" spans="1:82" ht="15.75" customHeight="1">
      <c r="A220" s="294">
        <f>A218+1</f>
        <v>1</v>
      </c>
      <c r="B220" s="1" t="s">
        <v>5</v>
      </c>
      <c r="C220" s="233" t="str">
        <f ca="1">IFERROR(__xludf.DUMMYFUNCTION("GoogleFinance(B220,""name"")"),"SPDR S&amp;P 500 ETF Trust")</f>
        <v>SPDR S&amp;P 500 ETF Trust</v>
      </c>
      <c r="D220" s="234">
        <f ca="1">IFERROR(__xludf.DUMMYFUNCTION("GoogleFinance(B220,""marketcap"")/1000000"),597359.334248)</f>
        <v>597359.33424800006</v>
      </c>
      <c r="E220" s="229" t="s">
        <v>80</v>
      </c>
      <c r="F220" s="229" t="s">
        <v>436</v>
      </c>
      <c r="G220" s="235">
        <v>45296</v>
      </c>
      <c r="H220" s="236">
        <v>473.88</v>
      </c>
      <c r="I220" s="237">
        <v>467.3</v>
      </c>
      <c r="J220" s="238">
        <v>9</v>
      </c>
      <c r="K220" s="239">
        <v>4205.7</v>
      </c>
      <c r="L220" s="226"/>
      <c r="M220" s="226">
        <v>4264.92</v>
      </c>
      <c r="N220" s="226">
        <v>59.220000000000255</v>
      </c>
      <c r="O220" s="254">
        <v>1.4080890220415032E-2</v>
      </c>
      <c r="P220" s="227">
        <v>4</v>
      </c>
      <c r="Q220" s="752" t="s">
        <v>431</v>
      </c>
      <c r="R220" s="235">
        <v>45300</v>
      </c>
      <c r="S220" s="29" t="s">
        <v>281</v>
      </c>
      <c r="T220" s="29"/>
      <c r="U220" s="29"/>
      <c r="V220" s="29"/>
      <c r="W220" s="29"/>
      <c r="X220" s="29"/>
      <c r="Y220" s="14"/>
      <c r="Z220" s="14"/>
      <c r="AA220" s="14"/>
      <c r="AB220" s="14"/>
      <c r="AC220" s="14"/>
      <c r="AD220" s="29"/>
      <c r="AE220" s="29"/>
      <c r="AF220" s="29"/>
      <c r="AG220" s="29"/>
      <c r="AH220" s="25"/>
      <c r="AI220" s="25"/>
      <c r="AJ220" s="456"/>
      <c r="AK220" s="456"/>
      <c r="AL220" s="456"/>
      <c r="AM220" s="456"/>
      <c r="AN220" s="456"/>
      <c r="AO220" s="456"/>
      <c r="AP220" s="456"/>
      <c r="AQ220" s="311"/>
      <c r="AR220" s="456"/>
      <c r="AS220" s="311"/>
      <c r="AT220" s="311"/>
      <c r="AU220" s="311"/>
      <c r="AV220" s="311"/>
      <c r="AW220" s="311"/>
      <c r="AX220" s="311"/>
      <c r="AY220" s="311"/>
      <c r="AZ220" s="311"/>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row>
    <row r="221" spans="1:82" ht="15.75" customHeight="1">
      <c r="A221" s="248">
        <f t="shared" ref="A221:A330" si="63">A220+1</f>
        <v>2</v>
      </c>
      <c r="B221" s="1" t="s">
        <v>5</v>
      </c>
      <c r="C221" s="233" t="str">
        <f ca="1">IFERROR(__xludf.DUMMYFUNCTION("GoogleFinance(B221,""name"")"),"SPDR S&amp;P 500 ETF Trust")</f>
        <v>SPDR S&amp;P 500 ETF Trust</v>
      </c>
      <c r="D221" s="234">
        <f ca="1">IFERROR(__xludf.DUMMYFUNCTION("GoogleFinance(B221,""marketcap"")/1000000"),597359.334248)</f>
        <v>597359.33424800006</v>
      </c>
      <c r="E221" s="229" t="s">
        <v>80</v>
      </c>
      <c r="F221" s="229" t="s">
        <v>436</v>
      </c>
      <c r="G221" s="235">
        <v>45296</v>
      </c>
      <c r="H221" s="236">
        <v>476.2</v>
      </c>
      <c r="I221" s="237">
        <v>467.3</v>
      </c>
      <c r="J221" s="238">
        <v>149.80000000000001</v>
      </c>
      <c r="K221" s="239">
        <v>70001.540000000008</v>
      </c>
      <c r="L221" s="226"/>
      <c r="M221" s="226">
        <v>71334.760000000009</v>
      </c>
      <c r="N221" s="226">
        <v>1333.2200000000012</v>
      </c>
      <c r="O221" s="254">
        <v>1.9045580997218092E-2</v>
      </c>
      <c r="P221" s="227">
        <v>5</v>
      </c>
      <c r="Q221" s="752" t="s">
        <v>431</v>
      </c>
      <c r="R221" s="235">
        <v>45301</v>
      </c>
      <c r="S221" s="29" t="s">
        <v>281</v>
      </c>
      <c r="T221" s="29"/>
      <c r="U221" s="29"/>
      <c r="V221" s="29"/>
      <c r="W221" s="29"/>
      <c r="X221" s="29"/>
      <c r="Y221" s="14"/>
      <c r="Z221" s="14"/>
      <c r="AA221" s="14"/>
      <c r="AB221" s="14"/>
      <c r="AC221" s="14"/>
      <c r="AD221" s="29"/>
      <c r="AE221" s="29"/>
      <c r="AF221" s="29"/>
      <c r="AG221" s="29"/>
      <c r="AH221" s="25"/>
      <c r="AI221" s="25"/>
      <c r="AJ221" s="456"/>
      <c r="AK221" s="456"/>
      <c r="AL221" s="456"/>
      <c r="AM221" s="456"/>
      <c r="AN221" s="456"/>
      <c r="AO221" s="456"/>
      <c r="AP221" s="456"/>
      <c r="AQ221" s="311"/>
      <c r="AR221" s="456"/>
      <c r="AS221" s="311"/>
      <c r="AT221" s="311"/>
      <c r="AU221" s="311"/>
      <c r="AV221" s="311"/>
      <c r="AW221" s="311"/>
      <c r="AX221" s="311"/>
      <c r="AY221" s="311"/>
      <c r="AZ221" s="311"/>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row>
    <row r="222" spans="1:82" ht="15.75" customHeight="1">
      <c r="A222" s="248">
        <f t="shared" si="63"/>
        <v>3</v>
      </c>
      <c r="B222" s="1" t="s">
        <v>522</v>
      </c>
      <c r="C222" s="233" t="str">
        <f ca="1">IFERROR(__xludf.DUMMYFUNCTION("GoogleFinance(B222,""name"")"),"Netflix Inc")</f>
        <v>Netflix Inc</v>
      </c>
      <c r="D222" s="234">
        <f ca="1">IFERROR(__xludf.DUMMYFUNCTION("GoogleFinance(B222,""marketcap"")/1000000"),514420.021818)</f>
        <v>514420.02181800001</v>
      </c>
      <c r="E222" s="229" t="s">
        <v>13</v>
      </c>
      <c r="F222" s="229" t="s">
        <v>120</v>
      </c>
      <c r="G222" s="235">
        <v>45260</v>
      </c>
      <c r="H222" s="236">
        <v>495</v>
      </c>
      <c r="I222" s="237">
        <v>472.5</v>
      </c>
      <c r="J222" s="238">
        <v>8.4656084656084651</v>
      </c>
      <c r="K222" s="239">
        <v>4190.4761904761899</v>
      </c>
      <c r="L222" s="226"/>
      <c r="M222" s="226">
        <v>4000</v>
      </c>
      <c r="N222" s="226">
        <v>-190.47619047618991</v>
      </c>
      <c r="O222" s="254">
        <v>-4.5454545454545414E-2</v>
      </c>
      <c r="P222" s="227">
        <v>42</v>
      </c>
      <c r="Q222" s="752" t="s">
        <v>483</v>
      </c>
      <c r="R222" s="235">
        <v>45302</v>
      </c>
      <c r="S222" s="29" t="s">
        <v>62</v>
      </c>
      <c r="T222" s="29"/>
      <c r="U222" s="29"/>
      <c r="V222" s="29"/>
      <c r="W222" s="29"/>
      <c r="X222" s="29"/>
      <c r="Y222" s="14"/>
      <c r="Z222" s="14"/>
      <c r="AA222" s="14"/>
      <c r="AB222" s="14"/>
      <c r="AC222" s="14"/>
      <c r="AD222" s="29"/>
      <c r="AE222" s="29"/>
      <c r="AF222" s="29"/>
      <c r="AG222" s="29"/>
      <c r="AH222" s="25"/>
      <c r="AI222" s="25"/>
      <c r="AJ222" s="456"/>
      <c r="AK222" s="456"/>
      <c r="AL222" s="456"/>
      <c r="AM222" s="456"/>
      <c r="AN222" s="456"/>
      <c r="AO222" s="456"/>
      <c r="AP222" s="456"/>
      <c r="AQ222" s="311"/>
      <c r="AR222" s="456"/>
      <c r="AS222" s="311"/>
      <c r="AT222" s="311"/>
      <c r="AU222" s="311"/>
      <c r="AV222" s="311"/>
      <c r="AW222" s="311"/>
      <c r="AX222" s="311"/>
      <c r="AY222" s="311"/>
      <c r="AZ222" s="311"/>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row>
    <row r="223" spans="1:82" ht="15.75" customHeight="1">
      <c r="A223" s="248">
        <f t="shared" si="63"/>
        <v>4</v>
      </c>
      <c r="B223" s="1" t="s">
        <v>523</v>
      </c>
      <c r="C223" s="233" t="str">
        <f ca="1">IFERROR(__xludf.DUMMYFUNCTION("GoogleFinance(B223,""name"")"),"Taiwan Semicndctr Mnufctrng Co Ltd")</f>
        <v>Taiwan Semicndctr Mnufctrng Co Ltd</v>
      </c>
      <c r="D223" s="234">
        <f ca="1">IFERROR(__xludf.DUMMYFUNCTION("GoogleFinance(B223,""marketcap"")/1000000"),1114055.931421)</f>
        <v>1114055.931421</v>
      </c>
      <c r="E223" s="229" t="s">
        <v>7</v>
      </c>
      <c r="F223" s="229" t="s">
        <v>23</v>
      </c>
      <c r="G223" s="235">
        <v>45300</v>
      </c>
      <c r="H223" s="236">
        <v>106</v>
      </c>
      <c r="I223" s="237">
        <v>101.76</v>
      </c>
      <c r="J223" s="238">
        <v>19.654088050314463</v>
      </c>
      <c r="K223" s="239">
        <v>2083.333333333333</v>
      </c>
      <c r="L223" s="226"/>
      <c r="M223" s="226">
        <v>2000</v>
      </c>
      <c r="N223" s="226">
        <v>-83.33333333333303</v>
      </c>
      <c r="O223" s="254">
        <v>-3.9999999999999925E-2</v>
      </c>
      <c r="P223" s="227">
        <v>9</v>
      </c>
      <c r="Q223" s="752" t="s">
        <v>483</v>
      </c>
      <c r="R223" s="235">
        <v>45309</v>
      </c>
      <c r="S223" s="29" t="s">
        <v>62</v>
      </c>
      <c r="T223" s="29"/>
      <c r="U223" s="29"/>
      <c r="V223" s="29"/>
      <c r="W223" s="29"/>
      <c r="X223" s="29"/>
      <c r="Y223" s="14"/>
      <c r="Z223" s="14"/>
      <c r="AA223" s="14"/>
      <c r="AB223" s="14"/>
      <c r="AC223" s="14"/>
      <c r="AD223" s="29"/>
      <c r="AE223" s="29"/>
      <c r="AF223" s="29"/>
      <c r="AG223" s="29"/>
      <c r="AH223" s="25"/>
      <c r="AI223" s="25"/>
      <c r="AJ223" s="456"/>
      <c r="AK223" s="456"/>
      <c r="AL223" s="456"/>
      <c r="AM223" s="456"/>
      <c r="AN223" s="456"/>
      <c r="AO223" s="456"/>
      <c r="AP223" s="456"/>
      <c r="AQ223" s="311"/>
      <c r="AR223" s="456"/>
      <c r="AS223" s="311"/>
      <c r="AT223" s="311"/>
      <c r="AU223" s="311"/>
      <c r="AV223" s="311"/>
      <c r="AW223" s="311"/>
      <c r="AX223" s="311"/>
      <c r="AY223" s="311"/>
      <c r="AZ223" s="311"/>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row>
    <row r="224" spans="1:82" ht="15.75" customHeight="1">
      <c r="A224" s="248">
        <f t="shared" si="63"/>
        <v>5</v>
      </c>
      <c r="B224" s="1" t="s">
        <v>524</v>
      </c>
      <c r="C224" s="233" t="str">
        <f ca="1">IFERROR(__xludf.DUMMYFUNCTION("GoogleFinance(B224,""name"")"),"Lam Research Corp")</f>
        <v>Lam Research Corp</v>
      </c>
      <c r="D224" s="234">
        <f ca="1">IFERROR(__xludf.DUMMYFUNCTION("GoogleFinance(B224,""marketcap"")/1000000"),161828.238869)</f>
        <v>161828.23886899999</v>
      </c>
      <c r="E224" s="229" t="s">
        <v>7</v>
      </c>
      <c r="F224" s="229" t="s">
        <v>23</v>
      </c>
      <c r="G224" s="235">
        <v>45300</v>
      </c>
      <c r="H224" s="236">
        <v>801.5</v>
      </c>
      <c r="I224" s="237">
        <v>754.23</v>
      </c>
      <c r="J224" s="238">
        <v>2.6517110165334183</v>
      </c>
      <c r="K224" s="239">
        <v>2125.3463797515346</v>
      </c>
      <c r="L224" s="226"/>
      <c r="M224" s="226">
        <v>2000.0000000000002</v>
      </c>
      <c r="N224" s="226">
        <v>-125.34637975153441</v>
      </c>
      <c r="O224" s="254">
        <v>-5.8976918278228263E-2</v>
      </c>
      <c r="P224" s="227">
        <v>10</v>
      </c>
      <c r="Q224" s="752" t="s">
        <v>483</v>
      </c>
      <c r="R224" s="235">
        <v>45310</v>
      </c>
      <c r="S224" s="29" t="s">
        <v>62</v>
      </c>
      <c r="T224" s="29"/>
      <c r="U224" s="29"/>
      <c r="V224" s="29"/>
      <c r="W224" s="29"/>
      <c r="X224" s="29"/>
      <c r="Y224" s="14"/>
      <c r="Z224" s="14"/>
      <c r="AA224" s="14"/>
      <c r="AB224" s="14"/>
      <c r="AC224" s="14"/>
      <c r="AD224" s="29"/>
      <c r="AE224" s="29"/>
      <c r="AF224" s="29"/>
      <c r="AG224" s="29"/>
      <c r="AH224" s="25"/>
      <c r="AI224" s="25"/>
      <c r="AJ224" s="456"/>
      <c r="AK224" s="456"/>
      <c r="AL224" s="456"/>
      <c r="AM224" s="456"/>
      <c r="AN224" s="456"/>
      <c r="AO224" s="456"/>
      <c r="AP224" s="456"/>
      <c r="AQ224" s="311"/>
      <c r="AR224" s="456"/>
      <c r="AS224" s="311"/>
      <c r="AT224" s="311"/>
      <c r="AU224" s="311"/>
      <c r="AV224" s="311"/>
      <c r="AW224" s="311"/>
      <c r="AX224" s="311"/>
      <c r="AY224" s="311"/>
      <c r="AZ224" s="311"/>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row>
    <row r="225" spans="1:82" ht="15.75" customHeight="1">
      <c r="A225" s="248">
        <f t="shared" si="63"/>
        <v>6</v>
      </c>
      <c r="B225" s="1" t="s">
        <v>525</v>
      </c>
      <c r="C225" s="233" t="str">
        <f ca="1">IFERROR(__xludf.DUMMYFUNCTION("GoogleFinance(B225,""name"")"),"ProShares Short Bitcoin ETF")</f>
        <v>ProShares Short Bitcoin ETF</v>
      </c>
      <c r="D225" s="234" t="str">
        <f ca="1">IFERROR(__xludf.DUMMYFUNCTION("GoogleFinance(B225,""marketcap"")/1000000"),"#N/A")</f>
        <v>#N/A</v>
      </c>
      <c r="E225" s="229" t="s">
        <v>7</v>
      </c>
      <c r="F225" s="229" t="s">
        <v>272</v>
      </c>
      <c r="G225" s="235">
        <v>45307</v>
      </c>
      <c r="H225" s="236">
        <v>13.62</v>
      </c>
      <c r="I225" s="237">
        <v>12.68</v>
      </c>
      <c r="J225" s="238">
        <v>170</v>
      </c>
      <c r="K225" s="239">
        <v>2155.6</v>
      </c>
      <c r="L225" s="226"/>
      <c r="M225" s="226">
        <v>2315.4</v>
      </c>
      <c r="N225" s="226">
        <v>159.80000000000018</v>
      </c>
      <c r="O225" s="254">
        <v>7.4132492113564652E-2</v>
      </c>
      <c r="P225" s="227">
        <v>3</v>
      </c>
      <c r="Q225" s="752" t="s">
        <v>431</v>
      </c>
      <c r="R225" s="235">
        <v>45310</v>
      </c>
      <c r="S225" s="29" t="s">
        <v>281</v>
      </c>
      <c r="T225" s="29"/>
      <c r="U225" s="29"/>
      <c r="V225" s="29"/>
      <c r="W225" s="29"/>
      <c r="X225" s="29"/>
      <c r="Y225" s="14"/>
      <c r="Z225" s="14"/>
      <c r="AA225" s="14"/>
      <c r="AB225" s="14"/>
      <c r="AC225" s="14"/>
      <c r="AD225" s="29"/>
      <c r="AE225" s="29"/>
      <c r="AF225" s="29"/>
      <c r="AG225" s="29"/>
      <c r="AH225" s="25"/>
      <c r="AI225" s="25"/>
      <c r="AJ225" s="456"/>
      <c r="AK225" s="456"/>
      <c r="AL225" s="456"/>
      <c r="AM225" s="456"/>
      <c r="AN225" s="456"/>
      <c r="AO225" s="456"/>
      <c r="AP225" s="456"/>
      <c r="AQ225" s="311"/>
      <c r="AR225" s="456"/>
      <c r="AS225" s="311"/>
      <c r="AT225" s="311"/>
      <c r="AU225" s="311"/>
      <c r="AV225" s="311"/>
      <c r="AW225" s="311"/>
      <c r="AX225" s="311"/>
      <c r="AY225" s="311"/>
      <c r="AZ225" s="311"/>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row>
    <row r="226" spans="1:82" ht="15.75" customHeight="1">
      <c r="A226" s="248">
        <f t="shared" si="63"/>
        <v>7</v>
      </c>
      <c r="B226" s="1" t="s">
        <v>127</v>
      </c>
      <c r="C226" s="233" t="str">
        <f ca="1">IFERROR(__xludf.DUMMYFUNCTION("GoogleFinance(B226,""name"")"),"Tesla Inc")</f>
        <v>Tesla Inc</v>
      </c>
      <c r="D226" s="234">
        <f ca="1">IFERROR(__xludf.DUMMYFUNCTION("GoogleFinance(B226,""marketcap"")/1000000"),1379980.168874)</f>
        <v>1379980.168874</v>
      </c>
      <c r="E226" s="229" t="s">
        <v>10</v>
      </c>
      <c r="F226" s="229" t="s">
        <v>526</v>
      </c>
      <c r="G226" s="235">
        <v>45310</v>
      </c>
      <c r="H226" s="236">
        <v>193</v>
      </c>
      <c r="I226" s="237">
        <v>210.8</v>
      </c>
      <c r="J226" s="238">
        <v>18.975332068311193</v>
      </c>
      <c r="K226" s="239">
        <v>4000</v>
      </c>
      <c r="L226" s="226"/>
      <c r="M226" s="226">
        <v>3662.23908918406</v>
      </c>
      <c r="N226" s="226">
        <v>-337.76091081593995</v>
      </c>
      <c r="O226" s="254">
        <v>-8.4440227703984849E-2</v>
      </c>
      <c r="P226" s="227">
        <v>6</v>
      </c>
      <c r="Q226" s="752" t="s">
        <v>431</v>
      </c>
      <c r="R226" s="235">
        <v>45316</v>
      </c>
      <c r="S226" s="29" t="s">
        <v>62</v>
      </c>
      <c r="T226" s="29"/>
      <c r="U226" s="29"/>
      <c r="V226" s="29"/>
      <c r="W226" s="29"/>
      <c r="X226" s="29"/>
      <c r="Y226" s="14"/>
      <c r="Z226" s="14"/>
      <c r="AA226" s="14"/>
      <c r="AB226" s="14"/>
      <c r="AC226" s="14"/>
      <c r="AD226" s="29"/>
      <c r="AE226" s="29"/>
      <c r="AF226" s="29"/>
      <c r="AG226" s="29"/>
      <c r="AH226" s="25"/>
      <c r="AI226" s="25"/>
      <c r="AJ226" s="456"/>
      <c r="AK226" s="456"/>
      <c r="AL226" s="456"/>
      <c r="AM226" s="456"/>
      <c r="AN226" s="456"/>
      <c r="AO226" s="456"/>
      <c r="AP226" s="456"/>
      <c r="AQ226" s="311"/>
      <c r="AR226" s="456"/>
      <c r="AS226" s="311"/>
      <c r="AT226" s="311"/>
      <c r="AU226" s="311"/>
      <c r="AV226" s="311"/>
      <c r="AW226" s="311"/>
      <c r="AX226" s="311"/>
      <c r="AY226" s="311"/>
      <c r="AZ226" s="311"/>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row>
    <row r="227" spans="1:82" ht="15.75" customHeight="1">
      <c r="A227" s="248">
        <f t="shared" si="63"/>
        <v>8</v>
      </c>
      <c r="B227" s="1" t="s">
        <v>5</v>
      </c>
      <c r="C227" s="233" t="str">
        <f ca="1">IFERROR(__xludf.DUMMYFUNCTION("GoogleFinance(B227,""name"")"),"SPDR S&amp;P 500 ETF Trust")</f>
        <v>SPDR S&amp;P 500 ETF Trust</v>
      </c>
      <c r="D227" s="234">
        <f ca="1">IFERROR(__xludf.DUMMYFUNCTION("GoogleFinance(B227,""marketcap"")/1000000"),597359.334248)</f>
        <v>597359.33424800006</v>
      </c>
      <c r="E227" s="229" t="s">
        <v>80</v>
      </c>
      <c r="F227" s="229" t="s">
        <v>436</v>
      </c>
      <c r="G227" s="235">
        <v>45309</v>
      </c>
      <c r="H227" s="236">
        <v>493.23</v>
      </c>
      <c r="I227" s="237">
        <v>473.25</v>
      </c>
      <c r="J227" s="238">
        <v>140</v>
      </c>
      <c r="K227" s="239">
        <v>66255</v>
      </c>
      <c r="L227" s="226"/>
      <c r="M227" s="226">
        <v>69052.2</v>
      </c>
      <c r="N227" s="226">
        <v>2797.1999999999971</v>
      </c>
      <c r="O227" s="254">
        <v>4.2218700475435744E-2</v>
      </c>
      <c r="P227" s="227">
        <v>18</v>
      </c>
      <c r="Q227" s="752" t="s">
        <v>431</v>
      </c>
      <c r="R227" s="235">
        <v>45327</v>
      </c>
      <c r="S227" s="29" t="s">
        <v>281</v>
      </c>
      <c r="T227" s="29"/>
      <c r="U227" s="29"/>
      <c r="V227" s="29"/>
      <c r="W227" s="29"/>
      <c r="X227" s="29"/>
      <c r="Y227" s="14"/>
      <c r="Z227" s="14"/>
      <c r="AA227" s="14"/>
      <c r="AB227" s="14"/>
      <c r="AC227" s="14"/>
      <c r="AD227" s="29"/>
      <c r="AE227" s="29"/>
      <c r="AF227" s="29"/>
      <c r="AG227" s="29"/>
      <c r="AH227" s="25"/>
      <c r="AI227" s="25"/>
      <c r="AJ227" s="456"/>
      <c r="AK227" s="456"/>
      <c r="AL227" s="456"/>
      <c r="AM227" s="456"/>
      <c r="AN227" s="456"/>
      <c r="AO227" s="456"/>
      <c r="AP227" s="456"/>
      <c r="AQ227" s="311"/>
      <c r="AR227" s="456"/>
      <c r="AS227" s="311"/>
      <c r="AT227" s="311"/>
      <c r="AU227" s="311"/>
      <c r="AV227" s="311"/>
      <c r="AW227" s="311"/>
      <c r="AX227" s="311"/>
      <c r="AY227" s="311"/>
      <c r="AZ227" s="311"/>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row>
    <row r="228" spans="1:82" ht="15.75" customHeight="1">
      <c r="A228" s="248">
        <f t="shared" si="63"/>
        <v>9</v>
      </c>
      <c r="B228" s="765" t="s">
        <v>525</v>
      </c>
      <c r="C228" s="766" t="str">
        <f ca="1">IFERROR(__xludf.DUMMYFUNCTION("GoogleFinance(B228,""name"")"),"ProShares Short Bitcoin ETF")</f>
        <v>ProShares Short Bitcoin ETF</v>
      </c>
      <c r="D228" s="767" t="str">
        <f ca="1">IFERROR(__xludf.DUMMYFUNCTION("GoogleFinance(B228,""marketcap"")/1000000"),"#N/A")</f>
        <v>#N/A</v>
      </c>
      <c r="E228" s="825" t="s">
        <v>527</v>
      </c>
      <c r="F228" s="825"/>
      <c r="G228" s="826">
        <v>45307</v>
      </c>
      <c r="H228" s="827">
        <v>12</v>
      </c>
      <c r="I228" s="828">
        <v>12.68</v>
      </c>
      <c r="J228" s="829">
        <v>66.593059936908531</v>
      </c>
      <c r="K228" s="830">
        <v>844</v>
      </c>
      <c r="L228" s="831"/>
      <c r="M228" s="831">
        <v>799.11671924290238</v>
      </c>
      <c r="N228" s="831">
        <v>-44.883280757097623</v>
      </c>
      <c r="O228" s="575">
        <v>-5.362776025236593E-2</v>
      </c>
      <c r="P228" s="227">
        <v>23</v>
      </c>
      <c r="Q228" s="752" t="s">
        <v>431</v>
      </c>
      <c r="R228" s="235">
        <v>45330</v>
      </c>
      <c r="S228" s="29" t="s">
        <v>62</v>
      </c>
      <c r="T228" s="29"/>
      <c r="U228" s="29"/>
      <c r="V228" s="29"/>
      <c r="W228" s="29"/>
      <c r="X228" s="29"/>
      <c r="Y228" s="14"/>
      <c r="Z228" s="14"/>
      <c r="AA228" s="14"/>
      <c r="AB228" s="14"/>
      <c r="AC228" s="14"/>
      <c r="AD228" s="29"/>
      <c r="AE228" s="29"/>
      <c r="AF228" s="29"/>
      <c r="AG228" s="29"/>
      <c r="AH228" s="25"/>
      <c r="AI228" s="25"/>
      <c r="AJ228" s="456"/>
      <c r="AK228" s="456"/>
      <c r="AL228" s="456"/>
      <c r="AM228" s="456"/>
      <c r="AN228" s="456"/>
      <c r="AO228" s="456"/>
      <c r="AP228" s="456"/>
      <c r="AQ228" s="311"/>
      <c r="AR228" s="456"/>
      <c r="AS228" s="311"/>
      <c r="AT228" s="311"/>
      <c r="AU228" s="311"/>
      <c r="AV228" s="311"/>
      <c r="AW228" s="311"/>
      <c r="AX228" s="311"/>
      <c r="AY228" s="311"/>
      <c r="AZ228" s="311"/>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row>
    <row r="229" spans="1:82" ht="15.75" customHeight="1">
      <c r="A229" s="248">
        <f t="shared" si="63"/>
        <v>10</v>
      </c>
      <c r="B229" s="1" t="s">
        <v>452</v>
      </c>
      <c r="C229" s="233" t="str">
        <f ca="1">IFERROR(__xludf.DUMMYFUNCTION("GoogleFinance(B229,""name"")"),"MARA Holdings Inc")</f>
        <v>MARA Holdings Inc</v>
      </c>
      <c r="D229" s="234">
        <f ca="1">IFERROR(__xludf.DUMMYFUNCTION("GoogleFinance(B229,""marketcap"")/1000000"),5975.484003)</f>
        <v>5975.4840029999996</v>
      </c>
      <c r="E229" s="229" t="s">
        <v>299</v>
      </c>
      <c r="F229" s="229" t="s">
        <v>528</v>
      </c>
      <c r="G229" s="235">
        <v>45310</v>
      </c>
      <c r="H229" s="236">
        <v>19.850000000000001</v>
      </c>
      <c r="I229" s="237">
        <v>14.86</v>
      </c>
      <c r="J229" s="238">
        <v>269.17900403768505</v>
      </c>
      <c r="K229" s="239">
        <v>4000</v>
      </c>
      <c r="L229" s="226"/>
      <c r="M229" s="226">
        <v>5343.2032301480485</v>
      </c>
      <c r="N229" s="226">
        <v>1343.2032301480485</v>
      </c>
      <c r="O229" s="254">
        <v>0.33580080753701225</v>
      </c>
      <c r="P229" s="227">
        <v>20</v>
      </c>
      <c r="Q229" s="752" t="s">
        <v>431</v>
      </c>
      <c r="R229" s="235">
        <v>45330</v>
      </c>
      <c r="S229" s="29" t="s">
        <v>281</v>
      </c>
      <c r="T229" s="29"/>
      <c r="U229" s="29"/>
      <c r="V229" s="29"/>
      <c r="W229" s="29"/>
      <c r="X229" s="29"/>
      <c r="Y229" s="14"/>
      <c r="Z229" s="14"/>
      <c r="AA229" s="14"/>
      <c r="AB229" s="14"/>
      <c r="AC229" s="14"/>
      <c r="AD229" s="29"/>
      <c r="AE229" s="29"/>
      <c r="AF229" s="29"/>
      <c r="AG229" s="29"/>
      <c r="AH229" s="25"/>
      <c r="AI229" s="25"/>
      <c r="AJ229" s="456"/>
      <c r="AK229" s="456"/>
      <c r="AL229" s="456"/>
      <c r="AM229" s="456"/>
      <c r="AN229" s="456"/>
      <c r="AO229" s="456"/>
      <c r="AP229" s="456"/>
      <c r="AQ229" s="311"/>
      <c r="AR229" s="456"/>
      <c r="AS229" s="311"/>
      <c r="AT229" s="311"/>
      <c r="AU229" s="311"/>
      <c r="AV229" s="311"/>
      <c r="AW229" s="311"/>
      <c r="AX229" s="311"/>
      <c r="AY229" s="311"/>
      <c r="AZ229" s="311"/>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row>
    <row r="230" spans="1:82" ht="15.75" customHeight="1">
      <c r="A230" s="248">
        <f t="shared" si="63"/>
        <v>11</v>
      </c>
      <c r="B230" s="765" t="s">
        <v>529</v>
      </c>
      <c r="C230" s="766" t="s">
        <v>530</v>
      </c>
      <c r="D230" s="767"/>
      <c r="E230" s="825" t="s">
        <v>76</v>
      </c>
      <c r="F230" s="248" t="s">
        <v>76</v>
      </c>
      <c r="G230" s="832">
        <v>45331</v>
      </c>
      <c r="H230" s="236">
        <v>16.25</v>
      </c>
      <c r="I230" s="237">
        <v>13.9</v>
      </c>
      <c r="J230" s="507">
        <v>150</v>
      </c>
      <c r="K230" s="249">
        <v>2085</v>
      </c>
      <c r="L230" s="249"/>
      <c r="M230" s="249">
        <v>2437.5</v>
      </c>
      <c r="N230" s="508">
        <v>352.5</v>
      </c>
      <c r="O230" s="509">
        <v>0.16906474820143891</v>
      </c>
      <c r="P230" s="227">
        <v>4</v>
      </c>
      <c r="Q230" s="752" t="s">
        <v>431</v>
      </c>
      <c r="R230" s="235">
        <v>45335</v>
      </c>
      <c r="S230" s="29" t="s">
        <v>281</v>
      </c>
      <c r="T230" s="29"/>
      <c r="U230" s="29"/>
      <c r="V230" s="29"/>
      <c r="W230" s="29"/>
      <c r="X230" s="29"/>
      <c r="Y230" s="14"/>
      <c r="Z230" s="14"/>
      <c r="AA230" s="14"/>
      <c r="AB230" s="14"/>
      <c r="AC230" s="14"/>
      <c r="AD230" s="29"/>
      <c r="AE230" s="29"/>
      <c r="AF230" s="29"/>
      <c r="AG230" s="29"/>
      <c r="AH230" s="25"/>
      <c r="AI230" s="25"/>
      <c r="AJ230" s="456"/>
      <c r="AK230" s="456"/>
      <c r="AL230" s="456"/>
      <c r="AM230" s="456"/>
      <c r="AN230" s="456"/>
      <c r="AO230" s="456"/>
      <c r="AP230" s="456"/>
      <c r="AQ230" s="311"/>
      <c r="AR230" s="456"/>
      <c r="AS230" s="311"/>
      <c r="AT230" s="311"/>
      <c r="AU230" s="311"/>
      <c r="AV230" s="311"/>
      <c r="AW230" s="311"/>
      <c r="AX230" s="311"/>
      <c r="AY230" s="311"/>
      <c r="AZ230" s="311"/>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row>
    <row r="231" spans="1:82" ht="15.75" customHeight="1">
      <c r="A231" s="248">
        <f t="shared" si="63"/>
        <v>12</v>
      </c>
      <c r="B231" s="1" t="s">
        <v>283</v>
      </c>
      <c r="C231" s="233" t="str">
        <f ca="1">IFERROR(__xludf.DUMMYFUNCTION("GoogleFinance(B231,""name"")"),"Apple Inc")</f>
        <v>Apple Inc</v>
      </c>
      <c r="D231" s="234">
        <f ca="1">IFERROR(__xludf.DUMMYFUNCTION("GoogleFinance(B231,""marketcap"")/1000000"),3791126)</f>
        <v>3791126</v>
      </c>
      <c r="E231" s="229" t="s">
        <v>7</v>
      </c>
      <c r="F231" s="229" t="s">
        <v>272</v>
      </c>
      <c r="G231" s="235">
        <v>45296</v>
      </c>
      <c r="H231" s="1">
        <v>182.8</v>
      </c>
      <c r="I231" s="237">
        <v>182.5</v>
      </c>
      <c r="J231" s="238">
        <v>109.58904109589041</v>
      </c>
      <c r="K231" s="239">
        <v>20000</v>
      </c>
      <c r="L231" s="249"/>
      <c r="M231" s="249">
        <v>20032.876712328769</v>
      </c>
      <c r="N231" s="508">
        <v>32.876712328768917</v>
      </c>
      <c r="O231" s="509">
        <v>1.6438356164383272E-3</v>
      </c>
      <c r="P231" s="227">
        <v>40</v>
      </c>
      <c r="Q231" s="752" t="s">
        <v>431</v>
      </c>
      <c r="R231" s="235">
        <v>45336</v>
      </c>
      <c r="S231" s="29" t="s">
        <v>281</v>
      </c>
      <c r="T231" s="29"/>
      <c r="U231" s="29"/>
      <c r="V231" s="29"/>
      <c r="W231" s="29"/>
      <c r="X231" s="29"/>
      <c r="Y231" s="14"/>
      <c r="Z231" s="14"/>
      <c r="AA231" s="14"/>
      <c r="AB231" s="14"/>
      <c r="AC231" s="14"/>
      <c r="AD231" s="29"/>
      <c r="AE231" s="29"/>
      <c r="AF231" s="29"/>
      <c r="AG231" s="29"/>
      <c r="AH231" s="25"/>
      <c r="AI231" s="25"/>
      <c r="AJ231" s="456"/>
      <c r="AK231" s="456"/>
      <c r="AL231" s="456"/>
      <c r="AM231" s="456"/>
      <c r="AN231" s="456"/>
      <c r="AO231" s="456"/>
      <c r="AP231" s="456"/>
      <c r="AQ231" s="311"/>
      <c r="AR231" s="456"/>
      <c r="AS231" s="311"/>
      <c r="AT231" s="311"/>
      <c r="AU231" s="311"/>
      <c r="AV231" s="311"/>
      <c r="AW231" s="311"/>
      <c r="AX231" s="311"/>
      <c r="AY231" s="311"/>
      <c r="AZ231" s="311"/>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row>
    <row r="232" spans="1:82" ht="15.75" customHeight="1">
      <c r="A232" s="248">
        <f t="shared" si="63"/>
        <v>13</v>
      </c>
      <c r="B232" s="1" t="s">
        <v>376</v>
      </c>
      <c r="C232" s="233" t="str">
        <f ca="1">IFERROR(__xludf.DUMMYFUNCTION("GoogleFinance(B232,""name"")"),"Grupo Financiero Galicia SA")</f>
        <v>Grupo Financiero Galicia SA</v>
      </c>
      <c r="D232" s="234">
        <f ca="1">IFERROR(__xludf.DUMMYFUNCTION("GoogleFinance(B232,""marketcap"")/1000000"),4112.099185)</f>
        <v>4112.099185</v>
      </c>
      <c r="E232" s="245" t="s">
        <v>14</v>
      </c>
      <c r="F232" s="246" t="s">
        <v>21</v>
      </c>
      <c r="G232" s="230">
        <v>45238</v>
      </c>
      <c r="H232" s="1">
        <v>20.22</v>
      </c>
      <c r="I232" s="506">
        <v>11.73</v>
      </c>
      <c r="J232" s="507">
        <v>80</v>
      </c>
      <c r="K232" s="249">
        <v>938.40000000000009</v>
      </c>
      <c r="L232" s="249"/>
      <c r="M232" s="249">
        <v>1617.6</v>
      </c>
      <c r="N232" s="508">
        <v>679.19999999999982</v>
      </c>
      <c r="O232" s="509">
        <v>0.72378516624040912</v>
      </c>
      <c r="P232" s="227">
        <v>98</v>
      </c>
      <c r="Q232" s="752" t="s">
        <v>431</v>
      </c>
      <c r="R232" s="235">
        <v>45336</v>
      </c>
      <c r="S232" s="29" t="s">
        <v>281</v>
      </c>
      <c r="T232" s="29"/>
      <c r="U232" s="29"/>
      <c r="V232" s="29"/>
      <c r="W232" s="29"/>
      <c r="X232" s="29"/>
      <c r="Y232" s="14"/>
      <c r="Z232" s="14"/>
      <c r="AA232" s="14"/>
      <c r="AB232" s="14"/>
      <c r="AC232" s="14"/>
      <c r="AD232" s="29"/>
      <c r="AE232" s="29"/>
      <c r="AF232" s="29"/>
      <c r="AG232" s="29"/>
      <c r="AH232" s="25"/>
      <c r="AI232" s="25"/>
      <c r="AJ232" s="456"/>
      <c r="AK232" s="456"/>
      <c r="AL232" s="456"/>
      <c r="AM232" s="456"/>
      <c r="AN232" s="456"/>
      <c r="AO232" s="456"/>
      <c r="AP232" s="456"/>
      <c r="AQ232" s="311"/>
      <c r="AR232" s="456"/>
      <c r="AS232" s="311"/>
      <c r="AT232" s="311"/>
      <c r="AU232" s="311"/>
      <c r="AV232" s="311"/>
      <c r="AW232" s="311"/>
      <c r="AX232" s="311"/>
      <c r="AY232" s="311"/>
      <c r="AZ232" s="311"/>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row>
    <row r="233" spans="1:82" ht="15.75" customHeight="1">
      <c r="A233" s="248">
        <f t="shared" si="63"/>
        <v>14</v>
      </c>
      <c r="B233" s="1" t="s">
        <v>531</v>
      </c>
      <c r="C233" s="233" t="s">
        <v>532</v>
      </c>
      <c r="D233" s="234">
        <v>41070.531465</v>
      </c>
      <c r="E233" s="229" t="s">
        <v>7</v>
      </c>
      <c r="F233" s="229" t="s">
        <v>7</v>
      </c>
      <c r="G233" s="786">
        <v>45266</v>
      </c>
      <c r="H233" s="833">
        <v>82</v>
      </c>
      <c r="I233" s="237">
        <v>68.739999999999995</v>
      </c>
      <c r="J233" s="238">
        <v>58.190282222868788</v>
      </c>
      <c r="K233" s="249">
        <v>4771.6031422752403</v>
      </c>
      <c r="L233" s="249"/>
      <c r="M233" s="249">
        <v>4000</v>
      </c>
      <c r="N233" s="508">
        <v>-771.60314227524032</v>
      </c>
      <c r="O233" s="254">
        <v>-0.16170731707317076</v>
      </c>
      <c r="P233" s="227">
        <v>79</v>
      </c>
      <c r="Q233" s="752" t="s">
        <v>483</v>
      </c>
      <c r="R233" s="235">
        <v>45345</v>
      </c>
      <c r="S233" s="29" t="s">
        <v>62</v>
      </c>
      <c r="T233" s="29"/>
      <c r="U233" s="29"/>
      <c r="V233" s="29"/>
      <c r="W233" s="29"/>
      <c r="X233" s="29"/>
      <c r="Y233" s="14"/>
      <c r="Z233" s="14"/>
      <c r="AA233" s="14"/>
      <c r="AB233" s="14"/>
      <c r="AC233" s="14"/>
      <c r="AD233" s="29"/>
      <c r="AE233" s="29"/>
      <c r="AF233" s="29"/>
      <c r="AG233" s="29"/>
      <c r="AH233" s="25"/>
      <c r="AI233" s="25"/>
      <c r="AJ233" s="456"/>
      <c r="AK233" s="456"/>
      <c r="AL233" s="456"/>
      <c r="AM233" s="456"/>
      <c r="AN233" s="456"/>
      <c r="AO233" s="456"/>
      <c r="AP233" s="456"/>
      <c r="AQ233" s="311"/>
      <c r="AR233" s="456"/>
      <c r="AS233" s="311"/>
      <c r="AT233" s="311"/>
      <c r="AU233" s="311"/>
      <c r="AV233" s="311"/>
      <c r="AW233" s="311"/>
      <c r="AX233" s="311"/>
      <c r="AY233" s="311"/>
      <c r="AZ233" s="311"/>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row>
    <row r="234" spans="1:82" ht="15.75" customHeight="1">
      <c r="A234" s="248">
        <f t="shared" si="63"/>
        <v>15</v>
      </c>
      <c r="B234" s="1" t="s">
        <v>480</v>
      </c>
      <c r="C234" s="233" t="str">
        <f ca="1">IFERROR(__xludf.DUMMYFUNCTION("GoogleFinance(B234,""name"")"),"Direxion Daily Semiconductor Bear 3X Shares")</f>
        <v>Direxion Daily Semiconductor Bear 3X Shares</v>
      </c>
      <c r="D234" s="234" t="str">
        <f ca="1">IFERROR(__xludf.DUMMYFUNCTION("GoogleFinance(B234,""marketcap"")/1000000"),"#N/A")</f>
        <v>#N/A</v>
      </c>
      <c r="E234" s="229" t="s">
        <v>533</v>
      </c>
      <c r="F234" s="229" t="s">
        <v>504</v>
      </c>
      <c r="G234" s="235">
        <v>45345</v>
      </c>
      <c r="H234" s="833">
        <v>3.8</v>
      </c>
      <c r="I234" s="237">
        <v>4.1100000000000003</v>
      </c>
      <c r="J234" s="238">
        <v>243.30900243309</v>
      </c>
      <c r="K234" s="239">
        <v>1000</v>
      </c>
      <c r="L234" s="249"/>
      <c r="M234" s="249">
        <v>924.57420924574194</v>
      </c>
      <c r="N234" s="508">
        <v>-75.42579075425806</v>
      </c>
      <c r="O234" s="509">
        <v>-7.5425790754258037E-2</v>
      </c>
      <c r="P234" s="227">
        <v>5</v>
      </c>
      <c r="Q234" s="752" t="s">
        <v>483</v>
      </c>
      <c r="R234" s="235">
        <v>45350</v>
      </c>
      <c r="S234" s="29" t="s">
        <v>62</v>
      </c>
      <c r="T234" s="29"/>
      <c r="U234" s="29"/>
      <c r="V234" s="29"/>
      <c r="W234" s="29"/>
      <c r="X234" s="29"/>
      <c r="Y234" s="14"/>
      <c r="Z234" s="14"/>
      <c r="AA234" s="14"/>
      <c r="AB234" s="14"/>
      <c r="AC234" s="14"/>
      <c r="AD234" s="29"/>
      <c r="AE234" s="29"/>
      <c r="AF234" s="29"/>
      <c r="AG234" s="29"/>
      <c r="AH234" s="25"/>
      <c r="AI234" s="25"/>
      <c r="AJ234" s="456"/>
      <c r="AK234" s="456"/>
      <c r="AL234" s="456"/>
      <c r="AM234" s="456"/>
      <c r="AN234" s="456"/>
      <c r="AO234" s="456"/>
      <c r="AP234" s="456"/>
      <c r="AQ234" s="311"/>
      <c r="AR234" s="456"/>
      <c r="AS234" s="311"/>
      <c r="AT234" s="311"/>
      <c r="AU234" s="311"/>
      <c r="AV234" s="311"/>
      <c r="AW234" s="311"/>
      <c r="AX234" s="311"/>
      <c r="AY234" s="311"/>
      <c r="AZ234" s="311"/>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row>
    <row r="235" spans="1:82" ht="15.75" customHeight="1">
      <c r="A235" s="248">
        <f t="shared" si="63"/>
        <v>16</v>
      </c>
      <c r="B235" s="1" t="s">
        <v>286</v>
      </c>
      <c r="C235" s="233" t="str">
        <f ca="1">IFERROR(__xludf.DUMMYFUNCTION("GoogleFinance(B235,""name"")"),"Baidu Inc")</f>
        <v>Baidu Inc</v>
      </c>
      <c r="D235" s="234">
        <f ca="1">IFERROR(__xludf.DUMMYFUNCTION("GoogleFinance(B235,""marketcap"")/1000000"),368997.153)</f>
        <v>368997.15299999999</v>
      </c>
      <c r="E235" s="246" t="s">
        <v>13</v>
      </c>
      <c r="F235" s="246" t="s">
        <v>24</v>
      </c>
      <c r="G235" s="230">
        <v>45349</v>
      </c>
      <c r="H235" s="833">
        <v>100</v>
      </c>
      <c r="I235" s="506">
        <v>112.07</v>
      </c>
      <c r="J235" s="507">
        <v>8.92299455697332</v>
      </c>
      <c r="K235" s="249">
        <v>999.99999999999989</v>
      </c>
      <c r="L235" s="249"/>
      <c r="M235" s="249">
        <v>892.29945569733195</v>
      </c>
      <c r="N235" s="508">
        <v>-107.70054430266794</v>
      </c>
      <c r="O235" s="509">
        <v>-0.10770054430266796</v>
      </c>
      <c r="P235" s="227">
        <v>7</v>
      </c>
      <c r="Q235" s="752" t="s">
        <v>483</v>
      </c>
      <c r="R235" s="235">
        <v>45356</v>
      </c>
      <c r="S235" s="29" t="s">
        <v>62</v>
      </c>
      <c r="T235" s="29"/>
      <c r="U235" s="29"/>
      <c r="V235" s="29"/>
      <c r="W235" s="29"/>
      <c r="X235" s="29"/>
      <c r="Y235" s="14"/>
      <c r="Z235" s="14"/>
      <c r="AA235" s="14"/>
      <c r="AB235" s="14"/>
      <c r="AC235" s="14"/>
      <c r="AD235" s="29"/>
      <c r="AE235" s="29"/>
      <c r="AF235" s="29"/>
      <c r="AG235" s="29"/>
      <c r="AH235" s="25"/>
      <c r="AI235" s="25"/>
      <c r="AJ235" s="25"/>
      <c r="AK235" s="25"/>
      <c r="AL235" s="25"/>
      <c r="AM235" s="25"/>
      <c r="AN235" s="25"/>
      <c r="AO235" s="25"/>
      <c r="AP235" s="25"/>
      <c r="AQ235" s="22"/>
      <c r="AR235" s="25"/>
      <c r="AS235" s="22"/>
      <c r="AT235" s="22"/>
      <c r="AU235" s="22"/>
      <c r="AV235" s="22"/>
      <c r="AW235" s="22"/>
      <c r="AX235" s="22"/>
      <c r="AY235" s="22"/>
      <c r="AZ235" s="22"/>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row>
    <row r="236" spans="1:82" ht="15.75" customHeight="1">
      <c r="A236" s="248">
        <f t="shared" si="63"/>
        <v>17</v>
      </c>
      <c r="B236" s="1" t="s">
        <v>534</v>
      </c>
      <c r="C236" s="233" t="str">
        <f ca="1">IFERROR(__xludf.DUMMYFUNCTION("GoogleFinance(B236,""name"")"),"T-Rex 2x Inverse Tesla Daily Target ETF")</f>
        <v>T-Rex 2x Inverse Tesla Daily Target ETF</v>
      </c>
      <c r="D236" s="234" t="str">
        <f ca="1">IFERROR(__xludf.DUMMYFUNCTION("GoogleFinance(B236,""marketcap"")/1000000"),"#N/A")</f>
        <v>#N/A</v>
      </c>
      <c r="E236" s="229" t="s">
        <v>535</v>
      </c>
      <c r="F236" s="229" t="s">
        <v>504</v>
      </c>
      <c r="G236" s="235">
        <v>45336</v>
      </c>
      <c r="H236" s="833">
        <v>41.1</v>
      </c>
      <c r="I236" s="237">
        <v>35.08</v>
      </c>
      <c r="J236" s="238">
        <v>30</v>
      </c>
      <c r="K236" s="249">
        <v>1052.3999999999999</v>
      </c>
      <c r="L236" s="249"/>
      <c r="M236" s="249">
        <v>1233</v>
      </c>
      <c r="N236" s="508">
        <v>180.60000000000014</v>
      </c>
      <c r="O236" s="509">
        <v>0.17160775370581538</v>
      </c>
      <c r="P236" s="227">
        <v>21</v>
      </c>
      <c r="Q236" s="752" t="s">
        <v>431</v>
      </c>
      <c r="R236" s="235">
        <v>45357</v>
      </c>
      <c r="S236" s="29" t="s">
        <v>281</v>
      </c>
      <c r="T236" s="29"/>
      <c r="U236" s="29"/>
      <c r="V236" s="29"/>
      <c r="W236" s="29"/>
      <c r="X236" s="29"/>
      <c r="Y236" s="14"/>
      <c r="Z236" s="14"/>
      <c r="AA236" s="14"/>
      <c r="AB236" s="14"/>
      <c r="AC236" s="14"/>
      <c r="AD236" s="29"/>
      <c r="AE236" s="29"/>
      <c r="AF236" s="29"/>
      <c r="AG236" s="29"/>
      <c r="AH236" s="25"/>
      <c r="AI236" s="25"/>
      <c r="AJ236" s="456"/>
      <c r="AK236" s="456"/>
      <c r="AL236" s="456"/>
      <c r="AM236" s="456"/>
      <c r="AN236" s="456"/>
      <c r="AO236" s="456"/>
      <c r="AP236" s="456"/>
      <c r="AQ236" s="311"/>
      <c r="AR236" s="456"/>
      <c r="AS236" s="311"/>
      <c r="AT236" s="311"/>
      <c r="AU236" s="311"/>
      <c r="AV236" s="311"/>
      <c r="AW236" s="311"/>
      <c r="AX236" s="311"/>
      <c r="AY236" s="311"/>
      <c r="AZ236" s="311"/>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row>
    <row r="237" spans="1:82" ht="15.75" customHeight="1">
      <c r="A237" s="248">
        <f t="shared" si="63"/>
        <v>18</v>
      </c>
      <c r="B237" s="1" t="s">
        <v>534</v>
      </c>
      <c r="C237" s="233" t="str">
        <f ca="1">IFERROR(__xludf.DUMMYFUNCTION("GoogleFinance(B237,""name"")"),"T-Rex 2x Inverse Tesla Daily Target ETF")</f>
        <v>T-Rex 2x Inverse Tesla Daily Target ETF</v>
      </c>
      <c r="D237" s="234" t="str">
        <f ca="1">IFERROR(__xludf.DUMMYFUNCTION("GoogleFinance(B237,""marketcap"")/1000000"),"#N/A")</f>
        <v>#N/A</v>
      </c>
      <c r="E237" s="229" t="s">
        <v>535</v>
      </c>
      <c r="F237" s="229" t="s">
        <v>504</v>
      </c>
      <c r="G237" s="235">
        <v>45336</v>
      </c>
      <c r="H237" s="833">
        <v>43.28</v>
      </c>
      <c r="I237" s="237">
        <v>35.08</v>
      </c>
      <c r="J237" s="238">
        <v>27</v>
      </c>
      <c r="K237" s="249">
        <v>947.16</v>
      </c>
      <c r="L237" s="249"/>
      <c r="M237" s="249">
        <v>1168.56</v>
      </c>
      <c r="N237" s="508">
        <v>221.39999999999998</v>
      </c>
      <c r="O237" s="509">
        <v>0.23375142531356907</v>
      </c>
      <c r="P237" s="227">
        <v>21</v>
      </c>
      <c r="Q237" s="752" t="s">
        <v>431</v>
      </c>
      <c r="R237" s="235">
        <v>45357</v>
      </c>
      <c r="S237" s="29" t="s">
        <v>281</v>
      </c>
      <c r="T237" s="29"/>
      <c r="U237" s="29"/>
      <c r="V237" s="29"/>
      <c r="W237" s="29"/>
      <c r="X237" s="29"/>
      <c r="Y237" s="14"/>
      <c r="Z237" s="14"/>
      <c r="AA237" s="14"/>
      <c r="AB237" s="14"/>
      <c r="AC237" s="14"/>
      <c r="AD237" s="29"/>
      <c r="AE237" s="29"/>
      <c r="AF237" s="29"/>
      <c r="AG237" s="29"/>
      <c r="AH237" s="25"/>
      <c r="AI237" s="25"/>
      <c r="AJ237" s="456"/>
      <c r="AK237" s="456"/>
      <c r="AL237" s="456"/>
      <c r="AM237" s="456"/>
      <c r="AN237" s="456"/>
      <c r="AO237" s="456"/>
      <c r="AP237" s="456"/>
      <c r="AQ237" s="311"/>
      <c r="AR237" s="456"/>
      <c r="AS237" s="311"/>
      <c r="AT237" s="311"/>
      <c r="AU237" s="311"/>
      <c r="AV237" s="311"/>
      <c r="AW237" s="311"/>
      <c r="AX237" s="311"/>
      <c r="AY237" s="311"/>
      <c r="AZ237" s="311"/>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row>
    <row r="238" spans="1:82" ht="15.75" customHeight="1">
      <c r="A238" s="248">
        <f t="shared" si="63"/>
        <v>19</v>
      </c>
      <c r="B238" s="1" t="s">
        <v>522</v>
      </c>
      <c r="C238" s="233" t="str">
        <f ca="1">IFERROR(__xludf.DUMMYFUNCTION("GoogleFinance(B238,""name"")"),"Netflix Inc")</f>
        <v>Netflix Inc</v>
      </c>
      <c r="D238" s="234">
        <f ca="1">IFERROR(__xludf.DUMMYFUNCTION("GoogleFinance(B238,""marketcap"")/1000000"),514420.021818)</f>
        <v>514420.02181800001</v>
      </c>
      <c r="E238" s="229" t="s">
        <v>13</v>
      </c>
      <c r="F238" s="229" t="s">
        <v>120</v>
      </c>
      <c r="G238" s="786">
        <v>45357</v>
      </c>
      <c r="H238" s="833">
        <v>625</v>
      </c>
      <c r="I238" s="237">
        <v>603.5</v>
      </c>
      <c r="J238" s="238">
        <v>4.9710024855012431</v>
      </c>
      <c r="K238" s="239">
        <v>3106.8765534382769</v>
      </c>
      <c r="L238" s="249"/>
      <c r="M238" s="249">
        <v>3000</v>
      </c>
      <c r="N238" s="508">
        <v>-106.87655343827691</v>
      </c>
      <c r="O238" s="254">
        <v>-3.4399999999999986E-2</v>
      </c>
      <c r="P238" s="227">
        <v>14</v>
      </c>
      <c r="Q238" s="752" t="s">
        <v>483</v>
      </c>
      <c r="R238" s="235">
        <v>45371</v>
      </c>
      <c r="S238" s="29" t="s">
        <v>62</v>
      </c>
      <c r="T238" s="29"/>
      <c r="U238" s="29"/>
      <c r="V238" s="29"/>
      <c r="W238" s="29"/>
      <c r="X238" s="29"/>
      <c r="Y238" s="14"/>
      <c r="Z238" s="14"/>
      <c r="AA238" s="14"/>
      <c r="AB238" s="14"/>
      <c r="AC238" s="14"/>
      <c r="AD238" s="29"/>
      <c r="AE238" s="29"/>
      <c r="AF238" s="29"/>
      <c r="AG238" s="29"/>
      <c r="AH238" s="25"/>
      <c r="AI238" s="25"/>
      <c r="AJ238" s="456"/>
      <c r="AK238" s="456"/>
      <c r="AL238" s="456"/>
      <c r="AM238" s="456"/>
      <c r="AN238" s="456"/>
      <c r="AO238" s="456"/>
      <c r="AP238" s="456"/>
      <c r="AQ238" s="311"/>
      <c r="AR238" s="456"/>
      <c r="AS238" s="311"/>
      <c r="AT238" s="311"/>
      <c r="AU238" s="311"/>
      <c r="AV238" s="311"/>
      <c r="AW238" s="311"/>
      <c r="AX238" s="311"/>
      <c r="AY238" s="311"/>
      <c r="AZ238" s="311"/>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row>
    <row r="239" spans="1:82" ht="15.75" customHeight="1">
      <c r="A239" s="248">
        <f t="shared" si="63"/>
        <v>20</v>
      </c>
      <c r="B239" s="22" t="s">
        <v>536</v>
      </c>
      <c r="C239" s="245" t="str">
        <f ca="1">IFERROR(__xludf.DUMMYFUNCTION("GoogleFinance(B239,""name"")"),"Morgan Stanley")</f>
        <v>Morgan Stanley</v>
      </c>
      <c r="D239" s="246">
        <f ca="1">IFERROR(__xludf.DUMMYFUNCTION("GoogleFinance(B239,""marketcap"")/1000000"),255589.197824)</f>
        <v>255589.197824</v>
      </c>
      <c r="E239" s="23" t="s">
        <v>14</v>
      </c>
      <c r="F239" s="23" t="s">
        <v>21</v>
      </c>
      <c r="G239" s="677">
        <v>45358</v>
      </c>
      <c r="H239" s="248">
        <v>91.4</v>
      </c>
      <c r="I239" s="506">
        <v>86.74</v>
      </c>
      <c r="J239" s="507">
        <v>34.586119437399127</v>
      </c>
      <c r="K239" s="249">
        <v>3161.1713165782803</v>
      </c>
      <c r="L239" s="249"/>
      <c r="M239" s="249">
        <v>3000</v>
      </c>
      <c r="N239" s="508">
        <v>-161.17131657828031</v>
      </c>
      <c r="O239" s="254">
        <v>-5.0984682713347995E-2</v>
      </c>
      <c r="P239" s="227">
        <v>13</v>
      </c>
      <c r="Q239" s="752" t="s">
        <v>483</v>
      </c>
      <c r="R239" s="235">
        <v>45371</v>
      </c>
      <c r="S239" s="29" t="s">
        <v>62</v>
      </c>
      <c r="T239" s="29"/>
      <c r="U239" s="29"/>
      <c r="V239" s="29"/>
      <c r="W239" s="29"/>
      <c r="X239" s="29"/>
      <c r="Y239" s="14"/>
      <c r="Z239" s="14"/>
      <c r="AA239" s="14"/>
      <c r="AB239" s="14"/>
      <c r="AC239" s="14"/>
      <c r="AD239" s="29"/>
      <c r="AE239" s="29"/>
      <c r="AF239" s="29"/>
      <c r="AG239" s="29"/>
      <c r="AH239" s="25"/>
      <c r="AI239" s="25"/>
      <c r="AJ239" s="456"/>
      <c r="AK239" s="456"/>
      <c r="AL239" s="456"/>
      <c r="AM239" s="456"/>
      <c r="AN239" s="456"/>
      <c r="AO239" s="456"/>
      <c r="AP239" s="456"/>
      <c r="AQ239" s="311"/>
      <c r="AR239" s="456"/>
      <c r="AS239" s="311"/>
      <c r="AT239" s="311"/>
      <c r="AU239" s="311"/>
      <c r="AV239" s="311"/>
      <c r="AW239" s="311"/>
      <c r="AX239" s="311"/>
      <c r="AY239" s="311"/>
      <c r="AZ239" s="311"/>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row>
    <row r="240" spans="1:82" ht="15.75" customHeight="1">
      <c r="A240" s="248">
        <f t="shared" si="63"/>
        <v>21</v>
      </c>
      <c r="B240" s="1" t="s">
        <v>529</v>
      </c>
      <c r="C240" s="233" t="s">
        <v>530</v>
      </c>
      <c r="D240" s="234"/>
      <c r="E240" s="229" t="s">
        <v>76</v>
      </c>
      <c r="F240" s="23" t="s">
        <v>76</v>
      </c>
      <c r="G240" s="832">
        <v>45331</v>
      </c>
      <c r="H240" s="833">
        <v>13</v>
      </c>
      <c r="I240" s="237">
        <v>14.144987499999994</v>
      </c>
      <c r="J240" s="507">
        <v>287.76978417266201</v>
      </c>
      <c r="K240" s="249">
        <v>4070.5</v>
      </c>
      <c r="L240" s="249"/>
      <c r="M240" s="249">
        <v>3741.0071942446061</v>
      </c>
      <c r="N240" s="508">
        <v>-329.49280575539387</v>
      </c>
      <c r="O240" s="254">
        <v>-8.0946519040755227E-2</v>
      </c>
      <c r="P240" s="227">
        <v>45</v>
      </c>
      <c r="Q240" s="752" t="s">
        <v>431</v>
      </c>
      <c r="R240" s="235">
        <v>45376</v>
      </c>
      <c r="S240" s="29" t="s">
        <v>62</v>
      </c>
      <c r="T240" s="29"/>
      <c r="U240" s="29"/>
      <c r="V240" s="29"/>
      <c r="W240" s="29"/>
      <c r="X240" s="29"/>
      <c r="Y240" s="14"/>
      <c r="Z240" s="14"/>
      <c r="AA240" s="14"/>
      <c r="AB240" s="14"/>
      <c r="AC240" s="14"/>
      <c r="AD240" s="29"/>
      <c r="AE240" s="29"/>
      <c r="AF240" s="29"/>
      <c r="AG240" s="29"/>
      <c r="AH240" s="25"/>
      <c r="AI240" s="25"/>
      <c r="AJ240" s="456"/>
      <c r="AK240" s="456"/>
      <c r="AL240" s="456"/>
      <c r="AM240" s="456"/>
      <c r="AN240" s="456"/>
      <c r="AO240" s="456"/>
      <c r="AP240" s="456"/>
      <c r="AQ240" s="311"/>
      <c r="AR240" s="456"/>
      <c r="AS240" s="311"/>
      <c r="AT240" s="311"/>
      <c r="AU240" s="311"/>
      <c r="AV240" s="311"/>
      <c r="AW240" s="311"/>
      <c r="AX240" s="311"/>
      <c r="AY240" s="311"/>
      <c r="AZ240" s="311"/>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row>
    <row r="241" spans="1:82" ht="15.75" customHeight="1">
      <c r="A241" s="248">
        <f t="shared" si="63"/>
        <v>22</v>
      </c>
      <c r="B241" s="1" t="s">
        <v>537</v>
      </c>
      <c r="C241" s="233" t="str">
        <f ca="1">IFERROR(__xludf.DUMMYFUNCTION("GoogleFinance(B241,""name"")"),"First Solar Inc")</f>
        <v>First Solar Inc</v>
      </c>
      <c r="D241" s="234">
        <f ca="1">IFERROR(__xludf.DUMMYFUNCTION("GoogleFinance(B241,""marketcap"")/1000000"),23596.63)</f>
        <v>23596.63</v>
      </c>
      <c r="E241" s="229" t="s">
        <v>7</v>
      </c>
      <c r="F241" s="229" t="s">
        <v>31</v>
      </c>
      <c r="G241" s="786">
        <v>45338</v>
      </c>
      <c r="H241" s="833">
        <v>171</v>
      </c>
      <c r="I241" s="237">
        <v>156.6</v>
      </c>
      <c r="J241" s="238">
        <v>19.157088122605366</v>
      </c>
      <c r="K241" s="239">
        <v>3275.8620689655177</v>
      </c>
      <c r="L241" s="249"/>
      <c r="M241" s="249">
        <v>3000</v>
      </c>
      <c r="N241" s="508">
        <v>-275.86206896551766</v>
      </c>
      <c r="O241" s="254">
        <v>-8.4210526315789513E-2</v>
      </c>
      <c r="P241" s="227">
        <v>45</v>
      </c>
      <c r="Q241" s="752" t="s">
        <v>483</v>
      </c>
      <c r="R241" s="235">
        <v>45383</v>
      </c>
      <c r="S241" s="29" t="s">
        <v>62</v>
      </c>
      <c r="T241" s="29"/>
      <c r="U241" s="29"/>
      <c r="V241" s="29"/>
      <c r="W241" s="29"/>
      <c r="X241" s="29"/>
      <c r="Y241" s="14"/>
      <c r="Z241" s="14"/>
      <c r="AA241" s="14"/>
      <c r="AB241" s="14"/>
      <c r="AC241" s="14"/>
      <c r="AD241" s="29"/>
      <c r="AE241" s="29"/>
      <c r="AF241" s="29"/>
      <c r="AG241" s="29"/>
      <c r="AH241" s="25"/>
      <c r="AI241" s="25"/>
      <c r="AJ241" s="456"/>
      <c r="AK241" s="456"/>
      <c r="AL241" s="456"/>
      <c r="AM241" s="456"/>
      <c r="AN241" s="456"/>
      <c r="AO241" s="456"/>
      <c r="AP241" s="456"/>
      <c r="AQ241" s="311"/>
      <c r="AR241" s="456"/>
      <c r="AS241" s="311"/>
      <c r="AT241" s="311"/>
      <c r="AU241" s="311"/>
      <c r="AV241" s="311"/>
      <c r="AW241" s="311"/>
      <c r="AX241" s="311"/>
      <c r="AY241" s="311"/>
      <c r="AZ241" s="311"/>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row>
    <row r="242" spans="1:82" ht="15.75" customHeight="1">
      <c r="A242" s="248">
        <f t="shared" si="63"/>
        <v>23</v>
      </c>
      <c r="B242" s="1" t="s">
        <v>480</v>
      </c>
      <c r="C242" s="233" t="str">
        <f ca="1">IFERROR(__xludf.DUMMYFUNCTION("GoogleFinance(B242,""name"")"),"Direxion Daily Semiconductor Bear 3X Shares")</f>
        <v>Direxion Daily Semiconductor Bear 3X Shares</v>
      </c>
      <c r="D242" s="234" t="str">
        <f ca="1">IFERROR(__xludf.DUMMYFUNCTION("GoogleFinance(B242,""marketcap"")/1000000"),"#N/A")</f>
        <v>#N/A</v>
      </c>
      <c r="E242" s="229" t="s">
        <v>538</v>
      </c>
      <c r="F242" s="229" t="s">
        <v>504</v>
      </c>
      <c r="G242" s="235">
        <v>45358</v>
      </c>
      <c r="H242" s="833">
        <v>40.58</v>
      </c>
      <c r="I242" s="237">
        <v>29</v>
      </c>
      <c r="J242" s="238">
        <v>50</v>
      </c>
      <c r="K242" s="239">
        <v>1450</v>
      </c>
      <c r="L242" s="249"/>
      <c r="M242" s="249">
        <v>2029</v>
      </c>
      <c r="N242" s="508">
        <v>579</v>
      </c>
      <c r="O242" s="509">
        <v>0.39931034482758609</v>
      </c>
      <c r="P242" s="227">
        <v>42</v>
      </c>
      <c r="Q242" s="752" t="s">
        <v>431</v>
      </c>
      <c r="R242" s="235">
        <v>45400</v>
      </c>
      <c r="S242" s="29" t="s">
        <v>281</v>
      </c>
      <c r="T242" s="29"/>
      <c r="U242" s="29"/>
      <c r="V242" s="29"/>
      <c r="W242" s="29"/>
      <c r="X242" s="29"/>
      <c r="Y242" s="14"/>
      <c r="Z242" s="14"/>
      <c r="AA242" s="14"/>
      <c r="AB242" s="14"/>
      <c r="AC242" s="14"/>
      <c r="AD242" s="29"/>
      <c r="AE242" s="29"/>
      <c r="AF242" s="29"/>
      <c r="AG242" s="29"/>
      <c r="AH242" s="25"/>
      <c r="AI242" s="25"/>
      <c r="AJ242" s="456"/>
      <c r="AK242" s="456"/>
      <c r="AL242" s="456"/>
      <c r="AM242" s="456"/>
      <c r="AN242" s="456"/>
      <c r="AO242" s="456"/>
      <c r="AP242" s="456"/>
      <c r="AQ242" s="311"/>
      <c r="AR242" s="456"/>
      <c r="AS242" s="311"/>
      <c r="AT242" s="311"/>
      <c r="AU242" s="311"/>
      <c r="AV242" s="311"/>
      <c r="AW242" s="311"/>
      <c r="AX242" s="311"/>
      <c r="AY242" s="311"/>
      <c r="AZ242" s="311"/>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row>
    <row r="243" spans="1:82" ht="15.75" customHeight="1">
      <c r="A243" s="248">
        <f t="shared" si="63"/>
        <v>24</v>
      </c>
      <c r="B243" s="1" t="s">
        <v>539</v>
      </c>
      <c r="C243" s="233" t="str">
        <f ca="1">IFERROR(__xludf.DUMMYFUNCTION("GoogleFinance(B243,""name"")"),"Tradr 1.5X Short NVDA Daily ETF")</f>
        <v>Tradr 1.5X Short NVDA Daily ETF</v>
      </c>
      <c r="D243" s="234" t="str">
        <f ca="1">IFERROR(__xludf.DUMMYFUNCTION("GoogleFinance(B243,""marketcap"")/1000000"),"#N/A")</f>
        <v>#N/A</v>
      </c>
      <c r="E243" s="229" t="s">
        <v>540</v>
      </c>
      <c r="F243" s="229" t="s">
        <v>504</v>
      </c>
      <c r="G243" s="235">
        <v>45377</v>
      </c>
      <c r="H243" s="833">
        <v>69.06</v>
      </c>
      <c r="I243" s="237">
        <v>61.5</v>
      </c>
      <c r="J243" s="238">
        <v>24</v>
      </c>
      <c r="K243" s="239">
        <v>1476</v>
      </c>
      <c r="L243" s="249"/>
      <c r="M243" s="249">
        <v>1657.44</v>
      </c>
      <c r="N243" s="508">
        <v>181.44000000000005</v>
      </c>
      <c r="O243" s="509">
        <v>0.12292682926829279</v>
      </c>
      <c r="P243" s="227">
        <v>23</v>
      </c>
      <c r="Q243" s="752" t="s">
        <v>431</v>
      </c>
      <c r="R243" s="235">
        <v>45400</v>
      </c>
      <c r="S243" s="29" t="s">
        <v>281</v>
      </c>
      <c r="T243" s="29"/>
      <c r="U243" s="29"/>
      <c r="V243" s="29"/>
      <c r="W243" s="29"/>
      <c r="X243" s="29"/>
      <c r="Y243" s="14"/>
      <c r="Z243" s="14"/>
      <c r="AA243" s="14"/>
      <c r="AB243" s="14"/>
      <c r="AC243" s="14"/>
      <c r="AD243" s="29"/>
      <c r="AE243" s="29"/>
      <c r="AF243" s="29"/>
      <c r="AG243" s="29"/>
      <c r="AH243" s="25"/>
      <c r="AI243" s="25"/>
      <c r="AJ243" s="456"/>
      <c r="AK243" s="456"/>
      <c r="AL243" s="456"/>
      <c r="AM243" s="456"/>
      <c r="AN243" s="456"/>
      <c r="AO243" s="456"/>
      <c r="AP243" s="456"/>
      <c r="AQ243" s="311"/>
      <c r="AR243" s="456"/>
      <c r="AS243" s="311"/>
      <c r="AT243" s="311"/>
      <c r="AU243" s="311"/>
      <c r="AV243" s="311"/>
      <c r="AW243" s="311"/>
      <c r="AX243" s="311"/>
      <c r="AY243" s="311"/>
      <c r="AZ243" s="311"/>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row>
    <row r="244" spans="1:82" ht="15.75" customHeight="1">
      <c r="A244" s="256">
        <f t="shared" si="63"/>
        <v>25</v>
      </c>
      <c r="B244" s="7" t="s">
        <v>480</v>
      </c>
      <c r="C244" s="377" t="str">
        <f ca="1">IFERROR(__xludf.DUMMYFUNCTION("GoogleFinance(B244,""name"")"),"Direxion Daily Semiconductor Bear 3X Shares")</f>
        <v>Direxion Daily Semiconductor Bear 3X Shares</v>
      </c>
      <c r="D244" s="378" t="str">
        <f ca="1">IFERROR(__xludf.DUMMYFUNCTION("GoogleFinance(B244,""marketcap"")/1000000"),"#N/A")</f>
        <v>#N/A</v>
      </c>
      <c r="E244" s="379" t="s">
        <v>538</v>
      </c>
      <c r="F244" s="379" t="s">
        <v>504</v>
      </c>
      <c r="G244" s="380">
        <v>45358</v>
      </c>
      <c r="H244" s="834">
        <v>44.19</v>
      </c>
      <c r="I244" s="324">
        <v>29</v>
      </c>
      <c r="J244" s="383">
        <v>103.44827586206897</v>
      </c>
      <c r="K244" s="313">
        <v>3000</v>
      </c>
      <c r="L244" s="395"/>
      <c r="M244" s="395">
        <v>4571.3793103448279</v>
      </c>
      <c r="N244" s="395">
        <v>1571.3793103448279</v>
      </c>
      <c r="O244" s="396">
        <v>0.52379310344827568</v>
      </c>
      <c r="P244" s="835">
        <v>43</v>
      </c>
      <c r="Q244" s="836" t="s">
        <v>431</v>
      </c>
      <c r="R244" s="380">
        <v>45401</v>
      </c>
      <c r="S244" s="389" t="s">
        <v>281</v>
      </c>
      <c r="T244" s="389"/>
      <c r="U244" s="389"/>
      <c r="V244" s="389"/>
      <c r="W244" s="389"/>
      <c r="X244" s="389"/>
      <c r="Y244" s="837"/>
      <c r="Z244" s="837"/>
      <c r="AA244" s="837"/>
      <c r="AB244" s="837"/>
      <c r="AC244" s="837"/>
      <c r="AD244" s="389"/>
      <c r="AE244" s="389"/>
      <c r="AF244" s="389"/>
      <c r="AG244" s="389"/>
      <c r="AH244" s="838"/>
      <c r="AI244" s="838"/>
      <c r="AJ244" s="839"/>
      <c r="AK244" s="839"/>
      <c r="AL244" s="839"/>
      <c r="AM244" s="839"/>
      <c r="AN244" s="839"/>
      <c r="AO244" s="839"/>
      <c r="AP244" s="839"/>
      <c r="AQ244" s="410"/>
      <c r="AR244" s="839"/>
      <c r="AS244" s="410"/>
      <c r="AT244" s="410"/>
      <c r="AU244" s="410"/>
      <c r="AV244" s="410"/>
      <c r="AW244" s="410"/>
      <c r="AX244" s="410"/>
      <c r="AY244" s="410"/>
      <c r="AZ244" s="410"/>
      <c r="BA244" s="389"/>
      <c r="BB244" s="389"/>
      <c r="BC244" s="389"/>
      <c r="BD244" s="389"/>
      <c r="BE244" s="389"/>
      <c r="BF244" s="389"/>
      <c r="BG244" s="389"/>
      <c r="BH244" s="389"/>
      <c r="BI244" s="389"/>
      <c r="BJ244" s="389"/>
      <c r="BK244" s="389"/>
      <c r="BL244" s="389"/>
      <c r="BM244" s="389"/>
      <c r="BN244" s="389"/>
      <c r="BO244" s="389"/>
      <c r="BP244" s="389"/>
      <c r="BQ244" s="389"/>
      <c r="BR244" s="389"/>
      <c r="BS244" s="389"/>
      <c r="BT244" s="389"/>
      <c r="BU244" s="389"/>
      <c r="BV244" s="389"/>
      <c r="BW244" s="389"/>
      <c r="BX244" s="389"/>
      <c r="BY244" s="389"/>
      <c r="BZ244" s="389"/>
      <c r="CA244" s="389"/>
      <c r="CB244" s="389"/>
      <c r="CC244" s="389"/>
      <c r="CD244" s="389"/>
    </row>
    <row r="245" spans="1:82" ht="15.75" customHeight="1">
      <c r="A245" s="256">
        <f t="shared" si="63"/>
        <v>26</v>
      </c>
      <c r="B245" s="7" t="s">
        <v>539</v>
      </c>
      <c r="C245" s="377" t="str">
        <f ca="1">IFERROR(__xludf.DUMMYFUNCTION("GoogleFinance(B245,""name"")"),"Tradr 1.5X Short NVDA Daily ETF")</f>
        <v>Tradr 1.5X Short NVDA Daily ETF</v>
      </c>
      <c r="D245" s="378" t="str">
        <f ca="1">IFERROR(__xludf.DUMMYFUNCTION("GoogleFinance(B245,""marketcap"")/1000000"),"#N/A")</f>
        <v>#N/A</v>
      </c>
      <c r="E245" s="379" t="s">
        <v>540</v>
      </c>
      <c r="F245" s="379" t="s">
        <v>504</v>
      </c>
      <c r="G245" s="380">
        <v>45377</v>
      </c>
      <c r="H245" s="834">
        <v>72.52</v>
      </c>
      <c r="I245" s="324">
        <v>61.5</v>
      </c>
      <c r="J245" s="383">
        <v>24.780487804878049</v>
      </c>
      <c r="K245" s="313">
        <v>1524</v>
      </c>
      <c r="L245" s="395"/>
      <c r="M245" s="395">
        <v>1797.080975609756</v>
      </c>
      <c r="N245" s="395">
        <v>273.08097560975602</v>
      </c>
      <c r="O245" s="396">
        <v>0.17918699186991871</v>
      </c>
      <c r="P245" s="835">
        <v>24</v>
      </c>
      <c r="Q245" s="836" t="s">
        <v>431</v>
      </c>
      <c r="R245" s="380">
        <v>45401</v>
      </c>
      <c r="S245" s="389" t="s">
        <v>281</v>
      </c>
      <c r="T245" s="389"/>
      <c r="U245" s="389"/>
      <c r="V245" s="389"/>
      <c r="W245" s="389"/>
      <c r="X245" s="389"/>
      <c r="Y245" s="837"/>
      <c r="Z245" s="837"/>
      <c r="AA245" s="837"/>
      <c r="AB245" s="837"/>
      <c r="AC245" s="837"/>
      <c r="AD245" s="389"/>
      <c r="AE245" s="389"/>
      <c r="AF245" s="389"/>
      <c r="AG245" s="389"/>
      <c r="AH245" s="838"/>
      <c r="AI245" s="838"/>
      <c r="AJ245" s="839"/>
      <c r="AK245" s="839"/>
      <c r="AL245" s="839"/>
      <c r="AM245" s="839"/>
      <c r="AN245" s="839"/>
      <c r="AO245" s="839"/>
      <c r="AP245" s="839"/>
      <c r="AQ245" s="410"/>
      <c r="AR245" s="839"/>
      <c r="AS245" s="410"/>
      <c r="AT245" s="410"/>
      <c r="AU245" s="410"/>
      <c r="AV245" s="410"/>
      <c r="AW245" s="410"/>
      <c r="AX245" s="410"/>
      <c r="AY245" s="410"/>
      <c r="AZ245" s="410"/>
      <c r="BA245" s="389"/>
      <c r="BB245" s="389"/>
      <c r="BC245" s="389"/>
      <c r="BD245" s="389"/>
      <c r="BE245" s="389"/>
      <c r="BF245" s="389"/>
      <c r="BG245" s="389"/>
      <c r="BH245" s="389"/>
      <c r="BI245" s="389"/>
      <c r="BJ245" s="389"/>
      <c r="BK245" s="389"/>
      <c r="BL245" s="389"/>
      <c r="BM245" s="389"/>
      <c r="BN245" s="389"/>
      <c r="BO245" s="389"/>
      <c r="BP245" s="389"/>
      <c r="BQ245" s="389"/>
      <c r="BR245" s="389"/>
      <c r="BS245" s="389"/>
      <c r="BT245" s="389"/>
      <c r="BU245" s="389"/>
      <c r="BV245" s="389"/>
      <c r="BW245" s="389"/>
      <c r="BX245" s="389"/>
      <c r="BY245" s="389"/>
      <c r="BZ245" s="389"/>
      <c r="CA245" s="389"/>
      <c r="CB245" s="389"/>
      <c r="CC245" s="389"/>
      <c r="CD245" s="389"/>
    </row>
    <row r="246" spans="1:82" ht="13.2">
      <c r="A246" s="248">
        <f t="shared" si="63"/>
        <v>27</v>
      </c>
      <c r="B246" s="1" t="s">
        <v>541</v>
      </c>
      <c r="C246" s="233" t="str">
        <f ca="1">IFERROR(__xludf.DUMMYFUNCTION("GoogleFinance(B246,""name"")"),"Caterpillar Inc")</f>
        <v>Caterpillar Inc</v>
      </c>
      <c r="D246" s="234">
        <f ca="1">IFERROR(__xludf.DUMMYFUNCTION("GoogleFinance(B246,""marketcap"")/1000000"),218198.690462)</f>
        <v>218198.690462</v>
      </c>
      <c r="E246" s="229" t="s">
        <v>11</v>
      </c>
      <c r="F246" s="229" t="s">
        <v>485</v>
      </c>
      <c r="G246" s="786">
        <v>45386</v>
      </c>
      <c r="H246" s="833">
        <v>335</v>
      </c>
      <c r="I246" s="237">
        <v>370.64</v>
      </c>
      <c r="J246" s="238">
        <v>8.094107489747465</v>
      </c>
      <c r="K246" s="239">
        <v>2711.5260090654006</v>
      </c>
      <c r="L246" s="249"/>
      <c r="M246" s="249">
        <v>3000</v>
      </c>
      <c r="N246" s="508">
        <v>288.47399093459944</v>
      </c>
      <c r="O246" s="254">
        <v>0.10638805970149257</v>
      </c>
      <c r="P246" s="227">
        <v>21</v>
      </c>
      <c r="Q246" s="752" t="s">
        <v>483</v>
      </c>
      <c r="R246" s="235">
        <v>45407</v>
      </c>
      <c r="S246" s="29" t="s">
        <v>281</v>
      </c>
      <c r="T246" s="29"/>
      <c r="U246" s="29"/>
      <c r="V246" s="29"/>
      <c r="W246" s="29"/>
      <c r="X246" s="29"/>
      <c r="Y246" s="14"/>
      <c r="Z246" s="14"/>
      <c r="AA246" s="14"/>
      <c r="AB246" s="14"/>
      <c r="AC246" s="14"/>
      <c r="AD246" s="29"/>
      <c r="AE246" s="29"/>
      <c r="AF246" s="29"/>
      <c r="AG246" s="29"/>
      <c r="AH246" s="25"/>
      <c r="AI246" s="25"/>
      <c r="AJ246" s="456"/>
      <c r="AK246" s="456"/>
      <c r="AL246" s="456"/>
      <c r="AM246" s="456"/>
      <c r="AN246" s="456"/>
      <c r="AO246" s="456"/>
      <c r="AP246" s="456"/>
      <c r="AQ246" s="311"/>
      <c r="AR246" s="456"/>
      <c r="AS246" s="311"/>
      <c r="AT246" s="311"/>
      <c r="AU246" s="311"/>
      <c r="AV246" s="311"/>
      <c r="AW246" s="311"/>
      <c r="AX246" s="311"/>
      <c r="AY246" s="311"/>
      <c r="AZ246" s="311"/>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row>
    <row r="247" spans="1:82" ht="15.75" customHeight="1">
      <c r="A247" s="248">
        <f t="shared" si="63"/>
        <v>28</v>
      </c>
      <c r="B247" s="1" t="s">
        <v>542</v>
      </c>
      <c r="C247" s="233" t="str">
        <f ca="1">IFERROR(__xludf.DUMMYFUNCTION("GoogleFinance(B247,""name"")"),"Expedia Group Inc")</f>
        <v>Expedia Group Inc</v>
      </c>
      <c r="D247" s="234">
        <f ca="1">IFERROR(__xludf.DUMMYFUNCTION("GoogleFinance(B247,""marketcap"")/1000000"),27572.495167)</f>
        <v>27572.495167000001</v>
      </c>
      <c r="E247" s="229" t="s">
        <v>10</v>
      </c>
      <c r="F247" s="229" t="s">
        <v>543</v>
      </c>
      <c r="G247" s="786">
        <v>45357</v>
      </c>
      <c r="H247" s="833">
        <v>112.27</v>
      </c>
      <c r="I247" s="237">
        <v>134.27000000000001</v>
      </c>
      <c r="J247" s="238">
        <v>29.790720190660608</v>
      </c>
      <c r="K247" s="239">
        <v>3344.6041558054662</v>
      </c>
      <c r="L247" s="249"/>
      <c r="M247" s="249">
        <v>3000</v>
      </c>
      <c r="N247" s="226">
        <v>344.60415580546623</v>
      </c>
      <c r="O247" s="509">
        <v>0.19595617707312751</v>
      </c>
      <c r="P247" s="227">
        <v>64</v>
      </c>
      <c r="Q247" s="752" t="s">
        <v>483</v>
      </c>
      <c r="R247" s="235">
        <v>45421</v>
      </c>
      <c r="S247" s="29" t="s">
        <v>281</v>
      </c>
      <c r="T247" s="29"/>
      <c r="U247" s="29"/>
      <c r="V247" s="29"/>
      <c r="W247" s="29"/>
      <c r="X247" s="29"/>
      <c r="Y247" s="14"/>
      <c r="Z247" s="14"/>
      <c r="AA247" s="14"/>
      <c r="AB247" s="14"/>
      <c r="AC247" s="14"/>
      <c r="AD247" s="29"/>
      <c r="AE247" s="29"/>
      <c r="AF247" s="29"/>
      <c r="AG247" s="29"/>
      <c r="AH247" s="25"/>
      <c r="AI247" s="25"/>
      <c r="AJ247" s="456"/>
      <c r="AK247" s="456"/>
      <c r="AL247" s="456"/>
      <c r="AM247" s="456"/>
      <c r="AN247" s="456"/>
      <c r="AO247" s="456"/>
      <c r="AP247" s="456"/>
      <c r="AQ247" s="311"/>
      <c r="AR247" s="456"/>
      <c r="AS247" s="311"/>
      <c r="AT247" s="311"/>
      <c r="AU247" s="311"/>
      <c r="AV247" s="311"/>
      <c r="AW247" s="311"/>
      <c r="AX247" s="311"/>
      <c r="AY247" s="311"/>
      <c r="AZ247" s="311"/>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29"/>
    </row>
    <row r="248" spans="1:82" ht="15.75" customHeight="1">
      <c r="A248" s="248">
        <f t="shared" si="63"/>
        <v>29</v>
      </c>
      <c r="B248" s="1" t="s">
        <v>544</v>
      </c>
      <c r="C248" s="233" t="str">
        <f ca="1">IFERROR(__xludf.DUMMYFUNCTION("GoogleFinance(B248,""name"")"),"Pathward Financial Inc")</f>
        <v>Pathward Financial Inc</v>
      </c>
      <c r="D248" s="234">
        <f ca="1">IFERROR(__xludf.DUMMYFUNCTION("GoogleFinance(B248,""marketcap"")/1000000"),1731.625483)</f>
        <v>1731.625483</v>
      </c>
      <c r="E248" s="246" t="s">
        <v>14</v>
      </c>
      <c r="F248" s="246" t="s">
        <v>21</v>
      </c>
      <c r="G248" s="230">
        <v>45414</v>
      </c>
      <c r="H248" s="833">
        <v>53.91</v>
      </c>
      <c r="I248" s="506">
        <v>51.17</v>
      </c>
      <c r="J248" s="507">
        <v>58.628102403752195</v>
      </c>
      <c r="K248" s="249">
        <v>3000</v>
      </c>
      <c r="L248" s="249"/>
      <c r="M248" s="249">
        <v>3160.6410005862808</v>
      </c>
      <c r="N248" s="508">
        <v>160.64100058628082</v>
      </c>
      <c r="O248" s="509">
        <v>5.3547000195426797E-2</v>
      </c>
      <c r="P248" s="227">
        <v>5</v>
      </c>
      <c r="Q248" s="752" t="s">
        <v>431</v>
      </c>
      <c r="R248" s="235">
        <v>45419</v>
      </c>
      <c r="S248" s="29" t="s">
        <v>281</v>
      </c>
      <c r="T248" s="29"/>
      <c r="U248" s="29"/>
      <c r="V248" s="29"/>
      <c r="W248" s="29"/>
      <c r="X248" s="29"/>
      <c r="Y248" s="14"/>
      <c r="Z248" s="14"/>
      <c r="AA248" s="14"/>
      <c r="AB248" s="14"/>
      <c r="AC248" s="14"/>
      <c r="AD248" s="29"/>
      <c r="AE248" s="29"/>
      <c r="AF248" s="29"/>
      <c r="AG248" s="29"/>
      <c r="AH248" s="25"/>
      <c r="AI248" s="25"/>
      <c r="AJ248" s="456"/>
      <c r="AK248" s="456"/>
      <c r="AL248" s="456"/>
      <c r="AM248" s="456"/>
      <c r="AN248" s="456"/>
      <c r="AO248" s="456"/>
      <c r="AP248" s="456"/>
      <c r="AQ248" s="311"/>
      <c r="AR248" s="456"/>
      <c r="AS248" s="311"/>
      <c r="AT248" s="311"/>
      <c r="AU248" s="311"/>
      <c r="AV248" s="311"/>
      <c r="AW248" s="311"/>
      <c r="AX248" s="311"/>
      <c r="AY248" s="311"/>
      <c r="AZ248" s="311"/>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29"/>
    </row>
    <row r="249" spans="1:82" ht="15.75" customHeight="1">
      <c r="A249" s="248">
        <f t="shared" si="63"/>
        <v>30</v>
      </c>
      <c r="B249" s="1" t="s">
        <v>545</v>
      </c>
      <c r="C249" s="233" t="str">
        <f ca="1">IFERROR(__xludf.DUMMYFUNCTION("GoogleFinance(B249,""name"")"),"Palo Alto Networks Inc")</f>
        <v>Palo Alto Networks Inc</v>
      </c>
      <c r="D249" s="234">
        <f ca="1">IFERROR(__xludf.DUMMYFUNCTION("GoogleFinance(B249,""marketcap"")/1000000"),135365.30997)</f>
        <v>135365.30997</v>
      </c>
      <c r="E249" s="246" t="s">
        <v>7</v>
      </c>
      <c r="F249" s="246" t="s">
        <v>23</v>
      </c>
      <c r="G249" s="230">
        <v>45393</v>
      </c>
      <c r="H249" s="833">
        <v>306.94</v>
      </c>
      <c r="I249" s="506">
        <v>280.7</v>
      </c>
      <c r="J249" s="507">
        <v>7.1250445315283226</v>
      </c>
      <c r="K249" s="249">
        <v>2000</v>
      </c>
      <c r="L249" s="249"/>
      <c r="M249" s="249">
        <v>2186.9611685073032</v>
      </c>
      <c r="N249" s="508">
        <v>186.96116850730323</v>
      </c>
      <c r="O249" s="509">
        <v>9.3480584253651688E-2</v>
      </c>
      <c r="P249" s="227">
        <v>26</v>
      </c>
      <c r="Q249" s="752" t="s">
        <v>431</v>
      </c>
      <c r="R249" s="235">
        <v>45419</v>
      </c>
      <c r="S249" s="29" t="s">
        <v>281</v>
      </c>
      <c r="T249" s="29"/>
      <c r="U249" s="29"/>
      <c r="V249" s="29"/>
      <c r="W249" s="29"/>
      <c r="X249" s="29"/>
      <c r="Y249" s="14"/>
      <c r="Z249" s="14"/>
      <c r="AA249" s="14"/>
      <c r="AB249" s="14"/>
      <c r="AC249" s="14"/>
      <c r="AD249" s="29"/>
      <c r="AE249" s="29"/>
      <c r="AF249" s="29"/>
      <c r="AG249" s="29"/>
      <c r="AH249" s="25"/>
      <c r="AI249" s="25"/>
      <c r="AJ249" s="456"/>
      <c r="AK249" s="456"/>
      <c r="AL249" s="456"/>
      <c r="AM249" s="456"/>
      <c r="AN249" s="456"/>
      <c r="AO249" s="456"/>
      <c r="AP249" s="456"/>
      <c r="AQ249" s="311"/>
      <c r="AR249" s="456"/>
      <c r="AS249" s="311"/>
      <c r="AT249" s="311"/>
      <c r="AU249" s="311"/>
      <c r="AV249" s="311"/>
      <c r="AW249" s="311"/>
      <c r="AX249" s="311"/>
      <c r="AY249" s="311"/>
      <c r="AZ249" s="311"/>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row>
    <row r="250" spans="1:82" ht="15.75" customHeight="1">
      <c r="A250" s="248">
        <f t="shared" si="63"/>
        <v>31</v>
      </c>
      <c r="B250" s="1" t="s">
        <v>523</v>
      </c>
      <c r="C250" s="233" t="str">
        <f ca="1">IFERROR(__xludf.DUMMYFUNCTION("GoogleFinance(B250,""name"")"),"Taiwan Semicndctr Mnufctrng Co Ltd")</f>
        <v>Taiwan Semicndctr Mnufctrng Co Ltd</v>
      </c>
      <c r="D250" s="234">
        <f ca="1">IFERROR(__xludf.DUMMYFUNCTION("GoogleFinance(B250,""marketcap"")/1000000"),1114055.931421)</f>
        <v>1114055.931421</v>
      </c>
      <c r="E250" s="229" t="s">
        <v>7</v>
      </c>
      <c r="F250" s="229" t="s">
        <v>23</v>
      </c>
      <c r="G250" s="786">
        <v>45369</v>
      </c>
      <c r="H250" s="833">
        <v>158</v>
      </c>
      <c r="I250" s="237">
        <v>139.46</v>
      </c>
      <c r="J250" s="238">
        <v>14.341029685931449</v>
      </c>
      <c r="K250" s="239">
        <v>2265.8826903771692</v>
      </c>
      <c r="L250" s="239"/>
      <c r="M250" s="239">
        <v>2000</v>
      </c>
      <c r="N250" s="508">
        <v>-265.88269037716918</v>
      </c>
      <c r="O250" s="254">
        <v>-0.11734177215189867</v>
      </c>
      <c r="P250" s="227">
        <v>14</v>
      </c>
      <c r="Q250" s="752" t="s">
        <v>483</v>
      </c>
      <c r="R250" s="235">
        <v>45383</v>
      </c>
      <c r="S250" s="29" t="s">
        <v>62</v>
      </c>
      <c r="T250" s="29"/>
      <c r="U250" s="29"/>
      <c r="V250" s="29"/>
      <c r="W250" s="29"/>
      <c r="X250" s="29"/>
      <c r="Y250" s="14"/>
      <c r="Z250" s="14"/>
      <c r="AA250" s="14"/>
      <c r="AB250" s="14"/>
      <c r="AC250" s="14"/>
      <c r="AD250" s="29"/>
      <c r="AE250" s="29"/>
      <c r="AF250" s="29"/>
      <c r="AG250" s="29"/>
      <c r="AH250" s="25"/>
      <c r="AI250" s="25"/>
      <c r="AJ250" s="456"/>
      <c r="AK250" s="456"/>
      <c r="AL250" s="456"/>
      <c r="AM250" s="456"/>
      <c r="AN250" s="456"/>
      <c r="AO250" s="456"/>
      <c r="AP250" s="456"/>
      <c r="AQ250" s="311"/>
      <c r="AR250" s="456"/>
      <c r="AS250" s="311"/>
      <c r="AT250" s="311"/>
      <c r="AU250" s="311"/>
      <c r="AV250" s="311"/>
      <c r="AW250" s="311"/>
      <c r="AX250" s="311"/>
      <c r="AY250" s="311"/>
      <c r="AZ250" s="311"/>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29"/>
    </row>
    <row r="251" spans="1:82" ht="15.75" customHeight="1">
      <c r="A251" s="248">
        <f t="shared" si="63"/>
        <v>32</v>
      </c>
      <c r="B251" s="1" t="s">
        <v>539</v>
      </c>
      <c r="C251" s="233" t="str">
        <f ca="1">IFERROR(__xludf.DUMMYFUNCTION("GoogleFinance(B251,""name"")"),"Tradr 1.5X Short NVDA Daily ETF")</f>
        <v>Tradr 1.5X Short NVDA Daily ETF</v>
      </c>
      <c r="D251" s="234" t="str">
        <f ca="1">IFERROR(__xludf.DUMMYFUNCTION("GoogleFinance(B251,""marketcap"")/1000000"),"#N/A")</f>
        <v>#N/A</v>
      </c>
      <c r="E251" s="246" t="s">
        <v>546</v>
      </c>
      <c r="F251" s="246" t="s">
        <v>504</v>
      </c>
      <c r="G251" s="230">
        <v>45435</v>
      </c>
      <c r="H251" s="833">
        <v>47.5</v>
      </c>
      <c r="I251" s="506">
        <v>50.26</v>
      </c>
      <c r="J251" s="507">
        <v>39.793076004775173</v>
      </c>
      <c r="K251" s="249">
        <v>2000</v>
      </c>
      <c r="L251" s="249"/>
      <c r="M251" s="249">
        <v>1890.1711102268207</v>
      </c>
      <c r="N251" s="508">
        <v>-109.8288897731793</v>
      </c>
      <c r="O251" s="509">
        <v>-5.4914444886589697E-2</v>
      </c>
      <c r="P251" s="227">
        <v>2</v>
      </c>
      <c r="Q251" s="752" t="s">
        <v>483</v>
      </c>
      <c r="R251" s="235">
        <v>45437</v>
      </c>
      <c r="S251" s="29" t="s">
        <v>62</v>
      </c>
      <c r="T251" s="29"/>
      <c r="U251" s="29"/>
      <c r="V251" s="29"/>
      <c r="W251" s="29"/>
      <c r="X251" s="29"/>
      <c r="Y251" s="14"/>
      <c r="Z251" s="14"/>
      <c r="AA251" s="14"/>
      <c r="AB251" s="14"/>
      <c r="AC251" s="14"/>
      <c r="AD251" s="29"/>
      <c r="AE251" s="29"/>
      <c r="AF251" s="29"/>
      <c r="AG251" s="29"/>
      <c r="AH251" s="25"/>
      <c r="AI251" s="25"/>
      <c r="AJ251" s="456"/>
      <c r="AK251" s="456"/>
      <c r="AL251" s="456"/>
      <c r="AM251" s="456"/>
      <c r="AN251" s="456"/>
      <c r="AO251" s="456"/>
      <c r="AP251" s="456"/>
      <c r="AQ251" s="311"/>
      <c r="AR251" s="456"/>
      <c r="AS251" s="311"/>
      <c r="AT251" s="311"/>
      <c r="AU251" s="311"/>
      <c r="AV251" s="311"/>
      <c r="AW251" s="311"/>
      <c r="AX251" s="311"/>
      <c r="AY251" s="311"/>
      <c r="AZ251" s="311"/>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29"/>
    </row>
    <row r="252" spans="1:82" ht="15.75" customHeight="1">
      <c r="A252" s="248">
        <f t="shared" si="63"/>
        <v>33</v>
      </c>
      <c r="B252" s="1" t="s">
        <v>547</v>
      </c>
      <c r="C252" s="233" t="str">
        <f ca="1">IFERROR(__xludf.DUMMYFUNCTION("GoogleFinance(B252,""name"")"),"American Airlines Group Inc")</f>
        <v>American Airlines Group Inc</v>
      </c>
      <c r="D252" s="234">
        <f ca="1">IFERROR(__xludf.DUMMYFUNCTION("GoogleFinance(B252,""marketcap"")/1000000"),7462.662873)</f>
        <v>7462.6628730000002</v>
      </c>
      <c r="E252" s="246" t="s">
        <v>11</v>
      </c>
      <c r="F252" s="246" t="s">
        <v>490</v>
      </c>
      <c r="G252" s="230">
        <v>45414</v>
      </c>
      <c r="H252" s="833">
        <v>12.5</v>
      </c>
      <c r="I252" s="506">
        <v>13.75</v>
      </c>
      <c r="J252" s="507">
        <v>145.45454545454547</v>
      </c>
      <c r="K252" s="249">
        <v>2000.0000000000002</v>
      </c>
      <c r="L252" s="249"/>
      <c r="M252" s="249">
        <v>1818.1818181818182</v>
      </c>
      <c r="N252" s="508">
        <v>-181.81818181818198</v>
      </c>
      <c r="O252" s="509">
        <v>-9.0909090909090939E-2</v>
      </c>
      <c r="P252" s="227">
        <v>27</v>
      </c>
      <c r="Q252" s="752" t="s">
        <v>483</v>
      </c>
      <c r="R252" s="235">
        <v>45441</v>
      </c>
      <c r="S252" s="29" t="s">
        <v>62</v>
      </c>
      <c r="T252" s="29"/>
      <c r="U252" s="29"/>
      <c r="V252" s="29"/>
      <c r="W252" s="29"/>
      <c r="X252" s="29"/>
      <c r="Y252" s="14"/>
      <c r="Z252" s="14"/>
      <c r="AA252" s="14"/>
      <c r="AB252" s="14"/>
      <c r="AC252" s="14"/>
      <c r="AD252" s="29"/>
      <c r="AE252" s="29"/>
      <c r="AF252" s="29"/>
      <c r="AG252" s="29"/>
      <c r="AH252" s="25"/>
      <c r="AI252" s="25"/>
      <c r="AJ252" s="456"/>
      <c r="AK252" s="456"/>
      <c r="AL252" s="456"/>
      <c r="AM252" s="456"/>
      <c r="AN252" s="456"/>
      <c r="AO252" s="456"/>
      <c r="AP252" s="456"/>
      <c r="AQ252" s="311"/>
      <c r="AR252" s="456"/>
      <c r="AS252" s="311"/>
      <c r="AT252" s="311"/>
      <c r="AU252" s="311"/>
      <c r="AV252" s="311"/>
      <c r="AW252" s="311"/>
      <c r="AX252" s="311"/>
      <c r="AY252" s="311"/>
      <c r="AZ252" s="311"/>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row>
    <row r="253" spans="1:82" ht="15.75" customHeight="1">
      <c r="A253" s="248">
        <f t="shared" si="63"/>
        <v>34</v>
      </c>
      <c r="B253" s="1" t="s">
        <v>548</v>
      </c>
      <c r="C253" s="233" t="str">
        <f ca="1">IFERROR(__xludf.DUMMYFUNCTION("GoogleFinance(B253,""name"")"),"ProShares UltraPro Short QQQ")</f>
        <v>ProShares UltraPro Short QQQ</v>
      </c>
      <c r="D253" s="234" t="str">
        <f ca="1">IFERROR(__xludf.DUMMYFUNCTION("GoogleFinance(B253,""marketcap"")/1000000"),"#N/A")</f>
        <v>#N/A</v>
      </c>
      <c r="E253" s="246" t="s">
        <v>549</v>
      </c>
      <c r="F253" s="246" t="s">
        <v>550</v>
      </c>
      <c r="G253" s="230">
        <v>45419</v>
      </c>
      <c r="H253" s="833">
        <v>9.89</v>
      </c>
      <c r="I253" s="506">
        <v>10.63</v>
      </c>
      <c r="J253" s="507">
        <v>188.1467544684854</v>
      </c>
      <c r="K253" s="249">
        <v>2000</v>
      </c>
      <c r="L253" s="249"/>
      <c r="M253" s="249">
        <v>1860.7714016933207</v>
      </c>
      <c r="N253" s="508">
        <v>-139.22859830667926</v>
      </c>
      <c r="O253" s="509">
        <v>-6.9614299153339609E-2</v>
      </c>
      <c r="P253" s="227">
        <v>29</v>
      </c>
      <c r="Q253" s="752" t="s">
        <v>483</v>
      </c>
      <c r="R253" s="235">
        <v>45448</v>
      </c>
      <c r="S253" s="29" t="s">
        <v>62</v>
      </c>
      <c r="T253" s="29"/>
      <c r="U253" s="29"/>
      <c r="V253" s="29"/>
      <c r="W253" s="29"/>
      <c r="X253" s="29"/>
      <c r="Y253" s="14"/>
      <c r="Z253" s="14"/>
      <c r="AA253" s="14"/>
      <c r="AB253" s="14"/>
      <c r="AC253" s="14"/>
      <c r="AD253" s="29"/>
      <c r="AE253" s="29"/>
      <c r="AF253" s="29"/>
      <c r="AG253" s="29"/>
      <c r="AH253" s="25"/>
      <c r="AI253" s="25"/>
      <c r="AJ253" s="456"/>
      <c r="AK253" s="456"/>
      <c r="AL253" s="456"/>
      <c r="AM253" s="456"/>
      <c r="AN253" s="456"/>
      <c r="AO253" s="456"/>
      <c r="AP253" s="456"/>
      <c r="AQ253" s="311"/>
      <c r="AR253" s="456"/>
      <c r="AS253" s="311"/>
      <c r="AT253" s="311"/>
      <c r="AU253" s="311"/>
      <c r="AV253" s="311"/>
      <c r="AW253" s="311"/>
      <c r="AX253" s="311"/>
      <c r="AY253" s="311"/>
      <c r="AZ253" s="311"/>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29"/>
    </row>
    <row r="254" spans="1:82" ht="15.75" customHeight="1">
      <c r="A254" s="248">
        <f t="shared" si="63"/>
        <v>35</v>
      </c>
      <c r="B254" s="1" t="s">
        <v>551</v>
      </c>
      <c r="C254" s="233" t="str">
        <f ca="1">IFERROR(__xludf.DUMMYFUNCTION("GoogleFinance(B254,""name"")"),"Direxion Daily MSFT Bear 1X Shares")</f>
        <v>Direxion Daily MSFT Bear 1X Shares</v>
      </c>
      <c r="D254" s="234" t="str">
        <f ca="1">IFERROR(__xludf.DUMMYFUNCTION("GoogleFinance(B254,""marketcap"")/1000000"),"#N/A")</f>
        <v>#N/A</v>
      </c>
      <c r="E254" s="246" t="s">
        <v>552</v>
      </c>
      <c r="F254" s="246" t="s">
        <v>504</v>
      </c>
      <c r="G254" s="230">
        <v>45408</v>
      </c>
      <c r="H254" s="833">
        <v>13.7</v>
      </c>
      <c r="I254" s="506">
        <v>14.38</v>
      </c>
      <c r="J254" s="507">
        <v>139.08205841446451</v>
      </c>
      <c r="K254" s="249">
        <v>2000</v>
      </c>
      <c r="L254" s="249"/>
      <c r="M254" s="249">
        <v>1905.4242002781637</v>
      </c>
      <c r="N254" s="508">
        <v>-94.575799721836347</v>
      </c>
      <c r="O254" s="509">
        <v>-4.7287899860918081E-2</v>
      </c>
      <c r="P254" s="227">
        <v>47</v>
      </c>
      <c r="Q254" s="752" t="s">
        <v>483</v>
      </c>
      <c r="R254" s="235">
        <v>45455</v>
      </c>
      <c r="S254" s="29" t="s">
        <v>62</v>
      </c>
      <c r="T254" s="29"/>
      <c r="U254" s="29"/>
      <c r="V254" s="29"/>
      <c r="W254" s="29"/>
      <c r="X254" s="29"/>
      <c r="Y254" s="14"/>
      <c r="Z254" s="14"/>
      <c r="AA254" s="14"/>
      <c r="AB254" s="14"/>
      <c r="AC254" s="14"/>
      <c r="AD254" s="29"/>
      <c r="AE254" s="29"/>
      <c r="AF254" s="29"/>
      <c r="AG254" s="29"/>
      <c r="AH254" s="25"/>
      <c r="AI254" s="25"/>
      <c r="AJ254" s="456"/>
      <c r="AK254" s="456"/>
      <c r="AL254" s="456"/>
      <c r="AM254" s="456"/>
      <c r="AN254" s="456"/>
      <c r="AO254" s="456"/>
      <c r="AP254" s="456"/>
      <c r="AQ254" s="311"/>
      <c r="AR254" s="456"/>
      <c r="AS254" s="311"/>
      <c r="AT254" s="311"/>
      <c r="AU254" s="311"/>
      <c r="AV254" s="311"/>
      <c r="AW254" s="311"/>
      <c r="AX254" s="311"/>
      <c r="AY254" s="311"/>
      <c r="AZ254" s="311"/>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29"/>
      <c r="CC254" s="29"/>
      <c r="CD254" s="29"/>
    </row>
    <row r="255" spans="1:82" ht="15.75" customHeight="1">
      <c r="A255" s="248">
        <f t="shared" si="63"/>
        <v>36</v>
      </c>
      <c r="B255" s="1" t="s">
        <v>553</v>
      </c>
      <c r="C255" s="233" t="str">
        <f ca="1">IFERROR(__xludf.DUMMYFUNCTION("GoogleFinance(B255,""name"")"),"Matador Resources Co")</f>
        <v>Matador Resources Co</v>
      </c>
      <c r="D255" s="234">
        <f ca="1">IFERROR(__xludf.DUMMYFUNCTION("GoogleFinance(B255,""marketcap"")/1000000"),6101.470335)</f>
        <v>6101.470335</v>
      </c>
      <c r="E255" s="246" t="s">
        <v>15</v>
      </c>
      <c r="F255" s="246" t="s">
        <v>42</v>
      </c>
      <c r="G255" s="230">
        <v>45414</v>
      </c>
      <c r="H255" s="833">
        <v>57</v>
      </c>
      <c r="I255" s="506">
        <v>61.73</v>
      </c>
      <c r="J255" s="507">
        <v>32.399157621901836</v>
      </c>
      <c r="K255" s="249">
        <v>2000.0000000000002</v>
      </c>
      <c r="L255" s="249"/>
      <c r="M255" s="249">
        <v>1846.7519844484045</v>
      </c>
      <c r="N255" s="508">
        <v>-153.2480155515957</v>
      </c>
      <c r="O255" s="509">
        <v>-7.6624007775797809E-2</v>
      </c>
      <c r="P255" s="227">
        <v>43</v>
      </c>
      <c r="Q255" s="752" t="s">
        <v>483</v>
      </c>
      <c r="R255" s="235">
        <v>45457</v>
      </c>
      <c r="S255" s="29" t="s">
        <v>62</v>
      </c>
      <c r="T255" s="29"/>
      <c r="U255" s="29"/>
      <c r="V255" s="29"/>
      <c r="W255" s="29"/>
      <c r="X255" s="29"/>
      <c r="Y255" s="14"/>
      <c r="Z255" s="14"/>
      <c r="AA255" s="14"/>
      <c r="AB255" s="14"/>
      <c r="AC255" s="14"/>
      <c r="AD255" s="29"/>
      <c r="AE255" s="29"/>
      <c r="AF255" s="29"/>
      <c r="AG255" s="29"/>
      <c r="AH255" s="25"/>
      <c r="AI255" s="25"/>
      <c r="AJ255" s="456"/>
      <c r="AK255" s="456"/>
      <c r="AL255" s="456"/>
      <c r="AM255" s="456"/>
      <c r="AN255" s="456"/>
      <c r="AO255" s="456"/>
      <c r="AP255" s="456"/>
      <c r="AQ255" s="311"/>
      <c r="AR255" s="456"/>
      <c r="AS255" s="311"/>
      <c r="AT255" s="311"/>
      <c r="AU255" s="311"/>
      <c r="AV255" s="311"/>
      <c r="AW255" s="311"/>
      <c r="AX255" s="311"/>
      <c r="AY255" s="311"/>
      <c r="AZ255" s="311"/>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29"/>
    </row>
    <row r="256" spans="1:82" ht="15.75" customHeight="1">
      <c r="A256" s="248">
        <f t="shared" si="63"/>
        <v>37</v>
      </c>
      <c r="B256" s="1" t="s">
        <v>554</v>
      </c>
      <c r="C256" s="233" t="str">
        <f ca="1">IFERROR(__xludf.DUMMYFUNCTION("GoogleFinance(B256,""name"")"),"Propetro Holding Corp")</f>
        <v>Propetro Holding Corp</v>
      </c>
      <c r="D256" s="234">
        <f ca="1">IFERROR(__xludf.DUMMYFUNCTION("GoogleFinance(B256,""marketcap"")/1000000"),573.900598)</f>
        <v>573.90059799999995</v>
      </c>
      <c r="E256" s="246" t="s">
        <v>15</v>
      </c>
      <c r="F256" s="246" t="s">
        <v>42</v>
      </c>
      <c r="G256" s="230">
        <v>45414</v>
      </c>
      <c r="H256" s="833">
        <v>8.1</v>
      </c>
      <c r="I256" s="506">
        <v>8.98</v>
      </c>
      <c r="J256" s="507">
        <v>222.71714922048997</v>
      </c>
      <c r="K256" s="249">
        <v>2000</v>
      </c>
      <c r="L256" s="249"/>
      <c r="M256" s="249">
        <v>1804.0089086859687</v>
      </c>
      <c r="N256" s="508">
        <v>-195.99109131403134</v>
      </c>
      <c r="O256" s="509">
        <v>-9.7995545657015626E-2</v>
      </c>
      <c r="P256" s="227">
        <v>43</v>
      </c>
      <c r="Q256" s="752" t="s">
        <v>483</v>
      </c>
      <c r="R256" s="235">
        <v>45457</v>
      </c>
      <c r="S256" s="29" t="s">
        <v>62</v>
      </c>
      <c r="T256" s="29"/>
      <c r="U256" s="29"/>
      <c r="V256" s="29"/>
      <c r="W256" s="29"/>
      <c r="X256" s="29"/>
      <c r="Y256" s="14"/>
      <c r="Z256" s="14"/>
      <c r="AA256" s="14"/>
      <c r="AB256" s="14"/>
      <c r="AC256" s="14"/>
      <c r="AD256" s="29"/>
      <c r="AE256" s="29"/>
      <c r="AF256" s="29"/>
      <c r="AG256" s="29"/>
      <c r="AH256" s="25"/>
      <c r="AI256" s="25"/>
      <c r="AJ256" s="456"/>
      <c r="AK256" s="456"/>
      <c r="AL256" s="456"/>
      <c r="AM256" s="456"/>
      <c r="AN256" s="456"/>
      <c r="AO256" s="456"/>
      <c r="AP256" s="456"/>
      <c r="AQ256" s="311"/>
      <c r="AR256" s="456"/>
      <c r="AS256" s="311"/>
      <c r="AT256" s="311"/>
      <c r="AU256" s="311"/>
      <c r="AV256" s="311"/>
      <c r="AW256" s="311"/>
      <c r="AX256" s="311"/>
      <c r="AY256" s="311"/>
      <c r="AZ256" s="311"/>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row>
    <row r="257" spans="1:82" ht="15.75" customHeight="1">
      <c r="A257" s="248">
        <f t="shared" si="63"/>
        <v>38</v>
      </c>
      <c r="B257" s="1" t="s">
        <v>555</v>
      </c>
      <c r="C257" s="233" t="str">
        <f ca="1">IFERROR(__xludf.DUMMYFUNCTION("GoogleFinance(B257,""name"")"),"Union Pacific Corp")</f>
        <v>Union Pacific Corp</v>
      </c>
      <c r="D257" s="234">
        <f ca="1">IFERROR(__xludf.DUMMYFUNCTION("GoogleFinance(B257,""marketcap"")/1000000"),139483.00619)</f>
        <v>139483.00618999999</v>
      </c>
      <c r="E257" s="229" t="s">
        <v>11</v>
      </c>
      <c r="F257" s="229" t="s">
        <v>485</v>
      </c>
      <c r="G257" s="786">
        <v>45369</v>
      </c>
      <c r="H257" s="833">
        <v>222.9</v>
      </c>
      <c r="I257" s="237">
        <v>245.48</v>
      </c>
      <c r="J257" s="238">
        <v>12.220954863940037</v>
      </c>
      <c r="K257" s="239">
        <v>2724.0508391722342</v>
      </c>
      <c r="L257" s="249"/>
      <c r="M257" s="249">
        <v>3000</v>
      </c>
      <c r="N257" s="508">
        <v>275.94916082776581</v>
      </c>
      <c r="O257" s="254">
        <v>0.10130103185284867</v>
      </c>
      <c r="P257" s="227">
        <v>88</v>
      </c>
      <c r="Q257" s="752" t="s">
        <v>483</v>
      </c>
      <c r="R257" s="235">
        <v>45457</v>
      </c>
      <c r="S257" s="29" t="s">
        <v>281</v>
      </c>
      <c r="T257" s="29"/>
      <c r="U257" s="29"/>
      <c r="V257" s="29"/>
      <c r="W257" s="29"/>
      <c r="X257" s="29"/>
      <c r="Y257" s="14"/>
      <c r="Z257" s="14"/>
      <c r="AA257" s="14"/>
      <c r="AB257" s="14"/>
      <c r="AC257" s="14"/>
      <c r="AD257" s="29"/>
      <c r="AE257" s="29"/>
      <c r="AF257" s="29"/>
      <c r="AG257" s="29"/>
      <c r="AH257" s="25"/>
      <c r="AI257" s="25"/>
      <c r="AJ257" s="456"/>
      <c r="AK257" s="456"/>
      <c r="AL257" s="456"/>
      <c r="AM257" s="456"/>
      <c r="AN257" s="456"/>
      <c r="AO257" s="456"/>
      <c r="AP257" s="456"/>
      <c r="AQ257" s="311"/>
      <c r="AR257" s="456"/>
      <c r="AS257" s="311"/>
      <c r="AT257" s="311"/>
      <c r="AU257" s="311"/>
      <c r="AV257" s="311"/>
      <c r="AW257" s="311"/>
      <c r="AX257" s="311"/>
      <c r="AY257" s="311"/>
      <c r="AZ257" s="311"/>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29"/>
    </row>
    <row r="258" spans="1:82" ht="15.75" customHeight="1">
      <c r="A258" s="248">
        <f t="shared" si="63"/>
        <v>39</v>
      </c>
      <c r="B258" s="1" t="s">
        <v>451</v>
      </c>
      <c r="C258" s="233" t="str">
        <f ca="1">IFERROR(__xludf.DUMMYFUNCTION("GoogleFinance(B258,""name"")"),"Palantir Technologies Inc")</f>
        <v>Palantir Technologies Inc</v>
      </c>
      <c r="D258" s="234">
        <f ca="1">IFERROR(__xludf.DUMMYFUNCTION("GoogleFinance(B258,""marketcap"")/1000000"),421078.4)</f>
        <v>421078.4</v>
      </c>
      <c r="E258" s="229" t="s">
        <v>7</v>
      </c>
      <c r="F258" s="229" t="s">
        <v>556</v>
      </c>
      <c r="G258" s="230">
        <v>45442</v>
      </c>
      <c r="H258" s="833">
        <v>24.6</v>
      </c>
      <c r="I258" s="237">
        <v>21.76</v>
      </c>
      <c r="J258" s="238">
        <v>91.911764705882348</v>
      </c>
      <c r="K258" s="249">
        <v>2000</v>
      </c>
      <c r="L258" s="249"/>
      <c r="M258" s="249">
        <v>2261.0294117647059</v>
      </c>
      <c r="N258" s="226">
        <v>-261.02941176470586</v>
      </c>
      <c r="O258" s="509">
        <v>-0.11544715447154474</v>
      </c>
      <c r="P258" s="227">
        <v>26</v>
      </c>
      <c r="Q258" s="752" t="s">
        <v>483</v>
      </c>
      <c r="R258" s="235">
        <v>45468</v>
      </c>
      <c r="S258" s="29" t="s">
        <v>62</v>
      </c>
      <c r="T258" s="29"/>
      <c r="U258" s="29"/>
      <c r="V258" s="29"/>
      <c r="W258" s="29"/>
      <c r="X258" s="29"/>
      <c r="Y258" s="14"/>
      <c r="Z258" s="14"/>
      <c r="AA258" s="14"/>
      <c r="AB258" s="14"/>
      <c r="AC258" s="14"/>
      <c r="AD258" s="29"/>
      <c r="AE258" s="29"/>
      <c r="AF258" s="29"/>
      <c r="AG258" s="29"/>
      <c r="AH258" s="25"/>
      <c r="AI258" s="25"/>
      <c r="AJ258" s="456"/>
      <c r="AK258" s="456"/>
      <c r="AL258" s="456"/>
      <c r="AM258" s="456"/>
      <c r="AN258" s="456"/>
      <c r="AO258" s="456"/>
      <c r="AP258" s="456"/>
      <c r="AQ258" s="311"/>
      <c r="AR258" s="456"/>
      <c r="AS258" s="311"/>
      <c r="AT258" s="311"/>
      <c r="AU258" s="311"/>
      <c r="AV258" s="311"/>
      <c r="AW258" s="311"/>
      <c r="AX258" s="311"/>
      <c r="AY258" s="311"/>
      <c r="AZ258" s="311"/>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29"/>
      <c r="CC258" s="29"/>
      <c r="CD258" s="29"/>
    </row>
    <row r="259" spans="1:82" ht="15.75" customHeight="1">
      <c r="A259" s="248">
        <f t="shared" si="63"/>
        <v>40</v>
      </c>
      <c r="B259" s="1" t="s">
        <v>502</v>
      </c>
      <c r="C259" s="233" t="str">
        <f ca="1">IFERROR(__xludf.DUMMYFUNCTION("GoogleFinance(B259,""name"")"),"Direxion Daily AAPL Bear 1X Shares")</f>
        <v>Direxion Daily AAPL Bear 1X Shares</v>
      </c>
      <c r="D259" s="234" t="str">
        <f ca="1">IFERROR(__xludf.DUMMYFUNCTION("GoogleFinance(B259,""marketcap"")/1000000"),"#N/A")</f>
        <v>#N/A</v>
      </c>
      <c r="E259" s="246" t="s">
        <v>557</v>
      </c>
      <c r="F259" s="246" t="s">
        <v>503</v>
      </c>
      <c r="G259" s="230">
        <v>45455</v>
      </c>
      <c r="H259" s="833">
        <v>17.2</v>
      </c>
      <c r="I259" s="506">
        <v>17.8</v>
      </c>
      <c r="J259" s="507">
        <v>112.35955056179775</v>
      </c>
      <c r="K259" s="249">
        <v>2000</v>
      </c>
      <c r="L259" s="249"/>
      <c r="M259" s="249">
        <v>1932.5842696629211</v>
      </c>
      <c r="N259" s="508">
        <v>-67.415730337078912</v>
      </c>
      <c r="O259" s="509">
        <v>-3.3707865168539408E-2</v>
      </c>
      <c r="P259" s="227">
        <v>20</v>
      </c>
      <c r="Q259" s="752" t="s">
        <v>483</v>
      </c>
      <c r="R259" s="235">
        <v>45475</v>
      </c>
      <c r="S259" s="29"/>
      <c r="T259" s="29"/>
      <c r="U259" s="29"/>
      <c r="V259" s="29"/>
      <c r="W259" s="29"/>
      <c r="X259" s="29"/>
      <c r="Y259" s="14"/>
      <c r="Z259" s="14"/>
      <c r="AA259" s="14"/>
      <c r="AB259" s="14"/>
      <c r="AC259" s="14"/>
      <c r="AD259" s="29"/>
      <c r="AE259" s="29"/>
      <c r="AF259" s="29"/>
      <c r="AG259" s="29"/>
      <c r="AH259" s="25"/>
      <c r="AI259" s="25"/>
      <c r="AJ259" s="456"/>
      <c r="AK259" s="456"/>
      <c r="AL259" s="456"/>
      <c r="AM259" s="456"/>
      <c r="AN259" s="456"/>
      <c r="AO259" s="456"/>
      <c r="AP259" s="456"/>
      <c r="AQ259" s="311"/>
      <c r="AR259" s="456"/>
      <c r="AS259" s="311"/>
      <c r="AT259" s="311"/>
      <c r="AU259" s="311"/>
      <c r="AV259" s="311"/>
      <c r="AW259" s="311"/>
      <c r="AX259" s="311"/>
      <c r="AY259" s="311"/>
      <c r="AZ259" s="311"/>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29"/>
      <c r="CC259" s="29"/>
      <c r="CD259" s="29"/>
    </row>
    <row r="260" spans="1:82" ht="15.75" customHeight="1">
      <c r="A260" s="248">
        <f t="shared" si="63"/>
        <v>41</v>
      </c>
      <c r="B260" s="1" t="s">
        <v>558</v>
      </c>
      <c r="C260" s="233" t="str">
        <f ca="1">IFERROR(__xludf.DUMMYFUNCTION("GoogleFinance(B260,""name"")"),"Amphastar Pharmaceuticals Inc")</f>
        <v>Amphastar Pharmaceuticals Inc</v>
      </c>
      <c r="D260" s="234">
        <f ca="1">IFERROR(__xludf.DUMMYFUNCTION("GoogleFinance(B260,""marketcap"")/1000000"),1248.392378)</f>
        <v>1248.392378</v>
      </c>
      <c r="E260" s="246" t="s">
        <v>17</v>
      </c>
      <c r="F260" s="246" t="s">
        <v>559</v>
      </c>
      <c r="G260" s="230">
        <v>45477</v>
      </c>
      <c r="H260" s="833">
        <v>38.299999999999997</v>
      </c>
      <c r="I260" s="506">
        <v>42.66</v>
      </c>
      <c r="J260" s="507">
        <v>46.882325363338026</v>
      </c>
      <c r="K260" s="249">
        <v>2000</v>
      </c>
      <c r="L260" s="249"/>
      <c r="M260" s="249">
        <v>1795.5930614158463</v>
      </c>
      <c r="N260" s="508">
        <v>-204.40693858415375</v>
      </c>
      <c r="O260" s="509">
        <v>-0.10220346929207691</v>
      </c>
      <c r="P260" s="227">
        <v>-1</v>
      </c>
      <c r="Q260" s="752" t="s">
        <v>431</v>
      </c>
      <c r="R260" s="235">
        <v>45476</v>
      </c>
      <c r="S260" s="29" t="s">
        <v>62</v>
      </c>
      <c r="T260" s="29"/>
      <c r="U260" s="29"/>
      <c r="V260" s="29"/>
      <c r="W260" s="29"/>
      <c r="X260" s="29"/>
      <c r="Y260" s="14"/>
      <c r="Z260" s="14"/>
      <c r="AA260" s="14"/>
      <c r="AB260" s="14"/>
      <c r="AC260" s="14"/>
      <c r="AD260" s="29"/>
      <c r="AE260" s="29"/>
      <c r="AF260" s="29"/>
      <c r="AG260" s="29"/>
      <c r="AH260" s="25"/>
      <c r="AI260" s="25"/>
      <c r="AJ260" s="456"/>
      <c r="AK260" s="456"/>
      <c r="AL260" s="456"/>
      <c r="AM260" s="456"/>
      <c r="AN260" s="456"/>
      <c r="AO260" s="456"/>
      <c r="AP260" s="456"/>
      <c r="AQ260" s="311"/>
      <c r="AR260" s="456"/>
      <c r="AS260" s="311"/>
      <c r="AT260" s="311"/>
      <c r="AU260" s="311"/>
      <c r="AV260" s="311"/>
      <c r="AW260" s="311"/>
      <c r="AX260" s="311"/>
      <c r="AY260" s="311"/>
      <c r="AZ260" s="311"/>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29"/>
      <c r="CC260" s="29"/>
      <c r="CD260" s="29"/>
    </row>
    <row r="261" spans="1:82" ht="15.75" customHeight="1">
      <c r="A261" s="248">
        <f t="shared" si="63"/>
        <v>42</v>
      </c>
      <c r="B261" s="1" t="s">
        <v>441</v>
      </c>
      <c r="C261" s="233" t="str">
        <f ca="1">IFERROR(__xludf.DUMMYFUNCTION("GoogleFinance(B261,""name"")"),"Advanced Micro Devices Inc")</f>
        <v>Advanced Micro Devices Inc</v>
      </c>
      <c r="D261" s="234">
        <f ca="1">IFERROR(__xludf.DUMMYFUNCTION("GoogleFinance(B261,""marketcap"")/1000000"),258778.555675)</f>
        <v>258778.55567500001</v>
      </c>
      <c r="E261" s="246" t="s">
        <v>7</v>
      </c>
      <c r="F261" s="246" t="s">
        <v>23</v>
      </c>
      <c r="G261" s="230">
        <v>45463</v>
      </c>
      <c r="H261" s="833">
        <v>182.86</v>
      </c>
      <c r="I261" s="506">
        <v>165.5</v>
      </c>
      <c r="J261" s="507">
        <v>12.084592145015106</v>
      </c>
      <c r="K261" s="249">
        <v>2000</v>
      </c>
      <c r="L261" s="249"/>
      <c r="M261" s="249">
        <v>2209.7885196374627</v>
      </c>
      <c r="N261" s="508">
        <v>209.78851963746274</v>
      </c>
      <c r="O261" s="509">
        <v>0.10489425981873124</v>
      </c>
      <c r="P261" s="227">
        <v>21</v>
      </c>
      <c r="Q261" s="752" t="s">
        <v>431</v>
      </c>
      <c r="R261" s="235">
        <v>45484</v>
      </c>
      <c r="S261" s="29" t="s">
        <v>281</v>
      </c>
      <c r="T261" s="29"/>
      <c r="U261" s="29"/>
      <c r="V261" s="29"/>
      <c r="W261" s="29"/>
      <c r="X261" s="29"/>
      <c r="Y261" s="14"/>
      <c r="Z261" s="14"/>
      <c r="AA261" s="14"/>
      <c r="AB261" s="14"/>
      <c r="AC261" s="14"/>
      <c r="AD261" s="29"/>
      <c r="AE261" s="29"/>
      <c r="AF261" s="29"/>
      <c r="AG261" s="29"/>
      <c r="AH261" s="25"/>
      <c r="AI261" s="25"/>
      <c r="AJ261" s="456"/>
      <c r="AK261" s="456"/>
      <c r="AL261" s="456"/>
      <c r="AM261" s="456"/>
      <c r="AN261" s="456"/>
      <c r="AO261" s="456"/>
      <c r="AP261" s="456"/>
      <c r="AQ261" s="311"/>
      <c r="AR261" s="456"/>
      <c r="AS261" s="311"/>
      <c r="AT261" s="311"/>
      <c r="AU261" s="311"/>
      <c r="AV261" s="311"/>
      <c r="AW261" s="311"/>
      <c r="AX261" s="311"/>
      <c r="AY261" s="311"/>
      <c r="AZ261" s="311"/>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29"/>
      <c r="CC261" s="29"/>
      <c r="CD261" s="29"/>
    </row>
    <row r="262" spans="1:82" ht="15.75" customHeight="1">
      <c r="A262" s="248">
        <f t="shared" si="63"/>
        <v>43</v>
      </c>
      <c r="B262" s="1" t="s">
        <v>560</v>
      </c>
      <c r="C262" s="233" t="str">
        <f ca="1">IFERROR(__xludf.DUMMYFUNCTION("GoogleFinance(B262,""name"")"),"Direxion Daily Small Cap Bear 3x Shares")</f>
        <v>Direxion Daily Small Cap Bear 3x Shares</v>
      </c>
      <c r="D262" s="234">
        <f ca="1">IFERROR(__xludf.DUMMYFUNCTION("GoogleFinance(B262,""marketcap"")/1000000"),74.360312)</f>
        <v>74.360311999999993</v>
      </c>
      <c r="E262" s="246" t="s">
        <v>557</v>
      </c>
      <c r="F262" s="246" t="s">
        <v>550</v>
      </c>
      <c r="G262" s="230">
        <v>45446</v>
      </c>
      <c r="H262" s="833">
        <v>16.899999999999999</v>
      </c>
      <c r="I262" s="506">
        <v>18.100000000000001</v>
      </c>
      <c r="J262" s="507">
        <v>110.49723756906076</v>
      </c>
      <c r="K262" s="249">
        <v>2000</v>
      </c>
      <c r="L262" s="249"/>
      <c r="M262" s="249">
        <v>1867.4033149171266</v>
      </c>
      <c r="N262" s="508">
        <v>-132.59668508287336</v>
      </c>
      <c r="O262" s="509">
        <v>-6.6298342541436628E-2</v>
      </c>
      <c r="P262" s="227">
        <v>38</v>
      </c>
      <c r="Q262" s="752" t="s">
        <v>431</v>
      </c>
      <c r="R262" s="235">
        <v>45484</v>
      </c>
      <c r="S262" s="29" t="s">
        <v>62</v>
      </c>
      <c r="T262" s="29"/>
      <c r="U262" s="29"/>
      <c r="V262" s="29"/>
      <c r="W262" s="29"/>
      <c r="X262" s="29"/>
      <c r="Y262" s="14"/>
      <c r="Z262" s="14"/>
      <c r="AA262" s="14"/>
      <c r="AB262" s="14"/>
      <c r="AC262" s="14"/>
      <c r="AD262" s="29"/>
      <c r="AE262" s="29"/>
      <c r="AF262" s="29"/>
      <c r="AG262" s="29"/>
      <c r="AH262" s="25"/>
      <c r="AI262" s="25"/>
      <c r="AJ262" s="456"/>
      <c r="AK262" s="456"/>
      <c r="AL262" s="456"/>
      <c r="AM262" s="456"/>
      <c r="AN262" s="456"/>
      <c r="AO262" s="456"/>
      <c r="AP262" s="456"/>
      <c r="AQ262" s="311"/>
      <c r="AR262" s="456"/>
      <c r="AS262" s="311"/>
      <c r="AT262" s="311"/>
      <c r="AU262" s="311"/>
      <c r="AV262" s="311"/>
      <c r="AW262" s="311"/>
      <c r="AX262" s="311"/>
      <c r="AY262" s="311"/>
      <c r="AZ262" s="311"/>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29"/>
      <c r="CC262" s="29"/>
      <c r="CD262" s="29"/>
    </row>
    <row r="263" spans="1:82" ht="15.75" customHeight="1">
      <c r="A263" s="248">
        <f t="shared" si="63"/>
        <v>44</v>
      </c>
      <c r="B263" s="1" t="s">
        <v>561</v>
      </c>
      <c r="C263" s="233" t="str">
        <f ca="1">IFERROR(__xludf.DUMMYFUNCTION("GoogleFinance(B263,""name"")"),"Home Depot Inc")</f>
        <v>Home Depot Inc</v>
      </c>
      <c r="D263" s="234">
        <f ca="1">IFERROR(__xludf.DUMMYFUNCTION("GoogleFinance(B263,""marketcap"")/1000000"),408198.087148)</f>
        <v>408198.08714800002</v>
      </c>
      <c r="E263" s="229" t="s">
        <v>10</v>
      </c>
      <c r="F263" s="229" t="s">
        <v>323</v>
      </c>
      <c r="G263" s="786">
        <v>45483</v>
      </c>
      <c r="H263" s="833">
        <v>360</v>
      </c>
      <c r="I263" s="237">
        <v>340.93</v>
      </c>
      <c r="J263" s="238">
        <v>2.9331534332560936</v>
      </c>
      <c r="K263" s="239">
        <v>1000</v>
      </c>
      <c r="L263" s="239"/>
      <c r="M263" s="239">
        <v>1055.9352359721936</v>
      </c>
      <c r="N263" s="226">
        <v>-55.935235972193595</v>
      </c>
      <c r="O263" s="509">
        <v>-5.2972222222222198E-2</v>
      </c>
      <c r="P263" s="227">
        <v>2</v>
      </c>
      <c r="Q263" s="752" t="s">
        <v>431</v>
      </c>
      <c r="R263" s="235">
        <v>45485</v>
      </c>
      <c r="S263" s="29" t="s">
        <v>62</v>
      </c>
      <c r="T263" s="29"/>
      <c r="U263" s="29"/>
      <c r="V263" s="29"/>
      <c r="W263" s="29"/>
      <c r="X263" s="29"/>
      <c r="Y263" s="14"/>
      <c r="Z263" s="14"/>
      <c r="AA263" s="14"/>
      <c r="AB263" s="14"/>
      <c r="AC263" s="14"/>
      <c r="AD263" s="29"/>
      <c r="AE263" s="29"/>
      <c r="AF263" s="29"/>
      <c r="AG263" s="29"/>
      <c r="AH263" s="25"/>
      <c r="AI263" s="25"/>
      <c r="AJ263" s="25"/>
      <c r="AK263" s="25"/>
      <c r="AL263" s="25"/>
      <c r="AM263" s="25"/>
      <c r="AN263" s="25"/>
      <c r="AO263" s="25"/>
      <c r="AP263" s="25"/>
      <c r="AQ263" s="22"/>
      <c r="AR263" s="25"/>
      <c r="AS263" s="22"/>
      <c r="AT263" s="22"/>
      <c r="AU263" s="22"/>
      <c r="AV263" s="22"/>
      <c r="AW263" s="22"/>
      <c r="AX263" s="22"/>
      <c r="AY263" s="22"/>
      <c r="AZ263" s="22"/>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row>
    <row r="264" spans="1:82" ht="15.75" customHeight="1">
      <c r="A264" s="248">
        <f t="shared" si="63"/>
        <v>45</v>
      </c>
      <c r="B264" s="1" t="s">
        <v>562</v>
      </c>
      <c r="C264" s="233" t="str">
        <f ca="1">IFERROR(__xludf.DUMMYFUNCTION("GoogleFinance(B264,""name"")"),"Lululemon Athletica Inc")</f>
        <v>Lululemon Athletica Inc</v>
      </c>
      <c r="D264" s="234">
        <f ca="1">IFERROR(__xludf.DUMMYFUNCTION("GoogleFinance(B264,""marketcap"")/1000000"),20906.359561)</f>
        <v>20906.359561000001</v>
      </c>
      <c r="E264" s="246" t="s">
        <v>10</v>
      </c>
      <c r="F264" s="246" t="s">
        <v>563</v>
      </c>
      <c r="G264" s="230">
        <v>45443</v>
      </c>
      <c r="H264" s="833">
        <v>290</v>
      </c>
      <c r="I264" s="506">
        <v>310.13</v>
      </c>
      <c r="J264" s="507">
        <v>3.2244542611163061</v>
      </c>
      <c r="K264" s="249">
        <v>1000</v>
      </c>
      <c r="L264" s="249"/>
      <c r="M264" s="249">
        <v>935.09173572372879</v>
      </c>
      <c r="N264" s="508">
        <v>-64.908264276271211</v>
      </c>
      <c r="O264" s="509">
        <v>-6.4908264276271277E-2</v>
      </c>
      <c r="P264" s="227">
        <v>42</v>
      </c>
      <c r="Q264" s="752" t="s">
        <v>431</v>
      </c>
      <c r="R264" s="235">
        <v>45485</v>
      </c>
      <c r="S264" s="29" t="s">
        <v>62</v>
      </c>
      <c r="T264" s="29"/>
      <c r="U264" s="29"/>
      <c r="V264" s="29"/>
      <c r="W264" s="29"/>
      <c r="X264" s="29"/>
      <c r="Y264" s="14"/>
      <c r="Z264" s="14"/>
      <c r="AA264" s="14"/>
      <c r="AB264" s="14"/>
      <c r="AC264" s="14"/>
      <c r="AD264" s="29"/>
      <c r="AE264" s="29"/>
      <c r="AF264" s="29"/>
      <c r="AG264" s="29"/>
      <c r="AH264" s="25"/>
      <c r="AI264" s="25"/>
      <c r="AJ264" s="456"/>
      <c r="AK264" s="456"/>
      <c r="AL264" s="456"/>
      <c r="AM264" s="456"/>
      <c r="AN264" s="456"/>
      <c r="AO264" s="456"/>
      <c r="AP264" s="456"/>
      <c r="AQ264" s="311"/>
      <c r="AR264" s="456"/>
      <c r="AS264" s="311"/>
      <c r="AT264" s="311"/>
      <c r="AU264" s="311"/>
      <c r="AV264" s="311"/>
      <c r="AW264" s="311"/>
      <c r="AX264" s="311"/>
      <c r="AY264" s="311"/>
      <c r="AZ264" s="311"/>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row>
    <row r="265" spans="1:82" ht="15.75" customHeight="1">
      <c r="A265" s="248">
        <f t="shared" si="63"/>
        <v>46</v>
      </c>
      <c r="B265" s="1" t="s">
        <v>480</v>
      </c>
      <c r="C265" s="233" t="str">
        <f ca="1">IFERROR(__xludf.DUMMYFUNCTION("GoogleFinance(B265,""name"")"),"Direxion Daily Semiconductor Bear 3X Shares")</f>
        <v>Direxion Daily Semiconductor Bear 3X Shares</v>
      </c>
      <c r="D265" s="234" t="str">
        <f ca="1">IFERROR(__xludf.DUMMYFUNCTION("GoogleFinance(B265,""marketcap"")/1000000"),"#N/A")</f>
        <v>#N/A</v>
      </c>
      <c r="E265" s="229" t="s">
        <v>533</v>
      </c>
      <c r="F265" s="229" t="s">
        <v>504</v>
      </c>
      <c r="G265" s="230">
        <v>45463</v>
      </c>
      <c r="H265" s="833">
        <v>19.100000000000001</v>
      </c>
      <c r="I265" s="506">
        <v>20.5</v>
      </c>
      <c r="J265" s="507">
        <v>48.780487804878049</v>
      </c>
      <c r="K265" s="249">
        <v>1000</v>
      </c>
      <c r="L265" s="249"/>
      <c r="M265" s="249">
        <v>931.70731707317077</v>
      </c>
      <c r="N265" s="508">
        <v>-68.292682926829229</v>
      </c>
      <c r="O265" s="509">
        <v>-6.8292682926829218E-2</v>
      </c>
      <c r="P265" s="227">
        <v>22</v>
      </c>
      <c r="Q265" s="752" t="s">
        <v>431</v>
      </c>
      <c r="R265" s="235">
        <v>45485</v>
      </c>
      <c r="S265" s="29" t="s">
        <v>62</v>
      </c>
      <c r="T265" s="29"/>
      <c r="U265" s="29"/>
      <c r="V265" s="29"/>
      <c r="W265" s="29"/>
      <c r="X265" s="29"/>
      <c r="Y265" s="14"/>
      <c r="Z265" s="14"/>
      <c r="AA265" s="14"/>
      <c r="AB265" s="14"/>
      <c r="AC265" s="14"/>
      <c r="AD265" s="29"/>
      <c r="AE265" s="29"/>
      <c r="AF265" s="29"/>
      <c r="AG265" s="29"/>
      <c r="AH265" s="25"/>
      <c r="AI265" s="25"/>
      <c r="AJ265" s="456"/>
      <c r="AK265" s="456"/>
      <c r="AL265" s="456"/>
      <c r="AM265" s="456"/>
      <c r="AN265" s="456"/>
      <c r="AO265" s="456"/>
      <c r="AP265" s="456"/>
      <c r="AQ265" s="311"/>
      <c r="AR265" s="456"/>
      <c r="AS265" s="311"/>
      <c r="AT265" s="311"/>
      <c r="AU265" s="311"/>
      <c r="AV265" s="311"/>
      <c r="AW265" s="311"/>
      <c r="AX265" s="311"/>
      <c r="AY265" s="311"/>
      <c r="AZ265" s="311"/>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row>
    <row r="266" spans="1:82" ht="15.75" customHeight="1">
      <c r="A266" s="248">
        <f t="shared" si="63"/>
        <v>47</v>
      </c>
      <c r="B266" s="1" t="s">
        <v>564</v>
      </c>
      <c r="C266" s="233" t="str">
        <f ca="1">IFERROR(__xludf.DUMMYFUNCTION("GoogleFinance(B266,""name"")"),"Direxion Daily Financial Bear 3x Shares")</f>
        <v>Direxion Daily Financial Bear 3x Shares</v>
      </c>
      <c r="D266" s="234">
        <f ca="1">IFERROR(__xludf.DUMMYFUNCTION("GoogleFinance(B266,""marketcap"")/1000000"),225.70083)</f>
        <v>225.70083</v>
      </c>
      <c r="E266" s="246" t="s">
        <v>565</v>
      </c>
      <c r="F266" s="246" t="s">
        <v>550</v>
      </c>
      <c r="G266" s="230">
        <v>45422</v>
      </c>
      <c r="H266" s="833">
        <v>9.6</v>
      </c>
      <c r="I266" s="506">
        <v>10.14</v>
      </c>
      <c r="J266" s="507">
        <v>98.619329388560146</v>
      </c>
      <c r="K266" s="249">
        <v>999.99999999999989</v>
      </c>
      <c r="L266" s="249"/>
      <c r="M266" s="249">
        <v>946.7455621301774</v>
      </c>
      <c r="N266" s="508">
        <v>-53.254437869822482</v>
      </c>
      <c r="O266" s="509">
        <v>-5.3254437869822535E-2</v>
      </c>
      <c r="P266" s="227">
        <v>63</v>
      </c>
      <c r="Q266" s="752" t="s">
        <v>431</v>
      </c>
      <c r="R266" s="235">
        <v>45485</v>
      </c>
      <c r="S266" s="29" t="s">
        <v>62</v>
      </c>
      <c r="T266" s="29"/>
      <c r="U266" s="29"/>
      <c r="V266" s="29"/>
      <c r="W266" s="29"/>
      <c r="X266" s="29"/>
      <c r="Y266" s="14"/>
      <c r="Z266" s="14"/>
      <c r="AA266" s="14"/>
      <c r="AB266" s="14"/>
      <c r="AC266" s="14"/>
      <c r="AD266" s="29"/>
      <c r="AE266" s="29"/>
      <c r="AF266" s="29"/>
      <c r="AG266" s="29"/>
      <c r="AH266" s="25"/>
      <c r="AI266" s="25"/>
      <c r="AJ266" s="456"/>
      <c r="AK266" s="456"/>
      <c r="AL266" s="456"/>
      <c r="AM266" s="456"/>
      <c r="AN266" s="456"/>
      <c r="AO266" s="456"/>
      <c r="AP266" s="456"/>
      <c r="AQ266" s="311"/>
      <c r="AR266" s="456"/>
      <c r="AS266" s="311"/>
      <c r="AT266" s="311"/>
      <c r="AU266" s="311"/>
      <c r="AV266" s="311"/>
      <c r="AW266" s="311"/>
      <c r="AX266" s="311"/>
      <c r="AY266" s="311"/>
      <c r="AZ266" s="311"/>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row>
    <row r="267" spans="1:82" ht="15.75" customHeight="1">
      <c r="A267" s="248">
        <f t="shared" si="63"/>
        <v>48</v>
      </c>
      <c r="B267" s="1" t="s">
        <v>566</v>
      </c>
      <c r="C267" s="233" t="str">
        <f ca="1">IFERROR(__xludf.DUMMYFUNCTION("GoogleFinance(B267,""name"")"),"ProShares Short Dow30")</f>
        <v>ProShares Short Dow30</v>
      </c>
      <c r="D267" s="234" t="str">
        <f ca="1">IFERROR(__xludf.DUMMYFUNCTION("GoogleFinance(B267,""marketcap"")/1000000"),"#N/A")</f>
        <v>#N/A</v>
      </c>
      <c r="E267" s="229" t="s">
        <v>567</v>
      </c>
      <c r="F267" s="229" t="s">
        <v>504</v>
      </c>
      <c r="G267" s="235">
        <v>45331</v>
      </c>
      <c r="H267" s="833">
        <v>28</v>
      </c>
      <c r="I267" s="237">
        <v>29.23</v>
      </c>
      <c r="J267" s="507">
        <v>34.211426616489909</v>
      </c>
      <c r="K267" s="249">
        <v>1000.0000000000001</v>
      </c>
      <c r="L267" s="249"/>
      <c r="M267" s="249">
        <v>957.91994526171743</v>
      </c>
      <c r="N267" s="508">
        <v>-42.080054738282684</v>
      </c>
      <c r="O267" s="509">
        <v>-4.208005473828258E-2</v>
      </c>
      <c r="P267" s="227">
        <v>154</v>
      </c>
      <c r="Q267" s="752" t="s">
        <v>431</v>
      </c>
      <c r="R267" s="235">
        <v>45485</v>
      </c>
      <c r="S267" s="29" t="s">
        <v>62</v>
      </c>
      <c r="T267" s="29"/>
      <c r="U267" s="29"/>
      <c r="V267" s="29"/>
      <c r="W267" s="29"/>
      <c r="X267" s="29"/>
      <c r="Y267" s="14"/>
      <c r="Z267" s="14"/>
      <c r="AA267" s="14"/>
      <c r="AB267" s="14"/>
      <c r="AC267" s="14"/>
      <c r="AD267" s="29"/>
      <c r="AE267" s="29"/>
      <c r="AF267" s="29"/>
      <c r="AG267" s="29"/>
      <c r="AH267" s="25"/>
      <c r="AI267" s="25"/>
      <c r="AJ267" s="456"/>
      <c r="AK267" s="456"/>
      <c r="AL267" s="456"/>
      <c r="AM267" s="456"/>
      <c r="AN267" s="456"/>
      <c r="AO267" s="456"/>
      <c r="AP267" s="456"/>
      <c r="AQ267" s="311"/>
      <c r="AR267" s="456"/>
      <c r="AS267" s="311"/>
      <c r="AT267" s="311"/>
      <c r="AU267" s="311"/>
      <c r="AV267" s="311"/>
      <c r="AW267" s="311"/>
      <c r="AX267" s="311"/>
      <c r="AY267" s="311"/>
      <c r="AZ267" s="311"/>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29"/>
      <c r="CC267" s="29"/>
      <c r="CD267" s="29"/>
    </row>
    <row r="268" spans="1:82" ht="15.75" customHeight="1">
      <c r="A268" s="248">
        <f t="shared" si="63"/>
        <v>49</v>
      </c>
      <c r="B268" s="1" t="s">
        <v>568</v>
      </c>
      <c r="C268" s="233" t="str">
        <f ca="1">IFERROR(__xludf.DUMMYFUNCTION("GoogleFinance(B268,""name"")"),"Madison Square Garden Sports Corp")</f>
        <v>Madison Square Garden Sports Corp</v>
      </c>
      <c r="D268" s="234">
        <f ca="1">IFERROR(__xludf.DUMMYFUNCTION("GoogleFinance(B268,""marketcap"")/1000000"),5369.137)</f>
        <v>5369.1369999999997</v>
      </c>
      <c r="E268" s="229" t="s">
        <v>13</v>
      </c>
      <c r="F268" s="229" t="s">
        <v>120</v>
      </c>
      <c r="G268" s="786">
        <v>45421</v>
      </c>
      <c r="H268" s="833">
        <v>200</v>
      </c>
      <c r="I268" s="237">
        <v>189.8</v>
      </c>
      <c r="J268" s="238">
        <v>5.2687038988408847</v>
      </c>
      <c r="K268" s="249">
        <v>1000</v>
      </c>
      <c r="L268" s="249"/>
      <c r="M268" s="249">
        <v>1053.7407797681769</v>
      </c>
      <c r="N268" s="226">
        <v>-53.740779768176935</v>
      </c>
      <c r="O268" s="509">
        <v>-5.0999999999999934E-2</v>
      </c>
      <c r="P268" s="227">
        <v>68</v>
      </c>
      <c r="Q268" s="752" t="s">
        <v>483</v>
      </c>
      <c r="R268" s="235">
        <v>45489</v>
      </c>
      <c r="S268" s="29" t="s">
        <v>62</v>
      </c>
      <c r="T268" s="29"/>
      <c r="U268" s="29"/>
      <c r="V268" s="29"/>
      <c r="W268" s="29"/>
      <c r="X268" s="29"/>
      <c r="Y268" s="14"/>
      <c r="Z268" s="14"/>
      <c r="AA268" s="14"/>
      <c r="AB268" s="14"/>
      <c r="AC268" s="14"/>
      <c r="AD268" s="29"/>
      <c r="AE268" s="29"/>
      <c r="AF268" s="29"/>
      <c r="AG268" s="29"/>
      <c r="AH268" s="25"/>
      <c r="AI268" s="25"/>
      <c r="AJ268" s="456"/>
      <c r="AK268" s="456"/>
      <c r="AL268" s="456"/>
      <c r="AM268" s="456"/>
      <c r="AN268" s="456"/>
      <c r="AO268" s="456"/>
      <c r="AP268" s="456"/>
      <c r="AQ268" s="311"/>
      <c r="AR268" s="456"/>
      <c r="AS268" s="311"/>
      <c r="AT268" s="311"/>
      <c r="AU268" s="311"/>
      <c r="AV268" s="311"/>
      <c r="AW268" s="311"/>
      <c r="AX268" s="311"/>
      <c r="AY268" s="311"/>
      <c r="AZ268" s="311"/>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row>
    <row r="269" spans="1:82" ht="15.75" customHeight="1">
      <c r="A269" s="248">
        <f t="shared" si="63"/>
        <v>50</v>
      </c>
      <c r="B269" s="1" t="s">
        <v>569</v>
      </c>
      <c r="C269" s="233" t="str">
        <f ca="1">IFERROR(__xludf.DUMMYFUNCTION("GoogleFinance(B269,""name"")"),"Robinhood Markets Inc")</f>
        <v>Robinhood Markets Inc</v>
      </c>
      <c r="D269" s="234">
        <f ca="1">IFERROR(__xludf.DUMMYFUNCTION("GoogleFinance(B269,""marketcap"")/1000000"),108222.840415)</f>
        <v>108222.840415</v>
      </c>
      <c r="E269" s="229" t="s">
        <v>14</v>
      </c>
      <c r="F269" s="229" t="s">
        <v>570</v>
      </c>
      <c r="G269" s="786">
        <v>45467</v>
      </c>
      <c r="H269" s="833">
        <v>24.3</v>
      </c>
      <c r="I269" s="237">
        <v>21.32</v>
      </c>
      <c r="J269" s="238">
        <v>46.904315196998127</v>
      </c>
      <c r="K269" s="249">
        <v>1000.0000000000001</v>
      </c>
      <c r="L269" s="249"/>
      <c r="M269" s="249">
        <v>1139.7748592870546</v>
      </c>
      <c r="N269" s="226">
        <v>-139.77485928705448</v>
      </c>
      <c r="O269" s="509">
        <v>-0.12263374485596712</v>
      </c>
      <c r="P269" s="227">
        <v>22</v>
      </c>
      <c r="Q269" s="752" t="s">
        <v>483</v>
      </c>
      <c r="R269" s="235">
        <v>45489</v>
      </c>
      <c r="S269" s="29" t="s">
        <v>62</v>
      </c>
      <c r="T269" s="29"/>
      <c r="U269" s="29"/>
      <c r="V269" s="29"/>
      <c r="W269" s="29"/>
      <c r="X269" s="29"/>
      <c r="Y269" s="14"/>
      <c r="Z269" s="14"/>
      <c r="AA269" s="14"/>
      <c r="AB269" s="14"/>
      <c r="AC269" s="14"/>
      <c r="AD269" s="29"/>
      <c r="AE269" s="29"/>
      <c r="AF269" s="29"/>
      <c r="AG269" s="29"/>
      <c r="AH269" s="25"/>
      <c r="AI269" s="25"/>
      <c r="AJ269" s="456"/>
      <c r="AK269" s="456"/>
      <c r="AL269" s="456"/>
      <c r="AM269" s="456"/>
      <c r="AN269" s="456"/>
      <c r="AO269" s="456"/>
      <c r="AP269" s="456"/>
      <c r="AQ269" s="311"/>
      <c r="AR269" s="456"/>
      <c r="AS269" s="311"/>
      <c r="AT269" s="311"/>
      <c r="AU269" s="311"/>
      <c r="AV269" s="311"/>
      <c r="AW269" s="311"/>
      <c r="AX269" s="311"/>
      <c r="AY269" s="311"/>
      <c r="AZ269" s="311"/>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row>
    <row r="270" spans="1:82" ht="15.75" customHeight="1">
      <c r="A270" s="248">
        <f t="shared" si="63"/>
        <v>51</v>
      </c>
      <c r="B270" s="1" t="s">
        <v>542</v>
      </c>
      <c r="C270" s="438" t="str">
        <f ca="1">IFERROR(__xludf.DUMMYFUNCTION("GoogleFinance(B270,""name"")"),"Expedia Group Inc")</f>
        <v>Expedia Group Inc</v>
      </c>
      <c r="D270" s="234">
        <f ca="1">IFERROR(__xludf.DUMMYFUNCTION("GoogleFinance(B270,""marketcap"")/1000000"),27572.495167)</f>
        <v>27572.495167000001</v>
      </c>
      <c r="E270" s="229" t="s">
        <v>10</v>
      </c>
      <c r="F270" s="229" t="s">
        <v>543</v>
      </c>
      <c r="G270" s="786">
        <v>45483</v>
      </c>
      <c r="H270" s="236">
        <v>137.5</v>
      </c>
      <c r="I270" s="237">
        <v>128.69999999999999</v>
      </c>
      <c r="J270" s="238">
        <v>7.770007770007771</v>
      </c>
      <c r="K270" s="249">
        <v>1000</v>
      </c>
      <c r="L270" s="249"/>
      <c r="M270" s="249">
        <v>1068.3760683760686</v>
      </c>
      <c r="N270" s="226">
        <v>-68.376068376068588</v>
      </c>
      <c r="O270" s="509">
        <v>-6.4000000000000057E-2</v>
      </c>
      <c r="P270" s="227">
        <v>6</v>
      </c>
      <c r="Q270" s="752" t="s">
        <v>483</v>
      </c>
      <c r="R270" s="235">
        <v>45489</v>
      </c>
      <c r="S270" s="29" t="s">
        <v>62</v>
      </c>
      <c r="T270" s="29"/>
      <c r="U270" s="29"/>
      <c r="V270" s="29"/>
      <c r="W270" s="29"/>
      <c r="X270" s="29"/>
      <c r="Y270" s="14"/>
      <c r="Z270" s="14"/>
      <c r="AA270" s="14"/>
      <c r="AB270" s="14"/>
      <c r="AC270" s="14"/>
      <c r="AD270" s="29"/>
      <c r="AE270" s="29"/>
      <c r="AF270" s="29"/>
      <c r="AG270" s="29"/>
      <c r="AH270" s="25"/>
      <c r="AI270" s="25"/>
      <c r="AJ270" s="456"/>
      <c r="AK270" s="456"/>
      <c r="AL270" s="456"/>
      <c r="AM270" s="456"/>
      <c r="AN270" s="456"/>
      <c r="AO270" s="456"/>
      <c r="AP270" s="456"/>
      <c r="AQ270" s="311"/>
      <c r="AR270" s="456"/>
      <c r="AS270" s="311"/>
      <c r="AT270" s="311"/>
      <c r="AU270" s="311"/>
      <c r="AV270" s="311"/>
      <c r="AW270" s="311"/>
      <c r="AX270" s="311"/>
      <c r="AY270" s="311"/>
      <c r="AZ270" s="311"/>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row>
    <row r="271" spans="1:82" ht="15.75" customHeight="1">
      <c r="A271" s="248">
        <f t="shared" si="63"/>
        <v>52</v>
      </c>
      <c r="B271" s="1" t="s">
        <v>571</v>
      </c>
      <c r="C271" s="233" t="str">
        <f ca="1">IFERROR(__xludf.DUMMYFUNCTION("GoogleFinance(B271,""name"")"),"Charles Schwab Corporation Common Stock")</f>
        <v>Charles Schwab Corporation Common Stock</v>
      </c>
      <c r="D271" s="234">
        <f ca="1">IFERROR(__xludf.DUMMYFUNCTION("GoogleFinance(B271,""marketcap"")/1000000"),173280.804078)</f>
        <v>173280.80407799999</v>
      </c>
      <c r="E271" s="229" t="s">
        <v>14</v>
      </c>
      <c r="F271" s="229" t="s">
        <v>21</v>
      </c>
      <c r="G271" s="786">
        <v>45455</v>
      </c>
      <c r="H271" s="833">
        <v>62.6</v>
      </c>
      <c r="I271" s="237">
        <v>73.44</v>
      </c>
      <c r="J271" s="238">
        <v>20</v>
      </c>
      <c r="K271" s="249">
        <v>1468.8</v>
      </c>
      <c r="L271" s="249"/>
      <c r="M271" s="239">
        <v>1252</v>
      </c>
      <c r="N271" s="226">
        <v>216.79999999999995</v>
      </c>
      <c r="O271" s="509">
        <v>0.17316293929712456</v>
      </c>
      <c r="P271" s="227">
        <v>35</v>
      </c>
      <c r="Q271" s="752" t="s">
        <v>483</v>
      </c>
      <c r="R271" s="235">
        <v>45490</v>
      </c>
      <c r="S271" s="29" t="s">
        <v>281</v>
      </c>
      <c r="T271" s="29"/>
      <c r="U271" s="29"/>
      <c r="V271" s="29"/>
      <c r="W271" s="29"/>
      <c r="X271" s="29"/>
      <c r="Y271" s="14"/>
      <c r="Z271" s="14"/>
      <c r="AA271" s="14"/>
      <c r="AB271" s="14"/>
      <c r="AC271" s="14"/>
      <c r="AD271" s="29"/>
      <c r="AE271" s="29"/>
      <c r="AF271" s="29"/>
      <c r="AG271" s="29"/>
      <c r="AH271" s="25"/>
      <c r="AI271" s="25"/>
      <c r="AJ271" s="456"/>
      <c r="AK271" s="456"/>
      <c r="AL271" s="456"/>
      <c r="AM271" s="456"/>
      <c r="AN271" s="456"/>
      <c r="AO271" s="456"/>
      <c r="AP271" s="456"/>
      <c r="AQ271" s="311"/>
      <c r="AR271" s="456"/>
      <c r="AS271" s="311"/>
      <c r="AT271" s="311"/>
      <c r="AU271" s="311"/>
      <c r="AV271" s="311"/>
      <c r="AW271" s="311"/>
      <c r="AX271" s="311"/>
      <c r="AY271" s="311"/>
      <c r="AZ271" s="311"/>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row>
    <row r="272" spans="1:82" ht="15.75" customHeight="1">
      <c r="A272" s="248">
        <f t="shared" si="63"/>
        <v>53</v>
      </c>
      <c r="B272" s="1" t="s">
        <v>98</v>
      </c>
      <c r="C272" s="233" t="str">
        <f ca="1">IFERROR(__xludf.DUMMYFUNCTION("GoogleFinance(B272,""name"")"),"Crowdstrike Holdings Inc")</f>
        <v>Crowdstrike Holdings Inc</v>
      </c>
      <c r="D272" s="234">
        <f ca="1">IFERROR(__xludf.DUMMYFUNCTION("GoogleFinance(B272,""marketcap"")/1000000"),120814.855753)</f>
        <v>120814.855753</v>
      </c>
      <c r="E272" s="246" t="s">
        <v>7</v>
      </c>
      <c r="F272" s="246" t="s">
        <v>99</v>
      </c>
      <c r="G272" s="230">
        <v>45489</v>
      </c>
      <c r="H272" s="833">
        <v>280</v>
      </c>
      <c r="I272" s="506">
        <v>301.5</v>
      </c>
      <c r="J272" s="507">
        <v>6.6334991708126037</v>
      </c>
      <c r="K272" s="249">
        <v>2000</v>
      </c>
      <c r="L272" s="249"/>
      <c r="M272" s="249">
        <v>1857.3797678275291</v>
      </c>
      <c r="N272" s="508">
        <v>-142.62023217247088</v>
      </c>
      <c r="O272" s="509">
        <v>-7.1310116086235498E-2</v>
      </c>
      <c r="P272" s="227">
        <v>6</v>
      </c>
      <c r="Q272" s="752" t="s">
        <v>431</v>
      </c>
      <c r="R272" s="235">
        <v>45495</v>
      </c>
      <c r="S272" s="29" t="s">
        <v>62</v>
      </c>
      <c r="T272" s="29"/>
      <c r="U272" s="29"/>
      <c r="V272" s="29"/>
      <c r="W272" s="29"/>
      <c r="X272" s="29"/>
      <c r="Y272" s="14"/>
      <c r="Z272" s="14"/>
      <c r="AA272" s="14"/>
      <c r="AB272" s="14"/>
      <c r="AC272" s="14"/>
      <c r="AD272" s="29"/>
      <c r="AE272" s="29"/>
      <c r="AF272" s="29"/>
      <c r="AG272" s="29"/>
      <c r="AH272" s="25"/>
      <c r="AI272" s="25"/>
      <c r="AJ272" s="456"/>
      <c r="AK272" s="456"/>
      <c r="AL272" s="456"/>
      <c r="AM272" s="456"/>
      <c r="AN272" s="456"/>
      <c r="AO272" s="456"/>
      <c r="AP272" s="456"/>
      <c r="AQ272" s="311"/>
      <c r="AR272" s="456"/>
      <c r="AS272" s="311"/>
      <c r="AT272" s="311"/>
      <c r="AU272" s="311"/>
      <c r="AV272" s="311"/>
      <c r="AW272" s="311"/>
      <c r="AX272" s="311"/>
      <c r="AY272" s="311"/>
      <c r="AZ272" s="311"/>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row>
    <row r="273" spans="1:82" ht="15.75" customHeight="1">
      <c r="A273" s="248">
        <f t="shared" si="63"/>
        <v>54</v>
      </c>
      <c r="B273" s="1" t="s">
        <v>572</v>
      </c>
      <c r="C273" s="233" t="str">
        <f ca="1">IFERROR(__xludf.DUMMYFUNCTION("GoogleFinance(B273,""name"")"),"Vermilion Energy Inc")</f>
        <v>Vermilion Energy Inc</v>
      </c>
      <c r="D273" s="234">
        <f ca="1">IFERROR(__xludf.DUMMYFUNCTION("GoogleFinance(B273,""marketcap"")/1000000"),1831.758)</f>
        <v>1831.758</v>
      </c>
      <c r="E273" s="246" t="s">
        <v>15</v>
      </c>
      <c r="F273" s="246" t="s">
        <v>42</v>
      </c>
      <c r="G273" s="230">
        <v>45463</v>
      </c>
      <c r="H273" s="833">
        <v>10.3</v>
      </c>
      <c r="I273" s="506">
        <v>11.3</v>
      </c>
      <c r="J273" s="507">
        <v>176.99115044247787</v>
      </c>
      <c r="K273" s="249">
        <v>2000</v>
      </c>
      <c r="L273" s="249"/>
      <c r="M273" s="249">
        <v>1823.0088495575221</v>
      </c>
      <c r="N273" s="508">
        <v>-176.99115044247787</v>
      </c>
      <c r="O273" s="509">
        <v>-8.8495575221238965E-2</v>
      </c>
      <c r="P273" s="227">
        <v>40</v>
      </c>
      <c r="Q273" s="752" t="s">
        <v>431</v>
      </c>
      <c r="R273" s="235">
        <v>45503</v>
      </c>
      <c r="S273" s="29" t="s">
        <v>62</v>
      </c>
      <c r="T273" s="29"/>
      <c r="U273" s="29"/>
      <c r="V273" s="29"/>
      <c r="W273" s="29"/>
      <c r="X273" s="29"/>
      <c r="Y273" s="14"/>
      <c r="Z273" s="14"/>
      <c r="AA273" s="14"/>
      <c r="AB273" s="14"/>
      <c r="AC273" s="14"/>
      <c r="AD273" s="29"/>
      <c r="AE273" s="29"/>
      <c r="AF273" s="29"/>
      <c r="AG273" s="29"/>
      <c r="AH273" s="25"/>
      <c r="AI273" s="25"/>
      <c r="AJ273" s="456"/>
      <c r="AK273" s="456"/>
      <c r="AL273" s="456"/>
      <c r="AM273" s="456"/>
      <c r="AN273" s="456"/>
      <c r="AO273" s="456"/>
      <c r="AP273" s="456"/>
      <c r="AQ273" s="311"/>
      <c r="AR273" s="456"/>
      <c r="AS273" s="311"/>
      <c r="AT273" s="311"/>
      <c r="AU273" s="311"/>
      <c r="AV273" s="311"/>
      <c r="AW273" s="311"/>
      <c r="AX273" s="311"/>
      <c r="AY273" s="311"/>
      <c r="AZ273" s="311"/>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row>
    <row r="274" spans="1:82" ht="15.75" customHeight="1">
      <c r="A274" s="248">
        <f t="shared" si="63"/>
        <v>55</v>
      </c>
      <c r="B274" s="28" t="s">
        <v>441</v>
      </c>
      <c r="C274" s="510" t="str">
        <f ca="1">IFERROR(__xludf.DUMMYFUNCTION("GoogleFinance(B274,""name"")"),"Advanced Micro Devices Inc")</f>
        <v>Advanced Micro Devices Inc</v>
      </c>
      <c r="D274" s="511">
        <f ca="1">IFERROR(__xludf.DUMMYFUNCTION("GoogleFinance(B274,""marketcap"")/1000000"),258778.555675)</f>
        <v>258778.55567500001</v>
      </c>
      <c r="E274" s="743" t="s">
        <v>7</v>
      </c>
      <c r="F274" s="743" t="s">
        <v>23</v>
      </c>
      <c r="G274" s="744">
        <v>45503</v>
      </c>
      <c r="H274" s="840">
        <v>151.5</v>
      </c>
      <c r="I274" s="746">
        <v>137.38</v>
      </c>
      <c r="J274" s="747">
        <v>20</v>
      </c>
      <c r="K274" s="748">
        <v>2747.6</v>
      </c>
      <c r="L274" s="748"/>
      <c r="M274" s="748">
        <v>3030</v>
      </c>
      <c r="N274" s="749">
        <v>282.40000000000009</v>
      </c>
      <c r="O274" s="750">
        <v>0.10278060853108162</v>
      </c>
      <c r="P274" s="227">
        <v>1</v>
      </c>
      <c r="Q274" s="752" t="s">
        <v>431</v>
      </c>
      <c r="R274" s="235">
        <v>45504</v>
      </c>
      <c r="S274" s="29" t="s">
        <v>281</v>
      </c>
      <c r="T274" s="29"/>
      <c r="U274" s="29"/>
      <c r="V274" s="29"/>
      <c r="W274" s="29"/>
      <c r="X274" s="29"/>
      <c r="Y274" s="14"/>
      <c r="Z274" s="14"/>
      <c r="AA274" s="14"/>
      <c r="AB274" s="14"/>
      <c r="AC274" s="14"/>
      <c r="AD274" s="29"/>
      <c r="AE274" s="29"/>
      <c r="AF274" s="29"/>
      <c r="AG274" s="29"/>
      <c r="AH274" s="25"/>
      <c r="AI274" s="25"/>
      <c r="AJ274" s="456"/>
      <c r="AK274" s="456"/>
      <c r="AL274" s="456"/>
      <c r="AM274" s="456"/>
      <c r="AN274" s="456"/>
      <c r="AO274" s="456"/>
      <c r="AP274" s="456"/>
      <c r="AQ274" s="311"/>
      <c r="AR274" s="456"/>
      <c r="AS274" s="311"/>
      <c r="AT274" s="311"/>
      <c r="AU274" s="311"/>
      <c r="AV274" s="311"/>
      <c r="AW274" s="311"/>
      <c r="AX274" s="311"/>
      <c r="AY274" s="311"/>
      <c r="AZ274" s="311"/>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row>
    <row r="275" spans="1:82" ht="15.75" customHeight="1">
      <c r="A275" s="248">
        <f t="shared" si="63"/>
        <v>56</v>
      </c>
      <c r="B275" s="28" t="s">
        <v>441</v>
      </c>
      <c r="C275" s="510" t="str">
        <f ca="1">IFERROR(__xludf.DUMMYFUNCTION("GoogleFinance(B275,""name"")"),"Advanced Micro Devices Inc")</f>
        <v>Advanced Micro Devices Inc</v>
      </c>
      <c r="D275" s="511">
        <f ca="1">IFERROR(__xludf.DUMMYFUNCTION("GoogleFinance(B275,""marketcap"")/1000000"),258778.555675)</f>
        <v>258778.55567500001</v>
      </c>
      <c r="E275" s="743" t="s">
        <v>7</v>
      </c>
      <c r="F275" s="743" t="s">
        <v>23</v>
      </c>
      <c r="G275" s="744">
        <v>45503</v>
      </c>
      <c r="H275" s="840">
        <v>133</v>
      </c>
      <c r="I275" s="746">
        <v>137.38</v>
      </c>
      <c r="J275" s="747">
        <v>16.399999999999999</v>
      </c>
      <c r="K275" s="748">
        <v>2253.0319999999997</v>
      </c>
      <c r="L275" s="748"/>
      <c r="M275" s="748">
        <v>2181.1999999999998</v>
      </c>
      <c r="N275" s="749">
        <v>-71.83199999999988</v>
      </c>
      <c r="O275" s="750">
        <v>-3.1882370068423316E-2</v>
      </c>
      <c r="P275" s="227">
        <v>2</v>
      </c>
      <c r="Q275" s="752" t="s">
        <v>431</v>
      </c>
      <c r="R275" s="235">
        <v>45505</v>
      </c>
      <c r="S275" s="29" t="s">
        <v>62</v>
      </c>
      <c r="T275" s="29"/>
      <c r="U275" s="29"/>
      <c r="V275" s="29"/>
      <c r="W275" s="29"/>
      <c r="X275" s="29"/>
      <c r="Y275" s="14"/>
      <c r="Z275" s="14"/>
      <c r="AA275" s="14"/>
      <c r="AB275" s="14"/>
      <c r="AC275" s="14"/>
      <c r="AD275" s="29"/>
      <c r="AE275" s="29"/>
      <c r="AF275" s="29"/>
      <c r="AG275" s="29"/>
      <c r="AH275" s="25"/>
      <c r="AI275" s="25"/>
      <c r="AJ275" s="456"/>
      <c r="AK275" s="456"/>
      <c r="AL275" s="456"/>
      <c r="AM275" s="456"/>
      <c r="AN275" s="456"/>
      <c r="AO275" s="456"/>
      <c r="AP275" s="456"/>
      <c r="AQ275" s="311"/>
      <c r="AR275" s="456"/>
      <c r="AS275" s="311"/>
      <c r="AT275" s="311"/>
      <c r="AU275" s="311"/>
      <c r="AV275" s="311"/>
      <c r="AW275" s="311"/>
      <c r="AX275" s="311"/>
      <c r="AY275" s="311"/>
      <c r="AZ275" s="311"/>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row>
    <row r="276" spans="1:82" ht="15.75" customHeight="1">
      <c r="A276" s="248">
        <f t="shared" si="63"/>
        <v>57</v>
      </c>
      <c r="B276" s="28" t="s">
        <v>510</v>
      </c>
      <c r="C276" s="510" t="str">
        <f ca="1">IFERROR(__xludf.DUMMYFUNCTION("GoogleFinance(B276,""name"")"),"Moderna Inc")</f>
        <v>Moderna Inc</v>
      </c>
      <c r="D276" s="511">
        <f ca="1">IFERROR(__xludf.DUMMYFUNCTION("GoogleFinance(B276,""marketcap"")/1000000"),9528.561763)</f>
        <v>9528.5617629999997</v>
      </c>
      <c r="E276" s="743" t="s">
        <v>17</v>
      </c>
      <c r="F276" s="743" t="s">
        <v>301</v>
      </c>
      <c r="G276" s="744">
        <v>45505</v>
      </c>
      <c r="H276" s="840">
        <v>94</v>
      </c>
      <c r="I276" s="746">
        <v>101.1</v>
      </c>
      <c r="J276" s="747">
        <v>9.8911968348170127</v>
      </c>
      <c r="K276" s="748">
        <v>999.99999999999989</v>
      </c>
      <c r="L276" s="748"/>
      <c r="M276" s="748">
        <v>929.77250247279915</v>
      </c>
      <c r="N276" s="749">
        <v>-70.22749752720074</v>
      </c>
      <c r="O276" s="750">
        <v>-7.02274975272007E-2</v>
      </c>
      <c r="P276" s="751">
        <v>4</v>
      </c>
      <c r="Q276" s="752" t="s">
        <v>431</v>
      </c>
      <c r="R276" s="235">
        <v>45505</v>
      </c>
      <c r="S276" s="29" t="s">
        <v>62</v>
      </c>
      <c r="T276" s="29"/>
      <c r="U276" s="29"/>
      <c r="V276" s="29"/>
      <c r="W276" s="29"/>
      <c r="X276" s="29"/>
      <c r="Y276" s="14"/>
      <c r="Z276" s="14"/>
      <c r="AA276" s="14"/>
      <c r="AB276" s="14"/>
      <c r="AC276" s="14"/>
      <c r="AD276" s="29"/>
      <c r="AE276" s="29"/>
      <c r="AF276" s="29"/>
      <c r="AG276" s="29"/>
      <c r="AH276" s="25"/>
      <c r="AI276" s="25"/>
      <c r="AJ276" s="456"/>
      <c r="AK276" s="456"/>
      <c r="AL276" s="456"/>
      <c r="AM276" s="456"/>
      <c r="AN276" s="456"/>
      <c r="AO276" s="456"/>
      <c r="AP276" s="456"/>
      <c r="AQ276" s="311"/>
      <c r="AR276" s="456"/>
      <c r="AS276" s="311"/>
      <c r="AT276" s="311"/>
      <c r="AU276" s="311"/>
      <c r="AV276" s="311"/>
      <c r="AW276" s="311"/>
      <c r="AX276" s="311"/>
      <c r="AY276" s="311"/>
      <c r="AZ276" s="311"/>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row>
    <row r="277" spans="1:82" ht="15.75" customHeight="1">
      <c r="A277" s="248">
        <f t="shared" si="63"/>
        <v>58</v>
      </c>
      <c r="B277" s="1" t="s">
        <v>573</v>
      </c>
      <c r="C277" s="233" t="str">
        <f ca="1">IFERROR(__xludf.DUMMYFUNCTION("GoogleFinance(B277,""name"")"),"Banco Macro SA ADR Class B")</f>
        <v>Banco Macro SA ADR Class B</v>
      </c>
      <c r="D277" s="234">
        <f ca="1">IFERROR(__xludf.DUMMYFUNCTION("GoogleFinance(B277,""marketcap"")/1000000"),2971.827539)</f>
        <v>2971.8275389999999</v>
      </c>
      <c r="E277" s="246" t="s">
        <v>14</v>
      </c>
      <c r="F277" s="246" t="s">
        <v>21</v>
      </c>
      <c r="G277" s="230">
        <v>45489</v>
      </c>
      <c r="H277" s="833">
        <v>50</v>
      </c>
      <c r="I277" s="506">
        <v>53.5</v>
      </c>
      <c r="J277" s="507">
        <v>74.766355140186917</v>
      </c>
      <c r="K277" s="249">
        <v>4000</v>
      </c>
      <c r="L277" s="249"/>
      <c r="M277" s="249">
        <v>3738.3177570093458</v>
      </c>
      <c r="N277" s="508">
        <v>-261.68224299065423</v>
      </c>
      <c r="O277" s="509">
        <v>-6.5420560747663559E-2</v>
      </c>
      <c r="P277" s="626">
        <v>20</v>
      </c>
      <c r="Q277" s="752" t="s">
        <v>431</v>
      </c>
      <c r="R277" s="235">
        <v>45506</v>
      </c>
      <c r="S277" s="29" t="s">
        <v>62</v>
      </c>
      <c r="T277" s="29"/>
      <c r="U277" s="29"/>
      <c r="V277" s="29"/>
      <c r="W277" s="29"/>
      <c r="X277" s="29"/>
      <c r="Y277" s="14"/>
      <c r="Z277" s="14"/>
      <c r="AA277" s="14"/>
      <c r="AB277" s="14"/>
      <c r="AC277" s="14"/>
      <c r="AD277" s="29"/>
      <c r="AE277" s="29"/>
      <c r="AF277" s="29"/>
      <c r="AG277" s="29"/>
      <c r="AH277" s="25"/>
      <c r="AI277" s="25"/>
      <c r="AJ277" s="456"/>
      <c r="AK277" s="456"/>
      <c r="AL277" s="456"/>
      <c r="AM277" s="456"/>
      <c r="AN277" s="456"/>
      <c r="AO277" s="456"/>
      <c r="AP277" s="456"/>
      <c r="AQ277" s="311"/>
      <c r="AR277" s="456"/>
      <c r="AS277" s="311"/>
      <c r="AT277" s="311"/>
      <c r="AU277" s="311"/>
      <c r="AV277" s="311"/>
      <c r="AW277" s="311"/>
      <c r="AX277" s="311"/>
      <c r="AY277" s="311"/>
      <c r="AZ277" s="311"/>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row>
    <row r="278" spans="1:82" ht="15.75" customHeight="1">
      <c r="A278" s="248">
        <f t="shared" si="63"/>
        <v>59</v>
      </c>
      <c r="B278" s="1" t="s">
        <v>461</v>
      </c>
      <c r="C278" s="233" t="str">
        <f ca="1">IFERROR(__xludf.DUMMYFUNCTION("GoogleFinance(B278,""name"")"),"Boeing Co")</f>
        <v>Boeing Co</v>
      </c>
      <c r="D278" s="234">
        <f ca="1">IFERROR(__xludf.DUMMYFUNCTION("GoogleFinance(B278,""marketcap"")/1000000"),167307.4928)</f>
        <v>167307.49280000001</v>
      </c>
      <c r="E278" s="246" t="s">
        <v>11</v>
      </c>
      <c r="F278" s="246" t="s">
        <v>362</v>
      </c>
      <c r="G278" s="230">
        <v>45498</v>
      </c>
      <c r="H278" s="833">
        <v>172</v>
      </c>
      <c r="I278" s="506">
        <v>186.6</v>
      </c>
      <c r="J278" s="507">
        <v>16.077170418006432</v>
      </c>
      <c r="K278" s="249">
        <v>3000</v>
      </c>
      <c r="L278" s="249"/>
      <c r="M278" s="249">
        <v>2765.2733118971064</v>
      </c>
      <c r="N278" s="508">
        <v>-234.7266881028936</v>
      </c>
      <c r="O278" s="509">
        <v>-7.8242229367631255E-2</v>
      </c>
      <c r="P278" s="626">
        <v>11</v>
      </c>
      <c r="Q278" s="752" t="s">
        <v>431</v>
      </c>
      <c r="R278" s="235">
        <v>45506</v>
      </c>
      <c r="S278" s="29" t="s">
        <v>62</v>
      </c>
      <c r="T278" s="29"/>
      <c r="U278" s="29"/>
      <c r="V278" s="29"/>
      <c r="W278" s="29"/>
      <c r="X278" s="29"/>
      <c r="Y278" s="14"/>
      <c r="Z278" s="14"/>
      <c r="AA278" s="14"/>
      <c r="AB278" s="14"/>
      <c r="AC278" s="14"/>
      <c r="AD278" s="29"/>
      <c r="AE278" s="29"/>
      <c r="AF278" s="29"/>
      <c r="AG278" s="29"/>
      <c r="AH278" s="25"/>
      <c r="AI278" s="25"/>
      <c r="AJ278" s="456"/>
      <c r="AK278" s="456"/>
      <c r="AL278" s="456"/>
      <c r="AM278" s="456"/>
      <c r="AN278" s="456"/>
      <c r="AO278" s="456"/>
      <c r="AP278" s="456"/>
      <c r="AQ278" s="311"/>
      <c r="AR278" s="456"/>
      <c r="AS278" s="311"/>
      <c r="AT278" s="311"/>
      <c r="AU278" s="311"/>
      <c r="AV278" s="311"/>
      <c r="AW278" s="311"/>
      <c r="AX278" s="311"/>
      <c r="AY278" s="311"/>
      <c r="AZ278" s="311"/>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row>
    <row r="279" spans="1:82" ht="15.75" customHeight="1">
      <c r="A279" s="248">
        <f t="shared" si="63"/>
        <v>60</v>
      </c>
      <c r="B279" s="1" t="s">
        <v>132</v>
      </c>
      <c r="C279" s="233" t="str">
        <f ca="1">IFERROR(__xludf.DUMMYFUNCTION("GoogleFinance(B279,""name"")"),"MercadoLibre Inc")</f>
        <v>MercadoLibre Inc</v>
      </c>
      <c r="D279" s="234">
        <f ca="1">IFERROR(__xludf.DUMMYFUNCTION("GoogleFinance(B279,""marketcap"")/1000000"),125142.37341)</f>
        <v>125142.37341</v>
      </c>
      <c r="E279" s="229" t="s">
        <v>10</v>
      </c>
      <c r="F279" s="229" t="s">
        <v>24</v>
      </c>
      <c r="G279" s="786">
        <v>45415</v>
      </c>
      <c r="H279" s="833">
        <v>1700</v>
      </c>
      <c r="I279" s="237">
        <v>1648</v>
      </c>
      <c r="J279" s="238">
        <v>1.8203883495145632</v>
      </c>
      <c r="K279" s="239">
        <v>3000</v>
      </c>
      <c r="L279" s="239"/>
      <c r="M279" s="239">
        <f>J279*H279</f>
        <v>3094.6601941747576</v>
      </c>
      <c r="N279" s="226">
        <f>K279-M279</f>
        <v>-94.660194174757635</v>
      </c>
      <c r="O279" s="509">
        <f t="shared" ref="O279:O283" si="64">I279/H279-1</f>
        <v>-3.0588235294117694E-2</v>
      </c>
      <c r="P279" s="626">
        <f t="shared" ref="P279:P307" si="65">R279-G279</f>
        <v>94</v>
      </c>
      <c r="Q279" s="752" t="s">
        <v>483</v>
      </c>
      <c r="R279" s="235">
        <v>45509</v>
      </c>
      <c r="S279" s="29" t="s">
        <v>574</v>
      </c>
      <c r="T279" s="29"/>
      <c r="U279" s="29"/>
      <c r="V279" s="29"/>
      <c r="W279" s="29"/>
      <c r="X279" s="29"/>
      <c r="Y279" s="14"/>
      <c r="Z279" s="14"/>
      <c r="AA279" s="14"/>
      <c r="AB279" s="14"/>
      <c r="AC279" s="14"/>
      <c r="AD279" s="29"/>
      <c r="AE279" s="29"/>
      <c r="AF279" s="29"/>
      <c r="AG279" s="29"/>
      <c r="AH279" s="25"/>
      <c r="AI279" s="25"/>
      <c r="AJ279" s="456"/>
      <c r="AK279" s="456"/>
      <c r="AL279" s="456"/>
      <c r="AM279" s="456"/>
      <c r="AN279" s="456"/>
      <c r="AO279" s="456"/>
      <c r="AP279" s="456"/>
      <c r="AQ279" s="311"/>
      <c r="AR279" s="456"/>
      <c r="AS279" s="311"/>
      <c r="AT279" s="311"/>
      <c r="AU279" s="311"/>
      <c r="AV279" s="311"/>
      <c r="AW279" s="311"/>
      <c r="AX279" s="311"/>
      <c r="AY279" s="311"/>
      <c r="AZ279" s="311"/>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row>
    <row r="280" spans="1:82" ht="15.75" customHeight="1">
      <c r="A280" s="248">
        <f t="shared" si="63"/>
        <v>61</v>
      </c>
      <c r="B280" s="1" t="s">
        <v>541</v>
      </c>
      <c r="C280" s="233" t="str">
        <f ca="1">IFERROR(__xludf.DUMMYFUNCTION("GoogleFinance(B280,""name"")"),"Caterpillar Inc")</f>
        <v>Caterpillar Inc</v>
      </c>
      <c r="D280" s="234">
        <f ca="1">IFERROR(__xludf.DUMMYFUNCTION("GoogleFinance(B280,""marketcap"")/1000000"),218198.690462)</f>
        <v>218198.690462</v>
      </c>
      <c r="E280" s="229" t="s">
        <v>11</v>
      </c>
      <c r="F280" s="229" t="s">
        <v>485</v>
      </c>
      <c r="G280" s="230">
        <v>45435</v>
      </c>
      <c r="H280" s="833">
        <v>312</v>
      </c>
      <c r="I280" s="237">
        <v>355.93</v>
      </c>
      <c r="J280" s="238">
        <v>8.4286236057651784</v>
      </c>
      <c r="K280" s="239">
        <f t="shared" ref="K280:K283" si="66">J280*H280</f>
        <v>2629.7305649987356</v>
      </c>
      <c r="L280" s="239"/>
      <c r="M280" s="239">
        <v>3000</v>
      </c>
      <c r="N280" s="226">
        <f t="shared" ref="N280:N330" si="67">M280-K280</f>
        <v>370.26943500126436</v>
      </c>
      <c r="O280" s="509">
        <f t="shared" si="64"/>
        <v>0.14080128205128206</v>
      </c>
      <c r="P280" s="626">
        <f t="shared" si="65"/>
        <v>74</v>
      </c>
      <c r="Q280" s="752" t="s">
        <v>483</v>
      </c>
      <c r="R280" s="235">
        <v>45509</v>
      </c>
      <c r="S280" s="29" t="s">
        <v>574</v>
      </c>
      <c r="T280" s="29"/>
      <c r="U280" s="29"/>
      <c r="V280" s="29"/>
      <c r="W280" s="29"/>
      <c r="X280" s="29"/>
      <c r="Y280" s="14"/>
      <c r="Z280" s="14"/>
      <c r="AA280" s="14"/>
      <c r="AB280" s="14"/>
      <c r="AC280" s="14"/>
      <c r="AD280" s="29"/>
      <c r="AE280" s="29"/>
      <c r="AF280" s="29"/>
      <c r="AG280" s="29"/>
      <c r="AH280" s="25"/>
      <c r="AI280" s="25"/>
      <c r="AJ280" s="456"/>
      <c r="AK280" s="456"/>
      <c r="AL280" s="456"/>
      <c r="AM280" s="456"/>
      <c r="AN280" s="456"/>
      <c r="AO280" s="456"/>
      <c r="AP280" s="456"/>
      <c r="AQ280" s="311"/>
      <c r="AR280" s="456"/>
      <c r="AS280" s="311"/>
      <c r="AT280" s="311"/>
      <c r="AU280" s="311"/>
      <c r="AV280" s="311"/>
      <c r="AW280" s="311"/>
      <c r="AX280" s="311"/>
      <c r="AY280" s="311"/>
      <c r="AZ280" s="311"/>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row>
    <row r="281" spans="1:82" ht="15.75" customHeight="1">
      <c r="A281" s="248">
        <f t="shared" si="63"/>
        <v>62</v>
      </c>
      <c r="B281" s="1" t="s">
        <v>575</v>
      </c>
      <c r="C281" s="233" t="str">
        <f ca="1">IFERROR(__xludf.DUMMYFUNCTION("GoogleFinance(B281,""name"")"),"RH")</f>
        <v>RH</v>
      </c>
      <c r="D281" s="234">
        <f ca="1">IFERROR(__xludf.DUMMYFUNCTION("GoogleFinance(B281,""marketcap"")/1000000"),3795.87465)</f>
        <v>3795.8746500000002</v>
      </c>
      <c r="E281" s="229" t="s">
        <v>10</v>
      </c>
      <c r="F281" s="229" t="s">
        <v>576</v>
      </c>
      <c r="G281" s="786">
        <v>45429</v>
      </c>
      <c r="H281" s="833">
        <v>237</v>
      </c>
      <c r="I281" s="237">
        <v>283.8</v>
      </c>
      <c r="J281" s="238">
        <v>14.09443269908386</v>
      </c>
      <c r="K281" s="239">
        <f t="shared" si="66"/>
        <v>3340.380549682875</v>
      </c>
      <c r="L281" s="239"/>
      <c r="M281" s="239">
        <v>4000</v>
      </c>
      <c r="N281" s="226">
        <f t="shared" si="67"/>
        <v>659.61945031712503</v>
      </c>
      <c r="O281" s="509">
        <f t="shared" si="64"/>
        <v>0.19746835443037969</v>
      </c>
      <c r="P281" s="626">
        <f t="shared" si="65"/>
        <v>80</v>
      </c>
      <c r="Q281" s="752" t="s">
        <v>483</v>
      </c>
      <c r="R281" s="235">
        <v>45509</v>
      </c>
      <c r="S281" s="29" t="s">
        <v>574</v>
      </c>
      <c r="T281" s="29"/>
      <c r="U281" s="29"/>
      <c r="V281" s="29"/>
      <c r="W281" s="29"/>
      <c r="X281" s="29"/>
      <c r="Y281" s="14"/>
      <c r="Z281" s="14"/>
      <c r="AA281" s="14"/>
      <c r="AB281" s="14"/>
      <c r="AC281" s="14"/>
      <c r="AD281" s="29"/>
      <c r="AE281" s="29"/>
      <c r="AF281" s="29"/>
      <c r="AG281" s="29"/>
      <c r="AH281" s="25"/>
      <c r="AI281" s="25"/>
      <c r="AJ281" s="456"/>
      <c r="AK281" s="456"/>
      <c r="AL281" s="456"/>
      <c r="AM281" s="456"/>
      <c r="AN281" s="456"/>
      <c r="AO281" s="456"/>
      <c r="AP281" s="456"/>
      <c r="AQ281" s="311"/>
      <c r="AR281" s="456"/>
      <c r="AS281" s="311"/>
      <c r="AT281" s="311"/>
      <c r="AU281" s="311"/>
      <c r="AV281" s="311"/>
      <c r="AW281" s="311"/>
      <c r="AX281" s="311"/>
      <c r="AY281" s="311"/>
      <c r="AZ281" s="311"/>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row>
    <row r="282" spans="1:82" ht="15.75" customHeight="1">
      <c r="A282" s="248">
        <f t="shared" si="63"/>
        <v>63</v>
      </c>
      <c r="B282" s="1" t="s">
        <v>571</v>
      </c>
      <c r="C282" s="233" t="str">
        <f ca="1">IFERROR(__xludf.DUMMYFUNCTION("GoogleFinance(B282,""name"")"),"Charles Schwab Corporation Common Stock")</f>
        <v>Charles Schwab Corporation Common Stock</v>
      </c>
      <c r="D282" s="234">
        <f ca="1">IFERROR(__xludf.DUMMYFUNCTION("GoogleFinance(B282,""marketcap"")/1000000"),173280.804078)</f>
        <v>173280.80407799999</v>
      </c>
      <c r="E282" s="229" t="s">
        <v>14</v>
      </c>
      <c r="F282" s="229" t="s">
        <v>21</v>
      </c>
      <c r="G282" s="786">
        <v>45455</v>
      </c>
      <c r="H282" s="833">
        <v>61.5</v>
      </c>
      <c r="I282" s="237">
        <v>73.44</v>
      </c>
      <c r="J282" s="238">
        <v>50</v>
      </c>
      <c r="K282" s="239">
        <f t="shared" si="66"/>
        <v>3075</v>
      </c>
      <c r="L282" s="239"/>
      <c r="M282" s="239">
        <v>3672</v>
      </c>
      <c r="N282" s="226">
        <f t="shared" si="67"/>
        <v>597</v>
      </c>
      <c r="O282" s="509">
        <f t="shared" si="64"/>
        <v>0.19414634146341458</v>
      </c>
      <c r="P282" s="626">
        <f t="shared" si="65"/>
        <v>54</v>
      </c>
      <c r="Q282" s="752" t="s">
        <v>483</v>
      </c>
      <c r="R282" s="235">
        <v>45509</v>
      </c>
      <c r="S282" s="29" t="s">
        <v>574</v>
      </c>
      <c r="T282" s="29"/>
      <c r="U282" s="29"/>
      <c r="V282" s="29"/>
      <c r="W282" s="29"/>
      <c r="X282" s="29"/>
      <c r="Y282" s="14"/>
      <c r="Z282" s="14"/>
      <c r="AA282" s="14"/>
      <c r="AB282" s="14"/>
      <c r="AC282" s="14"/>
      <c r="AD282" s="29"/>
      <c r="AE282" s="29"/>
      <c r="AF282" s="29"/>
      <c r="AG282" s="29"/>
      <c r="AH282" s="25"/>
      <c r="AI282" s="25"/>
      <c r="AJ282" s="456"/>
      <c r="AK282" s="456"/>
      <c r="AL282" s="456"/>
      <c r="AM282" s="456"/>
      <c r="AN282" s="456"/>
      <c r="AO282" s="456"/>
      <c r="AP282" s="456"/>
      <c r="AQ282" s="311"/>
      <c r="AR282" s="456"/>
      <c r="AS282" s="311"/>
      <c r="AT282" s="311"/>
      <c r="AU282" s="311"/>
      <c r="AV282" s="311"/>
      <c r="AW282" s="311"/>
      <c r="AX282" s="311"/>
      <c r="AY282" s="311"/>
      <c r="AZ282" s="311"/>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row>
    <row r="283" spans="1:82" ht="15.75" customHeight="1">
      <c r="A283" s="248">
        <f t="shared" si="63"/>
        <v>64</v>
      </c>
      <c r="B283" s="1" t="s">
        <v>363</v>
      </c>
      <c r="C283" s="233" t="str">
        <f ca="1">IFERROR(__xludf.DUMMYFUNCTION("GoogleFinance(B283,""name"")"),"Adobe Inc")</f>
        <v>Adobe Inc</v>
      </c>
      <c r="D283" s="234">
        <f ca="1">IFERROR(__xludf.DUMMYFUNCTION("GoogleFinance(B283,""marketcap"")/1000000"),150850.879956)</f>
        <v>150850.87995599999</v>
      </c>
      <c r="E283" s="229" t="s">
        <v>7</v>
      </c>
      <c r="F283" s="229" t="s">
        <v>577</v>
      </c>
      <c r="G283" s="786">
        <v>45484</v>
      </c>
      <c r="H283" s="833">
        <v>506</v>
      </c>
      <c r="I283" s="237">
        <v>559.4</v>
      </c>
      <c r="J283" s="238">
        <v>5.3628888094386848</v>
      </c>
      <c r="K283" s="239">
        <f t="shared" si="66"/>
        <v>2713.6217375759747</v>
      </c>
      <c r="L283" s="239"/>
      <c r="M283" s="239">
        <v>3000</v>
      </c>
      <c r="N283" s="226">
        <f t="shared" si="67"/>
        <v>286.37826242402525</v>
      </c>
      <c r="O283" s="509">
        <f t="shared" si="64"/>
        <v>0.10553359683794472</v>
      </c>
      <c r="P283" s="626">
        <f t="shared" si="65"/>
        <v>25</v>
      </c>
      <c r="Q283" s="752" t="s">
        <v>483</v>
      </c>
      <c r="R283" s="235">
        <v>45509</v>
      </c>
      <c r="S283" s="29" t="s">
        <v>574</v>
      </c>
      <c r="T283" s="29"/>
      <c r="U283" s="29"/>
      <c r="V283" s="29"/>
      <c r="W283" s="29"/>
      <c r="X283" s="29"/>
      <c r="Y283" s="14"/>
      <c r="Z283" s="14"/>
      <c r="AA283" s="14"/>
      <c r="AB283" s="14"/>
      <c r="AC283" s="14"/>
      <c r="AD283" s="29"/>
      <c r="AE283" s="29"/>
      <c r="AF283" s="29"/>
      <c r="AG283" s="29"/>
      <c r="AH283" s="14"/>
      <c r="AI283" s="14"/>
      <c r="AJ283" s="456"/>
      <c r="AK283" s="332"/>
      <c r="AL283" s="456"/>
      <c r="AM283" s="332"/>
      <c r="AN283" s="456"/>
      <c r="AO283" s="332"/>
      <c r="AP283" s="456"/>
      <c r="AQ283" s="28"/>
      <c r="AR283" s="456"/>
      <c r="AS283" s="28"/>
      <c r="AT283" s="28"/>
      <c r="AU283" s="28"/>
      <c r="AV283" s="28"/>
      <c r="AW283" s="311"/>
      <c r="AX283" s="311"/>
      <c r="AY283" s="28"/>
      <c r="AZ283" s="311"/>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row>
    <row r="284" spans="1:82" ht="15.75" customHeight="1">
      <c r="A284" s="248">
        <f t="shared" si="63"/>
        <v>65</v>
      </c>
      <c r="B284" s="1" t="s">
        <v>578</v>
      </c>
      <c r="C284" s="233" t="str">
        <f ca="1">IFERROR(__xludf.DUMMYFUNCTION("GoogleFinance(B284,""name"")"),"-1x Short VIX Futures ETF")</f>
        <v>-1x Short VIX Futures ETF</v>
      </c>
      <c r="D284" s="234" t="str">
        <f ca="1">IFERROR(__xludf.DUMMYFUNCTION("GoogleFinance(B284,""marketcap"")/1000000"),"#N/A")</f>
        <v>#N/A</v>
      </c>
      <c r="E284" s="246" t="s">
        <v>76</v>
      </c>
      <c r="F284" s="246" t="s">
        <v>76</v>
      </c>
      <c r="G284" s="230">
        <v>45509</v>
      </c>
      <c r="H284" s="833">
        <v>23.03</v>
      </c>
      <c r="I284" s="506">
        <v>20.6</v>
      </c>
      <c r="J284" s="507">
        <f t="shared" ref="J284:J285" si="68">K284/I284</f>
        <v>97.087378640776961</v>
      </c>
      <c r="K284" s="249">
        <v>2000.0000000000055</v>
      </c>
      <c r="L284" s="249"/>
      <c r="M284" s="249">
        <f t="shared" ref="M284:M285" si="69">J284*H284</f>
        <v>2235.9223300970934</v>
      </c>
      <c r="N284" s="508">
        <f t="shared" si="67"/>
        <v>235.92233009708798</v>
      </c>
      <c r="O284" s="509">
        <f t="shared" ref="O284:O286" si="70">N284/K284</f>
        <v>0.11796116504854366</v>
      </c>
      <c r="P284" s="626">
        <f t="shared" si="65"/>
        <v>1</v>
      </c>
      <c r="Q284" s="752" t="s">
        <v>431</v>
      </c>
      <c r="R284" s="235">
        <v>45510</v>
      </c>
      <c r="S284" s="29" t="s">
        <v>574</v>
      </c>
      <c r="T284" s="29"/>
      <c r="U284" s="29"/>
      <c r="V284" s="29"/>
      <c r="W284" s="29"/>
      <c r="X284" s="29"/>
      <c r="Y284" s="14"/>
      <c r="Z284" s="14"/>
      <c r="AA284" s="14"/>
      <c r="AB284" s="14"/>
      <c r="AC284" s="14"/>
      <c r="AD284" s="29"/>
      <c r="AE284" s="29"/>
      <c r="AF284" s="29"/>
      <c r="AG284" s="29"/>
      <c r="AH284" s="14"/>
      <c r="AI284" s="14"/>
      <c r="AJ284" s="456"/>
      <c r="AK284" s="332"/>
      <c r="AL284" s="456"/>
      <c r="AM284" s="332"/>
      <c r="AN284" s="456"/>
      <c r="AO284" s="332"/>
      <c r="AP284" s="456"/>
      <c r="AQ284" s="28"/>
      <c r="AR284" s="456"/>
      <c r="AS284" s="28"/>
      <c r="AT284" s="28"/>
      <c r="AU284" s="28"/>
      <c r="AV284" s="28"/>
      <c r="AW284" s="311"/>
      <c r="AX284" s="311"/>
      <c r="AY284" s="28"/>
      <c r="AZ284" s="311"/>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row>
    <row r="285" spans="1:82" ht="15.75" customHeight="1">
      <c r="A285" s="841">
        <f t="shared" si="63"/>
        <v>66</v>
      </c>
      <c r="B285" s="28" t="s">
        <v>548</v>
      </c>
      <c r="C285" s="510" t="str">
        <f ca="1">IFERROR(__xludf.DUMMYFUNCTION("GoogleFinance(B285,""name"")"),"ProShares UltraPro Short QQQ")</f>
        <v>ProShares UltraPro Short QQQ</v>
      </c>
      <c r="D285" s="511" t="str">
        <f ca="1">IFERROR(__xludf.DUMMYFUNCTION("GoogleFinance(B285,""marketcap"")/1000000"),"#N/A")</f>
        <v>#N/A</v>
      </c>
      <c r="E285" s="743" t="s">
        <v>579</v>
      </c>
      <c r="F285" s="743" t="s">
        <v>579</v>
      </c>
      <c r="G285" s="744">
        <v>45511</v>
      </c>
      <c r="H285" s="745">
        <v>9.3000000000000007</v>
      </c>
      <c r="I285" s="746">
        <v>10.5</v>
      </c>
      <c r="J285" s="747">
        <f t="shared" si="68"/>
        <v>95.238095238095241</v>
      </c>
      <c r="K285" s="748">
        <v>1000</v>
      </c>
      <c r="L285" s="748"/>
      <c r="M285" s="748">
        <f t="shared" si="69"/>
        <v>885.71428571428578</v>
      </c>
      <c r="N285" s="749">
        <f t="shared" si="67"/>
        <v>-114.28571428571422</v>
      </c>
      <c r="O285" s="750">
        <f t="shared" si="70"/>
        <v>-0.11428571428571423</v>
      </c>
      <c r="P285" s="626">
        <f t="shared" si="65"/>
        <v>-1</v>
      </c>
      <c r="Q285" s="752" t="s">
        <v>431</v>
      </c>
      <c r="R285" s="235">
        <v>45510</v>
      </c>
      <c r="S285" s="29" t="s">
        <v>62</v>
      </c>
      <c r="T285" s="457"/>
      <c r="U285" s="457"/>
      <c r="V285" s="457"/>
      <c r="W285" s="457"/>
      <c r="X285" s="457"/>
      <c r="Y285" s="332"/>
      <c r="Z285" s="332"/>
      <c r="AA285" s="332"/>
      <c r="AB285" s="332"/>
      <c r="AC285" s="332"/>
      <c r="AD285" s="457"/>
      <c r="AE285" s="457"/>
      <c r="AF285" s="457"/>
      <c r="AG285" s="457"/>
      <c r="AH285" s="332"/>
      <c r="AI285" s="332"/>
      <c r="AJ285" s="456"/>
      <c r="AK285" s="332"/>
      <c r="AL285" s="456"/>
      <c r="AM285" s="332"/>
      <c r="AN285" s="456"/>
      <c r="AO285" s="332"/>
      <c r="AP285" s="456"/>
      <c r="AQ285" s="28"/>
      <c r="AR285" s="456"/>
      <c r="AS285" s="28"/>
      <c r="AT285" s="28"/>
      <c r="AU285" s="28"/>
      <c r="AV285" s="28"/>
      <c r="AW285" s="311"/>
      <c r="AX285" s="311"/>
      <c r="AY285" s="28"/>
      <c r="AZ285" s="311"/>
      <c r="BA285" s="457"/>
      <c r="BB285" s="457"/>
      <c r="BC285" s="457"/>
      <c r="BD285" s="457"/>
      <c r="BE285" s="457"/>
      <c r="BF285" s="457"/>
      <c r="BG285" s="457"/>
      <c r="BH285" s="457"/>
      <c r="BI285" s="457"/>
      <c r="BJ285" s="457"/>
      <c r="BK285" s="457"/>
      <c r="BL285" s="457"/>
      <c r="BM285" s="457"/>
      <c r="BN285" s="457"/>
      <c r="BO285" s="457"/>
      <c r="BP285" s="457"/>
      <c r="BQ285" s="457"/>
      <c r="BR285" s="457"/>
      <c r="BS285" s="457"/>
      <c r="BT285" s="457"/>
      <c r="BU285" s="457"/>
      <c r="BV285" s="457"/>
      <c r="BW285" s="457"/>
      <c r="BX285" s="457"/>
      <c r="BY285" s="457"/>
      <c r="BZ285" s="457"/>
      <c r="CA285" s="457"/>
      <c r="CB285" s="457"/>
      <c r="CC285" s="457"/>
      <c r="CD285" s="457"/>
    </row>
    <row r="286" spans="1:82" ht="15.75" customHeight="1">
      <c r="A286" s="841">
        <f t="shared" si="63"/>
        <v>67</v>
      </c>
      <c r="B286" s="1" t="s">
        <v>376</v>
      </c>
      <c r="C286" s="233" t="str">
        <f ca="1">IFERROR(__xludf.DUMMYFUNCTION("GoogleFinance(B286,""name"")"),"Grupo Financiero Galicia SA")</f>
        <v>Grupo Financiero Galicia SA</v>
      </c>
      <c r="D286" s="234">
        <f ca="1">IFERROR(__xludf.DUMMYFUNCTION("GoogleFinance(B286,""marketcap"")/1000000"),4112.099185)</f>
        <v>4112.099185</v>
      </c>
      <c r="E286" s="246" t="s">
        <v>14</v>
      </c>
      <c r="F286" s="246" t="s">
        <v>21</v>
      </c>
      <c r="G286" s="230">
        <v>45238</v>
      </c>
      <c r="H286" s="588">
        <v>33.700000000000003</v>
      </c>
      <c r="I286" s="506">
        <v>11.73</v>
      </c>
      <c r="J286" s="238">
        <v>70</v>
      </c>
      <c r="K286" s="239">
        <f>J286*I286</f>
        <v>821.1</v>
      </c>
      <c r="L286" s="239"/>
      <c r="M286" s="239">
        <f>H286*J286</f>
        <v>2359</v>
      </c>
      <c r="N286" s="226">
        <f t="shared" si="67"/>
        <v>1537.9</v>
      </c>
      <c r="O286" s="509">
        <f t="shared" si="70"/>
        <v>1.8729752770673487</v>
      </c>
      <c r="P286" s="626">
        <f t="shared" si="65"/>
        <v>289</v>
      </c>
      <c r="Q286" s="752" t="s">
        <v>431</v>
      </c>
      <c r="R286" s="235">
        <v>45527</v>
      </c>
      <c r="S286" s="29" t="s">
        <v>580</v>
      </c>
      <c r="T286" s="22"/>
      <c r="U286" s="22"/>
      <c r="V286" s="22"/>
      <c r="W286" s="22"/>
      <c r="X286" s="22"/>
      <c r="Y286" s="14"/>
      <c r="Z286" s="14"/>
      <c r="AA286" s="14"/>
      <c r="AB286" s="14"/>
      <c r="AC286" s="14"/>
      <c r="AD286" s="22"/>
      <c r="AE286" s="22"/>
      <c r="AF286" s="22"/>
      <c r="AG286" s="22"/>
      <c r="AH286" s="14"/>
      <c r="AI286" s="14"/>
      <c r="AJ286" s="456"/>
      <c r="AK286" s="332"/>
      <c r="AL286" s="456"/>
      <c r="AM286" s="332"/>
      <c r="AN286" s="456"/>
      <c r="AO286" s="332"/>
      <c r="AP286" s="456"/>
      <c r="AQ286" s="28"/>
      <c r="AR286" s="456"/>
      <c r="AS286" s="28"/>
      <c r="AT286" s="28"/>
      <c r="AU286" s="28"/>
      <c r="AV286" s="28"/>
      <c r="AW286" s="311"/>
      <c r="AX286" s="311"/>
      <c r="AY286" s="28"/>
      <c r="AZ286" s="311"/>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row>
    <row r="287" spans="1:82" ht="15.75" customHeight="1">
      <c r="A287" s="841">
        <f t="shared" si="63"/>
        <v>68</v>
      </c>
      <c r="B287" s="1" t="s">
        <v>581</v>
      </c>
      <c r="C287" s="233" t="str">
        <f ca="1">IFERROR(__xludf.DUMMYFUNCTION("GoogleFinance(B287,""name"")"),"Lowe's Companies Inc")</f>
        <v>Lowe's Companies Inc</v>
      </c>
      <c r="D287" s="234">
        <f ca="1">IFERROR(__xludf.DUMMYFUNCTION("GoogleFinance(B287,""marketcap"")/1000000"),144199.295549)</f>
        <v>144199.295549</v>
      </c>
      <c r="E287" s="229" t="s">
        <v>10</v>
      </c>
      <c r="F287" s="229" t="s">
        <v>278</v>
      </c>
      <c r="G287" s="786">
        <v>45519</v>
      </c>
      <c r="H287" s="588">
        <v>250</v>
      </c>
      <c r="I287" s="237">
        <v>239.2</v>
      </c>
      <c r="J287" s="507">
        <f>M287/I287</f>
        <v>8.3612040133779271</v>
      </c>
      <c r="K287" s="249">
        <f>J287*H287</f>
        <v>2090.3010033444816</v>
      </c>
      <c r="L287" s="249"/>
      <c r="M287" s="249">
        <v>2000</v>
      </c>
      <c r="N287" s="508">
        <f t="shared" si="67"/>
        <v>-90.301003344481614</v>
      </c>
      <c r="O287" s="509">
        <f>N287/M287</f>
        <v>-4.5150501672240807E-2</v>
      </c>
      <c r="P287" s="626">
        <f t="shared" si="65"/>
        <v>8</v>
      </c>
      <c r="Q287" s="26" t="s">
        <v>483</v>
      </c>
      <c r="R287" s="235">
        <v>45527</v>
      </c>
      <c r="S287" s="29" t="s">
        <v>62</v>
      </c>
      <c r="T287" s="22"/>
      <c r="U287" s="22"/>
      <c r="V287" s="22"/>
      <c r="W287" s="22"/>
      <c r="X287" s="22"/>
      <c r="Y287" s="14"/>
      <c r="Z287" s="14"/>
      <c r="AA287" s="14"/>
      <c r="AB287" s="14"/>
      <c r="AC287" s="14"/>
      <c r="AD287" s="22"/>
      <c r="AE287" s="22"/>
      <c r="AF287" s="22"/>
      <c r="AG287" s="22"/>
      <c r="AH287" s="14"/>
      <c r="AI287" s="14"/>
      <c r="AJ287" s="456"/>
      <c r="AK287" s="332"/>
      <c r="AL287" s="456"/>
      <c r="AM287" s="332"/>
      <c r="AN287" s="456"/>
      <c r="AO287" s="332"/>
      <c r="AP287" s="456"/>
      <c r="AQ287" s="28"/>
      <c r="AR287" s="456"/>
      <c r="AS287" s="28"/>
      <c r="AT287" s="28"/>
      <c r="AU287" s="28"/>
      <c r="AV287" s="28"/>
      <c r="AW287" s="311"/>
      <c r="AX287" s="311"/>
      <c r="AY287" s="28"/>
      <c r="AZ287" s="311"/>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row>
    <row r="288" spans="1:82" ht="15.75" customHeight="1">
      <c r="A288" s="841">
        <f t="shared" si="63"/>
        <v>69</v>
      </c>
      <c r="B288" s="1" t="s">
        <v>480</v>
      </c>
      <c r="C288" s="233" t="str">
        <f ca="1">IFERROR(__xludf.DUMMYFUNCTION("GoogleFinance(B288,""name"")"),"Direxion Daily Semiconductor Bear 3X Shares")</f>
        <v>Direxion Daily Semiconductor Bear 3X Shares</v>
      </c>
      <c r="D288" s="234" t="str">
        <f ca="1">IFERROR(__xludf.DUMMYFUNCTION("GoogleFinance(B288,""marketcap"")/1000000"),"#N/A")</f>
        <v>#N/A</v>
      </c>
      <c r="E288" s="246" t="s">
        <v>582</v>
      </c>
      <c r="F288" s="246" t="s">
        <v>582</v>
      </c>
      <c r="G288" s="786">
        <v>45527</v>
      </c>
      <c r="H288" s="588">
        <v>24.3</v>
      </c>
      <c r="I288" s="506">
        <v>21.5</v>
      </c>
      <c r="J288" s="507">
        <f>K288/I288</f>
        <v>46.511627906976742</v>
      </c>
      <c r="K288" s="249">
        <v>1000</v>
      </c>
      <c r="L288" s="249"/>
      <c r="M288" s="249">
        <f>J288*H288</f>
        <v>1130.2325581395348</v>
      </c>
      <c r="N288" s="508">
        <f t="shared" si="67"/>
        <v>130.23255813953483</v>
      </c>
      <c r="O288" s="509">
        <f>N288/K288</f>
        <v>0.13023255813953483</v>
      </c>
      <c r="P288" s="626">
        <f t="shared" si="65"/>
        <v>4</v>
      </c>
      <c r="Q288" s="752" t="s">
        <v>431</v>
      </c>
      <c r="R288" s="235">
        <v>45531</v>
      </c>
      <c r="S288" s="29" t="s">
        <v>580</v>
      </c>
      <c r="T288" s="22"/>
      <c r="U288" s="22"/>
      <c r="V288" s="22"/>
      <c r="W288" s="22"/>
      <c r="X288" s="22"/>
      <c r="Y288" s="14"/>
      <c r="Z288" s="14"/>
      <c r="AA288" s="14"/>
      <c r="AB288" s="14"/>
      <c r="AC288" s="14"/>
      <c r="AD288" s="22"/>
      <c r="AE288" s="22"/>
      <c r="AF288" s="22"/>
      <c r="AG288" s="22"/>
      <c r="AH288" s="14"/>
      <c r="AI288" s="14"/>
      <c r="AJ288" s="456"/>
      <c r="AK288" s="332"/>
      <c r="AL288" s="456"/>
      <c r="AM288" s="332"/>
      <c r="AN288" s="456"/>
      <c r="AO288" s="332"/>
      <c r="AP288" s="456"/>
      <c r="AQ288" s="28"/>
      <c r="AR288" s="456"/>
      <c r="AS288" s="28"/>
      <c r="AT288" s="28"/>
      <c r="AU288" s="28"/>
      <c r="AV288" s="28"/>
      <c r="AW288" s="311"/>
      <c r="AX288" s="311"/>
      <c r="AY288" s="28"/>
      <c r="AZ288" s="311"/>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row>
    <row r="289" spans="1:82" ht="15.75" customHeight="1">
      <c r="A289" s="841">
        <f t="shared" si="63"/>
        <v>70</v>
      </c>
      <c r="B289" s="1" t="s">
        <v>555</v>
      </c>
      <c r="C289" s="233" t="str">
        <f ca="1">IFERROR(__xludf.DUMMYFUNCTION("GoogleFinance(B289,""name"")"),"Union Pacific Corp")</f>
        <v>Union Pacific Corp</v>
      </c>
      <c r="D289" s="234">
        <f ca="1">IFERROR(__xludf.DUMMYFUNCTION("GoogleFinance(B289,""marketcap"")/1000000"),139483.00619)</f>
        <v>139483.00618999999</v>
      </c>
      <c r="E289" s="229" t="s">
        <v>11</v>
      </c>
      <c r="F289" s="229" t="s">
        <v>583</v>
      </c>
      <c r="G289" s="786">
        <v>45518</v>
      </c>
      <c r="H289" s="588">
        <v>250</v>
      </c>
      <c r="I289" s="237">
        <v>240.8</v>
      </c>
      <c r="J289" s="507">
        <f t="shared" ref="J289:J292" si="71">M289/I289</f>
        <v>8.3056478405315612</v>
      </c>
      <c r="K289" s="249">
        <f t="shared" ref="K289:K292" si="72">J289*H289</f>
        <v>2076.4119601328903</v>
      </c>
      <c r="L289" s="249"/>
      <c r="M289" s="249">
        <v>2000</v>
      </c>
      <c r="N289" s="508">
        <f t="shared" si="67"/>
        <v>-76.411960132890272</v>
      </c>
      <c r="O289" s="509">
        <f t="shared" ref="O289:O292" si="73">N289/M289</f>
        <v>-3.8205980066445135E-2</v>
      </c>
      <c r="P289" s="626">
        <f t="shared" si="65"/>
        <v>15</v>
      </c>
      <c r="Q289" s="26" t="s">
        <v>483</v>
      </c>
      <c r="R289" s="235">
        <v>45533</v>
      </c>
      <c r="S289" s="29" t="s">
        <v>62</v>
      </c>
      <c r="T289" s="22"/>
      <c r="U289" s="22"/>
      <c r="V289" s="22"/>
      <c r="W289" s="22"/>
      <c r="X289" s="22"/>
      <c r="Y289" s="14"/>
      <c r="Z289" s="14"/>
      <c r="AA289" s="14"/>
      <c r="AB289" s="14"/>
      <c r="AC289" s="14"/>
      <c r="AD289" s="22"/>
      <c r="AE289" s="22"/>
      <c r="AF289" s="22"/>
      <c r="AG289" s="22"/>
      <c r="AH289" s="14"/>
      <c r="AI289" s="14"/>
      <c r="AJ289" s="456"/>
      <c r="AK289" s="332"/>
      <c r="AL289" s="456"/>
      <c r="AM289" s="332"/>
      <c r="AN289" s="456"/>
      <c r="AO289" s="332"/>
      <c r="AP289" s="456"/>
      <c r="AQ289" s="28"/>
      <c r="AR289" s="456"/>
      <c r="AS289" s="28"/>
      <c r="AT289" s="28"/>
      <c r="AU289" s="28"/>
      <c r="AV289" s="28"/>
      <c r="AW289" s="311"/>
      <c r="AX289" s="311"/>
      <c r="AY289" s="28"/>
      <c r="AZ289" s="311"/>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row>
    <row r="290" spans="1:82" ht="15.75" customHeight="1">
      <c r="A290" s="841">
        <f t="shared" si="63"/>
        <v>71</v>
      </c>
      <c r="B290" s="1" t="s">
        <v>584</v>
      </c>
      <c r="C290" s="233" t="str">
        <f ca="1">IFERROR(__xludf.DUMMYFUNCTION("GoogleFinance(B290,""name"")"),"Accenture Plc")</f>
        <v>Accenture Plc</v>
      </c>
      <c r="D290" s="234">
        <f ca="1">IFERROR(__xludf.DUMMYFUNCTION("GoogleFinance(B290,""marketcap"")/1000000"),148843.062685)</f>
        <v>148843.06268500001</v>
      </c>
      <c r="E290" s="229" t="s">
        <v>7</v>
      </c>
      <c r="F290" s="229" t="s">
        <v>272</v>
      </c>
      <c r="G290" s="786">
        <v>45518</v>
      </c>
      <c r="H290" s="588">
        <v>340</v>
      </c>
      <c r="I290" s="237">
        <v>319.45</v>
      </c>
      <c r="J290" s="507">
        <f t="shared" si="71"/>
        <v>9.391141023634372</v>
      </c>
      <c r="K290" s="249">
        <f t="shared" si="72"/>
        <v>3192.9879480356863</v>
      </c>
      <c r="L290" s="249"/>
      <c r="M290" s="249">
        <v>3000</v>
      </c>
      <c r="N290" s="508">
        <f t="shared" si="67"/>
        <v>-192.98794803568626</v>
      </c>
      <c r="O290" s="509">
        <f t="shared" si="73"/>
        <v>-6.4329316011895413E-2</v>
      </c>
      <c r="P290" s="626">
        <f t="shared" si="65"/>
        <v>15</v>
      </c>
      <c r="Q290" s="26" t="s">
        <v>483</v>
      </c>
      <c r="R290" s="235">
        <v>45533</v>
      </c>
      <c r="S290" s="29" t="s">
        <v>62</v>
      </c>
      <c r="T290" s="22"/>
      <c r="U290" s="22"/>
      <c r="V290" s="22"/>
      <c r="W290" s="22"/>
      <c r="X290" s="22"/>
      <c r="Y290" s="14"/>
      <c r="Z290" s="14"/>
      <c r="AA290" s="14"/>
      <c r="AB290" s="14"/>
      <c r="AC290" s="14"/>
      <c r="AD290" s="22"/>
      <c r="AE290" s="22"/>
      <c r="AF290" s="22"/>
      <c r="AG290" s="22"/>
      <c r="AH290" s="14"/>
      <c r="AI290" s="14"/>
      <c r="AJ290" s="456"/>
      <c r="AK290" s="332"/>
      <c r="AL290" s="456"/>
      <c r="AM290" s="332"/>
      <c r="AN290" s="456"/>
      <c r="AO290" s="332"/>
      <c r="AP290" s="456"/>
      <c r="AQ290" s="28"/>
      <c r="AR290" s="456"/>
      <c r="AS290" s="28"/>
      <c r="AT290" s="28"/>
      <c r="AU290" s="28"/>
      <c r="AV290" s="28"/>
      <c r="AW290" s="311"/>
      <c r="AX290" s="311"/>
      <c r="AY290" s="28"/>
      <c r="AZ290" s="311"/>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row>
    <row r="291" spans="1:82" ht="15.75" customHeight="1">
      <c r="A291" s="841">
        <f t="shared" si="63"/>
        <v>72</v>
      </c>
      <c r="B291" s="1" t="s">
        <v>585</v>
      </c>
      <c r="C291" s="233" t="str">
        <f ca="1">IFERROR(__xludf.DUMMYFUNCTION("GoogleFinance(B291,""name"")"),"American Express Co")</f>
        <v>American Express Co</v>
      </c>
      <c r="D291" s="234">
        <f ca="1">IFERROR(__xludf.DUMMYFUNCTION("GoogleFinance(B291,""marketcap"")/1000000"),237768.990831)</f>
        <v>237768.990831</v>
      </c>
      <c r="E291" s="229" t="s">
        <v>14</v>
      </c>
      <c r="F291" s="229" t="s">
        <v>586</v>
      </c>
      <c r="G291" s="786">
        <v>45519</v>
      </c>
      <c r="H291" s="588">
        <v>257</v>
      </c>
      <c r="I291" s="237">
        <v>248.67</v>
      </c>
      <c r="J291" s="507">
        <f t="shared" si="71"/>
        <v>12.064181445288938</v>
      </c>
      <c r="K291" s="249">
        <f t="shared" si="72"/>
        <v>3100.4946314392569</v>
      </c>
      <c r="L291" s="249"/>
      <c r="M291" s="249">
        <v>3000</v>
      </c>
      <c r="N291" s="508">
        <f t="shared" si="67"/>
        <v>-100.49463143925686</v>
      </c>
      <c r="O291" s="509">
        <f t="shared" si="73"/>
        <v>-3.3498210479752287E-2</v>
      </c>
      <c r="P291" s="626">
        <f t="shared" si="65"/>
        <v>14</v>
      </c>
      <c r="Q291" s="26" t="s">
        <v>483</v>
      </c>
      <c r="R291" s="235">
        <v>45533</v>
      </c>
      <c r="S291" s="29" t="s">
        <v>62</v>
      </c>
      <c r="T291" s="22"/>
      <c r="U291" s="22"/>
      <c r="V291" s="22"/>
      <c r="W291" s="22"/>
      <c r="X291" s="22"/>
      <c r="Y291" s="14"/>
      <c r="Z291" s="14"/>
      <c r="AA291" s="14"/>
      <c r="AB291" s="14"/>
      <c r="AC291" s="14"/>
      <c r="AD291" s="22"/>
      <c r="AE291" s="22"/>
      <c r="AF291" s="22"/>
      <c r="AG291" s="22"/>
      <c r="AH291" s="14"/>
      <c r="AI291" s="14"/>
      <c r="AJ291" s="456"/>
      <c r="AK291" s="332"/>
      <c r="AL291" s="456"/>
      <c r="AM291" s="332"/>
      <c r="AN291" s="456"/>
      <c r="AO291" s="332"/>
      <c r="AP291" s="456"/>
      <c r="AQ291" s="28"/>
      <c r="AR291" s="456"/>
      <c r="AS291" s="28"/>
      <c r="AT291" s="28"/>
      <c r="AU291" s="28"/>
      <c r="AV291" s="28"/>
      <c r="AW291" s="311"/>
      <c r="AX291" s="311"/>
      <c r="AY291" s="28"/>
      <c r="AZ291" s="311"/>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row>
    <row r="292" spans="1:82" ht="15.75" customHeight="1">
      <c r="A292" s="841">
        <f t="shared" si="63"/>
        <v>73</v>
      </c>
      <c r="B292" s="1" t="s">
        <v>541</v>
      </c>
      <c r="C292" s="438" t="str">
        <f ca="1">IFERROR(__xludf.DUMMYFUNCTION("GoogleFinance(B292,""name"")"),"Caterpillar Inc")</f>
        <v>Caterpillar Inc</v>
      </c>
      <c r="D292" s="234">
        <f ca="1">IFERROR(__xludf.DUMMYFUNCTION("GoogleFinance(B292,""marketcap"")/1000000"),218198.690462)</f>
        <v>218198.690462</v>
      </c>
      <c r="E292" s="229" t="s">
        <v>587</v>
      </c>
      <c r="F292" s="229" t="s">
        <v>478</v>
      </c>
      <c r="G292" s="786">
        <v>45525</v>
      </c>
      <c r="H292" s="228">
        <v>355</v>
      </c>
      <c r="I292" s="237">
        <v>342.95</v>
      </c>
      <c r="J292" s="507">
        <f t="shared" si="71"/>
        <v>8.7476308499781315</v>
      </c>
      <c r="K292" s="249">
        <f t="shared" si="72"/>
        <v>3105.4089517422367</v>
      </c>
      <c r="L292" s="249"/>
      <c r="M292" s="249">
        <v>3000</v>
      </c>
      <c r="N292" s="508">
        <f t="shared" si="67"/>
        <v>-105.4089517422367</v>
      </c>
      <c r="O292" s="790">
        <f t="shared" si="73"/>
        <v>-3.513631724741223E-2</v>
      </c>
      <c r="P292" s="626">
        <f t="shared" si="65"/>
        <v>9</v>
      </c>
      <c r="Q292" s="26" t="s">
        <v>483</v>
      </c>
      <c r="R292" s="235">
        <v>45534</v>
      </c>
      <c r="S292" s="29" t="s">
        <v>62</v>
      </c>
      <c r="T292" s="22"/>
      <c r="U292" s="22"/>
      <c r="V292" s="22"/>
      <c r="W292" s="22"/>
      <c r="X292" s="22"/>
      <c r="Y292" s="14"/>
      <c r="Z292" s="14"/>
      <c r="AA292" s="14"/>
      <c r="AB292" s="14"/>
      <c r="AC292" s="14"/>
      <c r="AD292" s="22"/>
      <c r="AE292" s="22"/>
      <c r="AF292" s="22"/>
      <c r="AG292" s="22"/>
      <c r="AH292" s="14"/>
      <c r="AI292" s="14"/>
      <c r="AJ292" s="456"/>
      <c r="AK292" s="332"/>
      <c r="AL292" s="456"/>
      <c r="AM292" s="332"/>
      <c r="AN292" s="456"/>
      <c r="AO292" s="332"/>
      <c r="AP292" s="456"/>
      <c r="AQ292" s="28"/>
      <c r="AR292" s="456"/>
      <c r="AS292" s="28"/>
      <c r="AT292" s="28"/>
      <c r="AU292" s="28"/>
      <c r="AV292" s="28"/>
      <c r="AW292" s="311"/>
      <c r="AX292" s="311"/>
      <c r="AY292" s="28"/>
      <c r="AZ292" s="311"/>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row>
    <row r="293" spans="1:82" ht="15.75" customHeight="1">
      <c r="A293" s="841">
        <f t="shared" si="63"/>
        <v>74</v>
      </c>
      <c r="B293" s="1" t="s">
        <v>480</v>
      </c>
      <c r="C293" s="233" t="str">
        <f ca="1">IFERROR(__xludf.DUMMYFUNCTION("GoogleFinance(B293,""name"")"),"Direxion Daily Semiconductor Bear 3X Shares")</f>
        <v>Direxion Daily Semiconductor Bear 3X Shares</v>
      </c>
      <c r="D293" s="234" t="str">
        <f ca="1">IFERROR(__xludf.DUMMYFUNCTION("GoogleFinance(B293,""marketcap"")/1000000"),"#N/A")</f>
        <v>#N/A</v>
      </c>
      <c r="E293" s="246" t="s">
        <v>582</v>
      </c>
      <c r="F293" s="246" t="s">
        <v>582</v>
      </c>
      <c r="G293" s="786">
        <v>45527</v>
      </c>
      <c r="H293" s="588">
        <v>25.86</v>
      </c>
      <c r="I293" s="506">
        <v>21.5</v>
      </c>
      <c r="J293" s="507">
        <f>K293/I293</f>
        <v>46.511627906976742</v>
      </c>
      <c r="K293" s="249">
        <v>1000</v>
      </c>
      <c r="L293" s="249"/>
      <c r="M293" s="249">
        <f t="shared" ref="M293:M298" si="74">J293*H293</f>
        <v>1202.7906976744184</v>
      </c>
      <c r="N293" s="508">
        <f t="shared" si="67"/>
        <v>202.79069767441842</v>
      </c>
      <c r="O293" s="509">
        <f t="shared" ref="O293:O330" si="75">N293/K293</f>
        <v>0.20279069767441843</v>
      </c>
      <c r="P293" s="626">
        <f t="shared" si="65"/>
        <v>11</v>
      </c>
      <c r="Q293" s="752" t="s">
        <v>431</v>
      </c>
      <c r="R293" s="235">
        <v>45538</v>
      </c>
      <c r="S293" s="29" t="s">
        <v>580</v>
      </c>
      <c r="T293" s="22"/>
      <c r="U293" s="22"/>
      <c r="V293" s="22"/>
      <c r="W293" s="22"/>
      <c r="X293" s="22"/>
      <c r="Y293" s="14"/>
      <c r="Z293" s="14"/>
      <c r="AA293" s="14"/>
      <c r="AB293" s="14"/>
      <c r="AC293" s="14"/>
      <c r="AD293" s="22"/>
      <c r="AE293" s="22"/>
      <c r="AF293" s="22"/>
      <c r="AG293" s="22"/>
      <c r="AH293" s="14"/>
      <c r="AI293" s="14"/>
      <c r="AJ293" s="456"/>
      <c r="AK293" s="332"/>
      <c r="AL293" s="456"/>
      <c r="AM293" s="332"/>
      <c r="AN293" s="456"/>
      <c r="AO293" s="332"/>
      <c r="AP293" s="456"/>
      <c r="AQ293" s="28"/>
      <c r="AR293" s="456"/>
      <c r="AS293" s="28"/>
      <c r="AT293" s="28"/>
      <c r="AU293" s="28"/>
      <c r="AV293" s="28"/>
      <c r="AW293" s="311"/>
      <c r="AX293" s="311"/>
      <c r="AY293" s="28"/>
      <c r="AZ293" s="311"/>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row>
    <row r="294" spans="1:82" ht="15.75" customHeight="1">
      <c r="A294" s="841">
        <f t="shared" si="63"/>
        <v>75</v>
      </c>
      <c r="B294" s="1" t="s">
        <v>376</v>
      </c>
      <c r="C294" s="233" t="str">
        <f ca="1">IFERROR(__xludf.DUMMYFUNCTION("GoogleFinance(B294,""name"")"),"Grupo Financiero Galicia SA")</f>
        <v>Grupo Financiero Galicia SA</v>
      </c>
      <c r="D294" s="234">
        <f ca="1">IFERROR(__xludf.DUMMYFUNCTION("GoogleFinance(B294,""marketcap"")/1000000"),4112.099185)</f>
        <v>4112.099185</v>
      </c>
      <c r="E294" s="246" t="s">
        <v>14</v>
      </c>
      <c r="F294" s="246" t="s">
        <v>21</v>
      </c>
      <c r="G294" s="230">
        <v>45238</v>
      </c>
      <c r="H294" s="588">
        <v>41.5</v>
      </c>
      <c r="I294" s="506">
        <v>11.73</v>
      </c>
      <c r="J294" s="507">
        <v>50</v>
      </c>
      <c r="K294" s="249">
        <f>J294*I294</f>
        <v>586.5</v>
      </c>
      <c r="L294" s="249"/>
      <c r="M294" s="249">
        <f t="shared" si="74"/>
        <v>2075</v>
      </c>
      <c r="N294" s="508">
        <f t="shared" si="67"/>
        <v>1488.5</v>
      </c>
      <c r="O294" s="509">
        <f t="shared" si="75"/>
        <v>2.5379369138959933</v>
      </c>
      <c r="P294" s="626">
        <f t="shared" si="65"/>
        <v>301</v>
      </c>
      <c r="Q294" s="752" t="s">
        <v>431</v>
      </c>
      <c r="R294" s="235">
        <v>45539</v>
      </c>
      <c r="S294" s="29" t="s">
        <v>580</v>
      </c>
      <c r="T294" s="22"/>
      <c r="U294" s="22"/>
      <c r="V294" s="22"/>
      <c r="W294" s="22"/>
      <c r="X294" s="22"/>
      <c r="Y294" s="14"/>
      <c r="Z294" s="14"/>
      <c r="AA294" s="14"/>
      <c r="AB294" s="14"/>
      <c r="AC294" s="14"/>
      <c r="AD294" s="22"/>
      <c r="AE294" s="22"/>
      <c r="AF294" s="22"/>
      <c r="AG294" s="22"/>
      <c r="AH294" s="14"/>
      <c r="AI294" s="14"/>
      <c r="AJ294" s="456"/>
      <c r="AK294" s="332"/>
      <c r="AL294" s="456"/>
      <c r="AM294" s="332"/>
      <c r="AN294" s="456"/>
      <c r="AO294" s="332"/>
      <c r="AP294" s="456"/>
      <c r="AQ294" s="28"/>
      <c r="AR294" s="456"/>
      <c r="AS294" s="28"/>
      <c r="AT294" s="28"/>
      <c r="AU294" s="28"/>
      <c r="AV294" s="28"/>
      <c r="AW294" s="311"/>
      <c r="AX294" s="311"/>
      <c r="AY294" s="28"/>
      <c r="AZ294" s="311"/>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row>
    <row r="295" spans="1:82" ht="15.75" customHeight="1">
      <c r="A295" s="841">
        <f t="shared" si="63"/>
        <v>76</v>
      </c>
      <c r="B295" s="1" t="s">
        <v>588</v>
      </c>
      <c r="C295" s="233" t="str">
        <f ca="1">IFERROR(__xludf.DUMMYFUNCTION("GoogleFinance(B295,""name"")"),"Super Micro Computer Inc")</f>
        <v>Super Micro Computer Inc</v>
      </c>
      <c r="D295" s="234">
        <f ca="1">IFERROR(__xludf.DUMMYFUNCTION("GoogleFinance(B295,""marketcap"")/1000000"),27229.6)</f>
        <v>27229.599999999999</v>
      </c>
      <c r="E295" s="246" t="s">
        <v>7</v>
      </c>
      <c r="F295" s="246" t="s">
        <v>23</v>
      </c>
      <c r="G295" s="786">
        <v>45538</v>
      </c>
      <c r="H295" s="588">
        <v>390</v>
      </c>
      <c r="I295" s="506">
        <v>449.5</v>
      </c>
      <c r="J295" s="507">
        <f t="shared" ref="J295:J298" si="76">K295/I295</f>
        <v>2.2246941045606228</v>
      </c>
      <c r="K295" s="249">
        <v>1000</v>
      </c>
      <c r="L295" s="249"/>
      <c r="M295" s="249">
        <f t="shared" si="74"/>
        <v>867.6307007786429</v>
      </c>
      <c r="N295" s="508">
        <f t="shared" si="67"/>
        <v>-132.3692992213571</v>
      </c>
      <c r="O295" s="509">
        <f t="shared" si="75"/>
        <v>-0.1323692992213571</v>
      </c>
      <c r="P295" s="626">
        <f t="shared" si="65"/>
        <v>3</v>
      </c>
      <c r="Q295" s="752" t="s">
        <v>431</v>
      </c>
      <c r="R295" s="235">
        <v>45541</v>
      </c>
      <c r="S295" s="29" t="s">
        <v>589</v>
      </c>
      <c r="T295" s="22"/>
      <c r="U295" s="22"/>
      <c r="V295" s="22"/>
      <c r="W295" s="22"/>
      <c r="X295" s="22"/>
      <c r="Y295" s="14"/>
      <c r="Z295" s="14"/>
      <c r="AA295" s="14"/>
      <c r="AB295" s="14"/>
      <c r="AC295" s="14"/>
      <c r="AD295" s="22"/>
      <c r="AE295" s="22"/>
      <c r="AF295" s="22"/>
      <c r="AG295" s="22"/>
      <c r="AH295" s="14"/>
      <c r="AI295" s="14"/>
      <c r="AJ295" s="456"/>
      <c r="AK295" s="332"/>
      <c r="AL295" s="456"/>
      <c r="AM295" s="332"/>
      <c r="AN295" s="456"/>
      <c r="AO295" s="332"/>
      <c r="AP295" s="456"/>
      <c r="AQ295" s="28"/>
      <c r="AR295" s="456"/>
      <c r="AS295" s="28"/>
      <c r="AT295" s="28"/>
      <c r="AU295" s="28"/>
      <c r="AV295" s="28"/>
      <c r="AW295" s="311"/>
      <c r="AX295" s="311"/>
      <c r="AY295" s="28"/>
      <c r="AZ295" s="311"/>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row>
    <row r="296" spans="1:82" ht="15.75" customHeight="1">
      <c r="A296" s="841">
        <f t="shared" si="63"/>
        <v>77</v>
      </c>
      <c r="B296" s="1" t="s">
        <v>480</v>
      </c>
      <c r="C296" s="233" t="str">
        <f ca="1">IFERROR(__xludf.DUMMYFUNCTION("GoogleFinance(B296,""name"")"),"Direxion Daily Semiconductor Bear 3X Shares")</f>
        <v>Direxion Daily Semiconductor Bear 3X Shares</v>
      </c>
      <c r="D296" s="234" t="str">
        <f ca="1">IFERROR(__xludf.DUMMYFUNCTION("GoogleFinance(B296,""marketcap"")/1000000"),"#N/A")</f>
        <v>#N/A</v>
      </c>
      <c r="E296" s="246" t="s">
        <v>582</v>
      </c>
      <c r="F296" s="246" t="s">
        <v>582</v>
      </c>
      <c r="G296" s="786">
        <v>45527</v>
      </c>
      <c r="H296" s="588">
        <v>29.96</v>
      </c>
      <c r="I296" s="506">
        <v>21.5</v>
      </c>
      <c r="J296" s="507">
        <f t="shared" si="76"/>
        <v>46.511627906976742</v>
      </c>
      <c r="K296" s="249">
        <v>1000</v>
      </c>
      <c r="L296" s="249"/>
      <c r="M296" s="249">
        <f t="shared" si="74"/>
        <v>1393.4883720930231</v>
      </c>
      <c r="N296" s="508">
        <f t="shared" si="67"/>
        <v>393.48837209302314</v>
      </c>
      <c r="O296" s="509">
        <f t="shared" si="75"/>
        <v>0.39348837209302312</v>
      </c>
      <c r="P296" s="626">
        <f t="shared" si="65"/>
        <v>11</v>
      </c>
      <c r="Q296" s="752" t="s">
        <v>431</v>
      </c>
      <c r="R296" s="235">
        <v>45538</v>
      </c>
      <c r="S296" s="29" t="s">
        <v>580</v>
      </c>
      <c r="T296" s="22"/>
      <c r="U296" s="22"/>
      <c r="V296" s="22"/>
      <c r="W296" s="22"/>
      <c r="X296" s="22"/>
      <c r="Y296" s="14"/>
      <c r="Z296" s="14"/>
      <c r="AA296" s="14"/>
      <c r="AB296" s="14"/>
      <c r="AC296" s="14"/>
      <c r="AD296" s="22"/>
      <c r="AE296" s="22"/>
      <c r="AF296" s="22"/>
      <c r="AG296" s="22"/>
      <c r="AH296" s="14"/>
      <c r="AI296" s="14"/>
      <c r="AJ296" s="456"/>
      <c r="AK296" s="332"/>
      <c r="AL296" s="456"/>
      <c r="AM296" s="332"/>
      <c r="AN296" s="456"/>
      <c r="AO296" s="332"/>
      <c r="AP296" s="456"/>
      <c r="AQ296" s="28"/>
      <c r="AR296" s="456"/>
      <c r="AS296" s="28"/>
      <c r="AT296" s="28"/>
      <c r="AU296" s="28"/>
      <c r="AV296" s="28"/>
      <c r="AW296" s="311"/>
      <c r="AX296" s="311"/>
      <c r="AY296" s="28"/>
      <c r="AZ296" s="311"/>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row>
    <row r="297" spans="1:82" ht="15.75" customHeight="1">
      <c r="A297" s="841">
        <f t="shared" si="63"/>
        <v>78</v>
      </c>
      <c r="B297" s="1" t="s">
        <v>480</v>
      </c>
      <c r="C297" s="233" t="str">
        <f ca="1">IFERROR(__xludf.DUMMYFUNCTION("GoogleFinance(B297,""name"")"),"Direxion Daily Semiconductor Bear 3X Shares")</f>
        <v>Direxion Daily Semiconductor Bear 3X Shares</v>
      </c>
      <c r="D297" s="234" t="str">
        <f ca="1">IFERROR(__xludf.DUMMYFUNCTION("GoogleFinance(B297,""marketcap"")/1000000"),"#N/A")</f>
        <v>#N/A</v>
      </c>
      <c r="E297" s="246" t="s">
        <v>582</v>
      </c>
      <c r="F297" s="246" t="s">
        <v>582</v>
      </c>
      <c r="G297" s="786">
        <v>45546</v>
      </c>
      <c r="H297" s="588">
        <v>22.5</v>
      </c>
      <c r="I297" s="506">
        <v>24.23</v>
      </c>
      <c r="J297" s="507">
        <f t="shared" si="76"/>
        <v>165.0846058605035</v>
      </c>
      <c r="K297" s="249">
        <v>4000</v>
      </c>
      <c r="L297" s="249"/>
      <c r="M297" s="249">
        <f t="shared" si="74"/>
        <v>3714.4036318613289</v>
      </c>
      <c r="N297" s="508">
        <f t="shared" si="67"/>
        <v>-285.5963681386711</v>
      </c>
      <c r="O297" s="509">
        <f t="shared" si="75"/>
        <v>-7.139909203466778E-2</v>
      </c>
      <c r="P297" s="626">
        <f t="shared" si="65"/>
        <v>8</v>
      </c>
      <c r="Q297" s="752" t="s">
        <v>431</v>
      </c>
      <c r="R297" s="235">
        <v>45554</v>
      </c>
      <c r="S297" s="29" t="s">
        <v>589</v>
      </c>
      <c r="T297" s="22"/>
      <c r="U297" s="22"/>
      <c r="V297" s="22"/>
      <c r="W297" s="22"/>
      <c r="X297" s="22"/>
      <c r="Y297" s="14"/>
      <c r="Z297" s="14"/>
      <c r="AA297" s="14"/>
      <c r="AB297" s="14"/>
      <c r="AC297" s="14"/>
      <c r="AD297" s="22"/>
      <c r="AE297" s="22"/>
      <c r="AF297" s="22"/>
      <c r="AG297" s="22"/>
      <c r="AH297" s="14"/>
      <c r="AI297" s="14"/>
      <c r="AJ297" s="456"/>
      <c r="AK297" s="332"/>
      <c r="AL297" s="456"/>
      <c r="AM297" s="332"/>
      <c r="AN297" s="456"/>
      <c r="AO297" s="332"/>
      <c r="AP297" s="456"/>
      <c r="AQ297" s="28"/>
      <c r="AR297" s="456"/>
      <c r="AS297" s="28"/>
      <c r="AT297" s="28"/>
      <c r="AU297" s="28"/>
      <c r="AV297" s="28"/>
      <c r="AW297" s="311"/>
      <c r="AX297" s="311"/>
      <c r="AY297" s="28"/>
      <c r="AZ297" s="311"/>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row>
    <row r="298" spans="1:82" ht="15.75" customHeight="1">
      <c r="A298" s="248">
        <f t="shared" si="63"/>
        <v>79</v>
      </c>
      <c r="B298" s="1" t="s">
        <v>534</v>
      </c>
      <c r="C298" s="233" t="str">
        <f ca="1">IFERROR(__xludf.DUMMYFUNCTION("GoogleFinance(B298,""name"")"),"T-Rex 2x Inverse Tesla Daily Target ETF")</f>
        <v>T-Rex 2x Inverse Tesla Daily Target ETF</v>
      </c>
      <c r="D298" s="234" t="str">
        <f ca="1">IFERROR(__xludf.DUMMYFUNCTION("GoogleFinance(B298,""marketcap"")/1000000"),"#N/A")</f>
        <v>#N/A</v>
      </c>
      <c r="E298" s="246" t="s">
        <v>590</v>
      </c>
      <c r="F298" s="246" t="s">
        <v>590</v>
      </c>
      <c r="G298" s="786">
        <v>45553</v>
      </c>
      <c r="H298" s="588">
        <v>12.8</v>
      </c>
      <c r="I298" s="506">
        <v>13.88</v>
      </c>
      <c r="J298" s="507">
        <f t="shared" si="76"/>
        <v>72.046109510086453</v>
      </c>
      <c r="K298" s="249">
        <v>1000</v>
      </c>
      <c r="L298" s="249"/>
      <c r="M298" s="249">
        <f t="shared" si="74"/>
        <v>922.19020172910666</v>
      </c>
      <c r="N298" s="508">
        <f t="shared" si="67"/>
        <v>-77.809798270893339</v>
      </c>
      <c r="O298" s="509">
        <f t="shared" si="75"/>
        <v>-7.7809798270893335E-2</v>
      </c>
      <c r="P298" s="626">
        <f t="shared" si="65"/>
        <v>1</v>
      </c>
      <c r="Q298" s="752" t="s">
        <v>431</v>
      </c>
      <c r="R298" s="235">
        <v>45554</v>
      </c>
      <c r="S298" s="29" t="s">
        <v>589</v>
      </c>
      <c r="T298" s="22"/>
      <c r="U298" s="22"/>
      <c r="V298" s="22"/>
      <c r="W298" s="22"/>
      <c r="X298" s="22"/>
      <c r="Y298" s="14"/>
      <c r="Z298" s="14"/>
      <c r="AA298" s="14"/>
      <c r="AB298" s="14"/>
      <c r="AC298" s="14"/>
      <c r="AD298" s="22"/>
      <c r="AE298" s="22"/>
      <c r="AF298" s="22"/>
      <c r="AG298" s="22"/>
      <c r="AH298" s="14"/>
      <c r="AI298" s="14"/>
      <c r="AJ298" s="25"/>
      <c r="AK298" s="14"/>
      <c r="AL298" s="25"/>
      <c r="AM298" s="14"/>
      <c r="AN298" s="25"/>
      <c r="AO298" s="14"/>
      <c r="AP298" s="25"/>
      <c r="AQ298" s="1"/>
      <c r="AR298" s="25"/>
      <c r="AS298" s="1"/>
      <c r="AT298" s="1"/>
      <c r="AU298" s="1"/>
      <c r="AV298" s="1"/>
      <c r="AW298" s="22"/>
      <c r="AX298" s="22"/>
      <c r="AY298" s="1"/>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row>
    <row r="299" spans="1:82" ht="15.75" customHeight="1">
      <c r="A299" s="248">
        <f t="shared" si="63"/>
        <v>80</v>
      </c>
      <c r="B299" s="1" t="s">
        <v>591</v>
      </c>
      <c r="C299" s="233" t="str">
        <f ca="1">IFERROR(__xludf.DUMMYFUNCTION("GoogleFinance(B299,""name"")"),"Capital One Financial Corp")</f>
        <v>Capital One Financial Corp</v>
      </c>
      <c r="D299" s="234">
        <f ca="1">IFERROR(__xludf.DUMMYFUNCTION("GoogleFinance(B299,""marketcap"")/1000000"),143279.999356)</f>
        <v>143279.99935599999</v>
      </c>
      <c r="E299" s="229" t="s">
        <v>14</v>
      </c>
      <c r="F299" s="229" t="s">
        <v>21</v>
      </c>
      <c r="G299" s="786">
        <v>45525</v>
      </c>
      <c r="H299" s="588">
        <v>153.4</v>
      </c>
      <c r="I299" s="237">
        <v>139.44999999999999</v>
      </c>
      <c r="J299" s="507">
        <f>3000/I299</f>
        <v>21.513087128002869</v>
      </c>
      <c r="K299" s="249">
        <f>J299*H299</f>
        <v>3300.1075654356405</v>
      </c>
      <c r="L299" s="249"/>
      <c r="M299" s="249">
        <v>3000</v>
      </c>
      <c r="N299" s="508">
        <f t="shared" si="67"/>
        <v>-300.10756543564048</v>
      </c>
      <c r="O299" s="790">
        <f t="shared" si="75"/>
        <v>-9.093872229465462E-2</v>
      </c>
      <c r="P299" s="626">
        <f t="shared" si="65"/>
        <v>29</v>
      </c>
      <c r="Q299" s="26" t="s">
        <v>483</v>
      </c>
      <c r="R299" s="235">
        <v>45554</v>
      </c>
      <c r="S299" s="29" t="s">
        <v>62</v>
      </c>
      <c r="T299" s="22"/>
      <c r="U299" s="22"/>
      <c r="V299" s="22"/>
      <c r="W299" s="22"/>
      <c r="X299" s="22"/>
      <c r="Y299" s="14"/>
      <c r="Z299" s="14"/>
      <c r="AA299" s="14"/>
      <c r="AB299" s="14"/>
      <c r="AC299" s="14"/>
      <c r="AD299" s="22"/>
      <c r="AE299" s="22"/>
      <c r="AF299" s="22"/>
      <c r="AG299" s="22"/>
      <c r="AH299" s="14"/>
      <c r="AI299" s="14"/>
      <c r="AJ299" s="456"/>
      <c r="AK299" s="332"/>
      <c r="AL299" s="456"/>
      <c r="AM299" s="332"/>
      <c r="AN299" s="456"/>
      <c r="AO299" s="332"/>
      <c r="AP299" s="456"/>
      <c r="AQ299" s="28"/>
      <c r="AR299" s="456"/>
      <c r="AS299" s="28"/>
      <c r="AT299" s="28"/>
      <c r="AU299" s="28"/>
      <c r="AV299" s="28"/>
      <c r="AW299" s="311"/>
      <c r="AX299" s="311"/>
      <c r="AY299" s="28"/>
      <c r="AZ299" s="311"/>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row>
    <row r="300" spans="1:82" ht="15.75" customHeight="1">
      <c r="A300" s="248">
        <f t="shared" si="63"/>
        <v>81</v>
      </c>
      <c r="B300" s="1" t="s">
        <v>376</v>
      </c>
      <c r="C300" s="233" t="str">
        <f ca="1">IFERROR(__xludf.DUMMYFUNCTION("GoogleFinance(B300,""name"")"),"Grupo Financiero Galicia SA")</f>
        <v>Grupo Financiero Galicia SA</v>
      </c>
      <c r="D300" s="234">
        <f ca="1">IFERROR(__xludf.DUMMYFUNCTION("GoogleFinance(B300,""marketcap"")/1000000"),4112.099185)</f>
        <v>4112.099185</v>
      </c>
      <c r="E300" s="246" t="s">
        <v>14</v>
      </c>
      <c r="F300" s="246" t="s">
        <v>21</v>
      </c>
      <c r="G300" s="230">
        <v>45238</v>
      </c>
      <c r="H300" s="588">
        <v>45.8</v>
      </c>
      <c r="I300" s="506">
        <v>11.73</v>
      </c>
      <c r="J300" s="507">
        <v>25</v>
      </c>
      <c r="K300" s="249">
        <f>J300*I300</f>
        <v>293.25</v>
      </c>
      <c r="L300" s="249"/>
      <c r="M300" s="249">
        <f t="shared" ref="M300:M330" si="77">J300*H300</f>
        <v>1145</v>
      </c>
      <c r="N300" s="508">
        <f t="shared" si="67"/>
        <v>851.75</v>
      </c>
      <c r="O300" s="509">
        <f t="shared" si="75"/>
        <v>2.9045183290707586</v>
      </c>
      <c r="P300" s="626">
        <f t="shared" si="65"/>
        <v>320</v>
      </c>
      <c r="Q300" s="752" t="s">
        <v>431</v>
      </c>
      <c r="R300" s="235">
        <v>45558</v>
      </c>
      <c r="S300" s="29" t="s">
        <v>580</v>
      </c>
      <c r="T300" s="22"/>
      <c r="U300" s="22"/>
      <c r="V300" s="22"/>
      <c r="W300" s="22"/>
      <c r="X300" s="22"/>
      <c r="Y300" s="14"/>
      <c r="Z300" s="14"/>
      <c r="AA300" s="14"/>
      <c r="AB300" s="14"/>
      <c r="AC300" s="14"/>
      <c r="AD300" s="22"/>
      <c r="AE300" s="22"/>
      <c r="AF300" s="22"/>
      <c r="AG300" s="22"/>
      <c r="AH300" s="14"/>
      <c r="AI300" s="14"/>
      <c r="AJ300" s="456"/>
      <c r="AK300" s="332"/>
      <c r="AL300" s="456"/>
      <c r="AM300" s="332"/>
      <c r="AN300" s="456"/>
      <c r="AO300" s="332"/>
      <c r="AP300" s="456"/>
      <c r="AQ300" s="28"/>
      <c r="AR300" s="456"/>
      <c r="AS300" s="28"/>
      <c r="AT300" s="28"/>
      <c r="AU300" s="28"/>
      <c r="AV300" s="28"/>
      <c r="AW300" s="311"/>
      <c r="AX300" s="311"/>
      <c r="AY300" s="28"/>
      <c r="AZ300" s="311"/>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row>
    <row r="301" spans="1:82" ht="15.75" customHeight="1">
      <c r="A301" s="248">
        <f t="shared" si="63"/>
        <v>82</v>
      </c>
      <c r="B301" s="28" t="s">
        <v>446</v>
      </c>
      <c r="C301" s="510" t="str">
        <f ca="1">IFERROR(__xludf.DUMMYFUNCTION("GoogleFinance(B301,""name"")"),"KraneShares CSI China Internet ETF")</f>
        <v>KraneShares CSI China Internet ETF</v>
      </c>
      <c r="D301" s="511" t="str">
        <f ca="1">IFERROR(__xludf.DUMMYFUNCTION("GoogleFinance(B301,""marketcap"")/1000000"),"#N/A")</f>
        <v>#N/A</v>
      </c>
      <c r="E301" s="743" t="s">
        <v>261</v>
      </c>
      <c r="F301" s="743" t="s">
        <v>7</v>
      </c>
      <c r="G301" s="744">
        <v>45391</v>
      </c>
      <c r="H301" s="745">
        <v>38.4</v>
      </c>
      <c r="I301" s="746">
        <v>27</v>
      </c>
      <c r="J301" s="747">
        <f t="shared" ref="J301:J306" si="78">K301/I301</f>
        <v>111.11111111111111</v>
      </c>
      <c r="K301" s="748">
        <v>3000</v>
      </c>
      <c r="L301" s="748"/>
      <c r="M301" s="748">
        <f t="shared" si="77"/>
        <v>4266.666666666667</v>
      </c>
      <c r="N301" s="749">
        <f t="shared" si="67"/>
        <v>1266.666666666667</v>
      </c>
      <c r="O301" s="750">
        <f t="shared" si="75"/>
        <v>0.42222222222222233</v>
      </c>
      <c r="P301" s="626">
        <f t="shared" si="65"/>
        <v>176</v>
      </c>
      <c r="Q301" s="752" t="s">
        <v>431</v>
      </c>
      <c r="R301" s="235">
        <v>45567</v>
      </c>
      <c r="S301" s="29" t="s">
        <v>580</v>
      </c>
      <c r="T301" s="22"/>
      <c r="U301" s="22"/>
      <c r="V301" s="22"/>
      <c r="W301" s="22"/>
      <c r="X301" s="22"/>
      <c r="Y301" s="14"/>
      <c r="Z301" s="14"/>
      <c r="AA301" s="14"/>
      <c r="AB301" s="14"/>
      <c r="AC301" s="14"/>
      <c r="AD301" s="22"/>
      <c r="AE301" s="22"/>
      <c r="AF301" s="22"/>
      <c r="AG301" s="22"/>
      <c r="AH301" s="14"/>
      <c r="AI301" s="14"/>
      <c r="AJ301" s="456"/>
      <c r="AK301" s="332"/>
      <c r="AL301" s="456"/>
      <c r="AM301" s="332"/>
      <c r="AN301" s="456"/>
      <c r="AO301" s="332"/>
      <c r="AP301" s="456"/>
      <c r="AQ301" s="28"/>
      <c r="AR301" s="456"/>
      <c r="AS301" s="28"/>
      <c r="AT301" s="28"/>
      <c r="AU301" s="28"/>
      <c r="AV301" s="28"/>
      <c r="AW301" s="311"/>
      <c r="AX301" s="311"/>
      <c r="AY301" s="28"/>
      <c r="AZ301" s="311"/>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row>
    <row r="302" spans="1:82" ht="15.75" customHeight="1">
      <c r="A302" s="248">
        <f t="shared" si="63"/>
        <v>83</v>
      </c>
      <c r="B302" s="1" t="s">
        <v>273</v>
      </c>
      <c r="C302" s="233" t="str">
        <f ca="1">IFERROR(__xludf.DUMMYFUNCTION("GoogleFinance(B302,""name"")"),"Global X Uranium ETF")</f>
        <v>Global X Uranium ETF</v>
      </c>
      <c r="D302" s="234" t="str">
        <f ca="1">IFERROR(__xludf.DUMMYFUNCTION("GoogleFinance(B302,""marketcap"")/1000000"),"#N/A")</f>
        <v>#N/A</v>
      </c>
      <c r="E302" s="246" t="s">
        <v>15</v>
      </c>
      <c r="F302" s="246" t="s">
        <v>274</v>
      </c>
      <c r="G302" s="786">
        <v>45546</v>
      </c>
      <c r="H302" s="588">
        <v>30</v>
      </c>
      <c r="I302" s="506">
        <v>25.03</v>
      </c>
      <c r="J302" s="507">
        <f t="shared" si="78"/>
        <v>79.90411506192568</v>
      </c>
      <c r="K302" s="249">
        <v>2000</v>
      </c>
      <c r="L302" s="249"/>
      <c r="M302" s="249">
        <f t="shared" si="77"/>
        <v>2397.1234518577703</v>
      </c>
      <c r="N302" s="508">
        <f t="shared" si="67"/>
        <v>397.12345185777031</v>
      </c>
      <c r="O302" s="509">
        <f t="shared" si="75"/>
        <v>0.19856172592888516</v>
      </c>
      <c r="P302" s="626">
        <f t="shared" si="65"/>
        <v>21</v>
      </c>
      <c r="Q302" s="752" t="s">
        <v>431</v>
      </c>
      <c r="R302" s="235">
        <v>45567</v>
      </c>
      <c r="S302" s="29" t="s">
        <v>580</v>
      </c>
      <c r="T302" s="22"/>
      <c r="U302" s="22"/>
      <c r="V302" s="22"/>
      <c r="W302" s="22"/>
      <c r="X302" s="22"/>
      <c r="Y302" s="14"/>
      <c r="Z302" s="14"/>
      <c r="AA302" s="14"/>
      <c r="AB302" s="14"/>
      <c r="AC302" s="14"/>
      <c r="AD302" s="22"/>
      <c r="AE302" s="22"/>
      <c r="AF302" s="22"/>
      <c r="AG302" s="22"/>
      <c r="AH302" s="14"/>
      <c r="AI302" s="14"/>
      <c r="AJ302" s="456"/>
      <c r="AK302" s="332"/>
      <c r="AL302" s="456"/>
      <c r="AM302" s="332"/>
      <c r="AN302" s="456"/>
      <c r="AO302" s="332"/>
      <c r="AP302" s="456"/>
      <c r="AQ302" s="28"/>
      <c r="AR302" s="456"/>
      <c r="AS302" s="28"/>
      <c r="AT302" s="28"/>
      <c r="AU302" s="28"/>
      <c r="AV302" s="28"/>
      <c r="AW302" s="311"/>
      <c r="AX302" s="311"/>
      <c r="AY302" s="28"/>
      <c r="AZ302" s="311"/>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row>
    <row r="303" spans="1:82" ht="15.75" customHeight="1">
      <c r="A303" s="248">
        <f t="shared" si="63"/>
        <v>84</v>
      </c>
      <c r="B303" s="1" t="s">
        <v>432</v>
      </c>
      <c r="C303" s="233" t="str">
        <f ca="1">IFERROR(__xludf.DUMMYFUNCTION("GoogleFinance(B303,""name"")"),"IONQ Inc")</f>
        <v>IONQ Inc</v>
      </c>
      <c r="D303" s="234">
        <f ca="1">IFERROR(__xludf.DUMMYFUNCTION("GoogleFinance(B303,""marketcap"")/1000000"),21735.106365)</f>
        <v>21735.106365</v>
      </c>
      <c r="E303" s="246" t="s">
        <v>7</v>
      </c>
      <c r="F303" s="246" t="s">
        <v>433</v>
      </c>
      <c r="G303" s="786">
        <v>45519</v>
      </c>
      <c r="H303" s="588">
        <v>11.51</v>
      </c>
      <c r="I303" s="506">
        <v>7.51</v>
      </c>
      <c r="J303" s="507">
        <f t="shared" si="78"/>
        <v>66.577896138482032</v>
      </c>
      <c r="K303" s="249">
        <v>500</v>
      </c>
      <c r="L303" s="249"/>
      <c r="M303" s="249">
        <f t="shared" si="77"/>
        <v>766.31158455392813</v>
      </c>
      <c r="N303" s="508">
        <f t="shared" si="67"/>
        <v>266.31158455392813</v>
      </c>
      <c r="O303" s="509">
        <f t="shared" si="75"/>
        <v>0.53262316910785623</v>
      </c>
      <c r="P303" s="626">
        <f t="shared" si="65"/>
        <v>62</v>
      </c>
      <c r="Q303" s="752" t="s">
        <v>431</v>
      </c>
      <c r="R303" s="235">
        <v>45581</v>
      </c>
      <c r="S303" s="29" t="s">
        <v>580</v>
      </c>
      <c r="T303" s="22"/>
      <c r="U303" s="22"/>
      <c r="V303" s="22"/>
      <c r="W303" s="22"/>
      <c r="X303" s="22"/>
      <c r="Y303" s="14"/>
      <c r="Z303" s="14"/>
      <c r="AA303" s="14"/>
      <c r="AB303" s="14"/>
      <c r="AC303" s="14"/>
      <c r="AD303" s="22"/>
      <c r="AE303" s="22"/>
      <c r="AF303" s="22"/>
      <c r="AG303" s="22"/>
      <c r="AH303" s="14"/>
      <c r="AI303" s="14"/>
      <c r="AJ303" s="456"/>
      <c r="AK303" s="332"/>
      <c r="AL303" s="456"/>
      <c r="AM303" s="332"/>
      <c r="AN303" s="456"/>
      <c r="AO303" s="332"/>
      <c r="AP303" s="456"/>
      <c r="AQ303" s="28"/>
      <c r="AR303" s="456"/>
      <c r="AS303" s="28"/>
      <c r="AT303" s="28"/>
      <c r="AU303" s="28"/>
      <c r="AV303" s="28"/>
      <c r="AW303" s="311"/>
      <c r="AX303" s="311"/>
      <c r="AY303" s="28"/>
      <c r="AZ303" s="311"/>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row>
    <row r="304" spans="1:82" ht="15.75" customHeight="1">
      <c r="A304" s="248">
        <f t="shared" si="63"/>
        <v>85</v>
      </c>
      <c r="B304" s="1" t="s">
        <v>548</v>
      </c>
      <c r="C304" s="233" t="str">
        <f ca="1">IFERROR(__xludf.DUMMYFUNCTION("GoogleFinance(B304,""name"")"),"ProShares UltraPro Short QQQ")</f>
        <v>ProShares UltraPro Short QQQ</v>
      </c>
      <c r="D304" s="234" t="str">
        <f ca="1">IFERROR(__xludf.DUMMYFUNCTION("GoogleFinance(B304,""marketcap"")/1000000"),"#N/A")</f>
        <v>#N/A</v>
      </c>
      <c r="E304" s="246" t="s">
        <v>579</v>
      </c>
      <c r="F304" s="246" t="s">
        <v>579</v>
      </c>
      <c r="G304" s="786">
        <v>45526</v>
      </c>
      <c r="H304" s="588">
        <v>7.44</v>
      </c>
      <c r="I304" s="506">
        <v>7.9</v>
      </c>
      <c r="J304" s="507">
        <f t="shared" si="78"/>
        <v>253.1645569620253</v>
      </c>
      <c r="K304" s="249">
        <v>2000</v>
      </c>
      <c r="L304" s="249"/>
      <c r="M304" s="249">
        <f t="shared" si="77"/>
        <v>1883.5443037974683</v>
      </c>
      <c r="N304" s="508">
        <f t="shared" si="67"/>
        <v>-116.45569620253173</v>
      </c>
      <c r="O304" s="509">
        <f t="shared" si="75"/>
        <v>-5.8227848101265862E-2</v>
      </c>
      <c r="P304" s="626">
        <f t="shared" si="65"/>
        <v>64</v>
      </c>
      <c r="Q304" s="26" t="s">
        <v>483</v>
      </c>
      <c r="R304" s="235">
        <v>45590</v>
      </c>
      <c r="S304" s="29" t="s">
        <v>62</v>
      </c>
      <c r="T304" s="22"/>
      <c r="U304" s="22"/>
      <c r="V304" s="22"/>
      <c r="W304" s="22"/>
      <c r="X304" s="22"/>
      <c r="Y304" s="14"/>
      <c r="Z304" s="14"/>
      <c r="AA304" s="14"/>
      <c r="AB304" s="14"/>
      <c r="AC304" s="14"/>
      <c r="AD304" s="22"/>
      <c r="AE304" s="22"/>
      <c r="AF304" s="22"/>
      <c r="AG304" s="22"/>
      <c r="AH304" s="14"/>
      <c r="AI304" s="14"/>
      <c r="AJ304" s="456"/>
      <c r="AK304" s="332"/>
      <c r="AL304" s="456"/>
      <c r="AM304" s="332"/>
      <c r="AN304" s="456"/>
      <c r="AO304" s="332"/>
      <c r="AP304" s="456"/>
      <c r="AQ304" s="28"/>
      <c r="AR304" s="456"/>
      <c r="AS304" s="28"/>
      <c r="AT304" s="28"/>
      <c r="AU304" s="28"/>
      <c r="AV304" s="28"/>
      <c r="AW304" s="311"/>
      <c r="AX304" s="311"/>
      <c r="AY304" s="28"/>
      <c r="AZ304" s="311"/>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row>
    <row r="305" spans="1:82" ht="15.75" customHeight="1">
      <c r="A305" s="248">
        <f t="shared" si="63"/>
        <v>86</v>
      </c>
      <c r="B305" s="1" t="s">
        <v>592</v>
      </c>
      <c r="C305" s="233" t="str">
        <f ca="1">IFERROR(__xludf.DUMMYFUNCTION("GoogleFinance(B305,""name"")"),"Tradr 1X Short Innovation Daily ETF")</f>
        <v>Tradr 1X Short Innovation Daily ETF</v>
      </c>
      <c r="D305" s="234" t="str">
        <f ca="1">IFERROR(__xludf.DUMMYFUNCTION("GoogleFinance(B305,""marketcap"")/1000000"),"#N/A")</f>
        <v>#N/A</v>
      </c>
      <c r="E305" s="246" t="s">
        <v>593</v>
      </c>
      <c r="F305" s="246" t="s">
        <v>594</v>
      </c>
      <c r="G305" s="786">
        <v>45569</v>
      </c>
      <c r="H305" s="588">
        <f ca="1">IFERROR(__xludf.DUMMYFUNCTION("GOOGLEFINANCE(B305)"),29.9)</f>
        <v>29.9</v>
      </c>
      <c r="I305" s="506">
        <v>27.74</v>
      </c>
      <c r="J305" s="507">
        <f t="shared" si="78"/>
        <v>36.049026676279745</v>
      </c>
      <c r="K305" s="249">
        <v>1000</v>
      </c>
      <c r="L305" s="249"/>
      <c r="M305" s="249">
        <f t="shared" ca="1" si="77"/>
        <v>1077.8658976207644</v>
      </c>
      <c r="N305" s="508">
        <f t="shared" ca="1" si="67"/>
        <v>77.865897620764372</v>
      </c>
      <c r="O305" s="509">
        <f t="shared" ca="1" si="75"/>
        <v>7.7865897620764374E-2</v>
      </c>
      <c r="P305" s="626">
        <f t="shared" si="65"/>
        <v>25</v>
      </c>
      <c r="Q305" s="26" t="s">
        <v>483</v>
      </c>
      <c r="R305" s="235">
        <v>45594</v>
      </c>
      <c r="S305" s="29" t="s">
        <v>62</v>
      </c>
      <c r="T305" s="22"/>
      <c r="U305" s="22"/>
      <c r="V305" s="22"/>
      <c r="W305" s="22"/>
      <c r="X305" s="22"/>
      <c r="Y305" s="14"/>
      <c r="Z305" s="14"/>
      <c r="AA305" s="14"/>
      <c r="AB305" s="14"/>
      <c r="AC305" s="14"/>
      <c r="AD305" s="22"/>
      <c r="AE305" s="22"/>
      <c r="AF305" s="22"/>
      <c r="AG305" s="22"/>
      <c r="AH305" s="14"/>
      <c r="AI305" s="14"/>
      <c r="AJ305" s="456"/>
      <c r="AK305" s="332"/>
      <c r="AL305" s="456"/>
      <c r="AM305" s="332"/>
      <c r="AN305" s="456"/>
      <c r="AO305" s="332"/>
      <c r="AP305" s="456"/>
      <c r="AQ305" s="28"/>
      <c r="AR305" s="456"/>
      <c r="AS305" s="28"/>
      <c r="AT305" s="28"/>
      <c r="AU305" s="28"/>
      <c r="AV305" s="28"/>
      <c r="AW305" s="311"/>
      <c r="AX305" s="311"/>
      <c r="AY305" s="28"/>
      <c r="AZ305" s="311"/>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row>
    <row r="306" spans="1:82" ht="15.75" customHeight="1">
      <c r="A306" s="248">
        <f t="shared" si="63"/>
        <v>87</v>
      </c>
      <c r="B306" s="1" t="s">
        <v>595</v>
      </c>
      <c r="C306" s="233" t="str">
        <f ca="1">IFERROR(__xludf.DUMMYFUNCTION("GoogleFinance(B306,""name"")"),"Aehr Test Systems")</f>
        <v>Aehr Test Systems</v>
      </c>
      <c r="D306" s="234">
        <f ca="1">IFERROR(__xludf.DUMMYFUNCTION("GoogleFinance(B306,""marketcap"")/1000000"),904.763522)</f>
        <v>904.76352199999997</v>
      </c>
      <c r="E306" s="246" t="s">
        <v>596</v>
      </c>
      <c r="F306" s="246" t="s">
        <v>23</v>
      </c>
      <c r="G306" s="230">
        <v>45590</v>
      </c>
      <c r="H306" s="588">
        <v>15</v>
      </c>
      <c r="I306" s="506">
        <v>17.09</v>
      </c>
      <c r="J306" s="507">
        <f t="shared" si="78"/>
        <v>58.513750731421887</v>
      </c>
      <c r="K306" s="249">
        <v>1000</v>
      </c>
      <c r="L306" s="249"/>
      <c r="M306" s="249">
        <f t="shared" si="77"/>
        <v>877.70626097132833</v>
      </c>
      <c r="N306" s="508">
        <f t="shared" si="67"/>
        <v>-122.29373902867167</v>
      </c>
      <c r="O306" s="509">
        <f t="shared" si="75"/>
        <v>-0.12229373902867166</v>
      </c>
      <c r="P306" s="626">
        <f t="shared" si="65"/>
        <v>5</v>
      </c>
      <c r="Q306" s="26" t="s">
        <v>483</v>
      </c>
      <c r="R306" s="235">
        <v>45595</v>
      </c>
      <c r="S306" s="29" t="s">
        <v>62</v>
      </c>
      <c r="T306" s="22"/>
      <c r="U306" s="22"/>
      <c r="V306" s="22"/>
      <c r="W306" s="22"/>
      <c r="X306" s="22"/>
      <c r="Y306" s="14"/>
      <c r="Z306" s="14"/>
      <c r="AA306" s="14"/>
      <c r="AB306" s="14"/>
      <c r="AC306" s="14"/>
      <c r="AD306" s="22"/>
      <c r="AE306" s="22"/>
      <c r="AF306" s="22"/>
      <c r="AG306" s="22"/>
      <c r="AH306" s="14"/>
      <c r="AI306" s="14"/>
      <c r="AJ306" s="25"/>
      <c r="AK306" s="14"/>
      <c r="AL306" s="25"/>
      <c r="AM306" s="14"/>
      <c r="AN306" s="25"/>
      <c r="AO306" s="14"/>
      <c r="AP306" s="25"/>
      <c r="AQ306" s="1"/>
      <c r="AR306" s="25"/>
      <c r="AS306" s="1"/>
      <c r="AT306" s="1"/>
      <c r="AU306" s="1"/>
      <c r="AV306" s="1"/>
      <c r="AW306" s="22"/>
      <c r="AX306" s="22"/>
      <c r="AY306" s="1"/>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row>
    <row r="307" spans="1:82" ht="15.75" customHeight="1">
      <c r="A307" s="248">
        <f t="shared" si="63"/>
        <v>88</v>
      </c>
      <c r="B307" s="1" t="s">
        <v>376</v>
      </c>
      <c r="C307" s="233" t="str">
        <f ca="1">IFERROR(__xludf.DUMMYFUNCTION("GoogleFinance(B307,""name"")"),"Grupo Financiero Galicia SA")</f>
        <v>Grupo Financiero Galicia SA</v>
      </c>
      <c r="D307" s="234">
        <f ca="1">IFERROR(__xludf.DUMMYFUNCTION("GoogleFinance(B307,""marketcap"")/1000000"),4112.099185)</f>
        <v>4112.099185</v>
      </c>
      <c r="E307" s="246" t="s">
        <v>14</v>
      </c>
      <c r="F307" s="246" t="s">
        <v>21</v>
      </c>
      <c r="G307" s="230">
        <v>45238</v>
      </c>
      <c r="H307" s="588">
        <f ca="1">IFERROR(__xludf.DUMMYFUNCTION("GOOGLEFINANCE(B307)"),29.58)</f>
        <v>29.58</v>
      </c>
      <c r="I307" s="506">
        <v>11.73</v>
      </c>
      <c r="J307" s="507">
        <v>12</v>
      </c>
      <c r="K307" s="249">
        <f t="shared" ref="K307:K308" si="79">J307*I307</f>
        <v>140.76</v>
      </c>
      <c r="L307" s="249"/>
      <c r="M307" s="249">
        <f t="shared" ca="1" si="77"/>
        <v>354.96</v>
      </c>
      <c r="N307" s="508">
        <f t="shared" ca="1" si="67"/>
        <v>214.2</v>
      </c>
      <c r="O307" s="509">
        <f t="shared" ca="1" si="75"/>
        <v>1.5217391304347827</v>
      </c>
      <c r="P307" s="626">
        <f t="shared" si="65"/>
        <v>364</v>
      </c>
      <c r="Q307" s="752" t="s">
        <v>431</v>
      </c>
      <c r="R307" s="235">
        <v>45602</v>
      </c>
      <c r="S307" s="29" t="s">
        <v>580</v>
      </c>
      <c r="T307" s="22"/>
      <c r="U307" s="22"/>
      <c r="V307" s="22"/>
      <c r="W307" s="22"/>
      <c r="X307" s="22"/>
      <c r="Y307" s="14"/>
      <c r="Z307" s="14"/>
      <c r="AA307" s="14"/>
      <c r="AB307" s="14"/>
      <c r="AC307" s="14"/>
      <c r="AD307" s="22"/>
      <c r="AE307" s="22"/>
      <c r="AF307" s="22"/>
      <c r="AG307" s="22"/>
      <c r="AH307" s="14"/>
      <c r="AI307" s="14"/>
      <c r="AJ307" s="456"/>
      <c r="AK307" s="332"/>
      <c r="AL307" s="456"/>
      <c r="AM307" s="332"/>
      <c r="AN307" s="456"/>
      <c r="AO307" s="332"/>
      <c r="AP307" s="456"/>
      <c r="AQ307" s="28"/>
      <c r="AR307" s="456"/>
      <c r="AS307" s="28"/>
      <c r="AT307" s="28"/>
      <c r="AU307" s="28"/>
      <c r="AV307" s="28"/>
      <c r="AW307" s="311"/>
      <c r="AX307" s="311"/>
      <c r="AY307" s="28"/>
      <c r="AZ307" s="311"/>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row>
    <row r="308" spans="1:82" ht="15.75" customHeight="1">
      <c r="A308" s="248">
        <f t="shared" si="63"/>
        <v>89</v>
      </c>
      <c r="B308" s="1" t="s">
        <v>455</v>
      </c>
      <c r="C308" s="233" t="str">
        <f ca="1">IFERROR(__xludf.DUMMYFUNCTION("GoogleFinance(B308,""name"")"),"Baker Hughes Co")</f>
        <v>Baker Hughes Co</v>
      </c>
      <c r="D308" s="234">
        <f ca="1">IFERROR(__xludf.DUMMYFUNCTION("GoogleFinance(B308,""marketcap"")/1000000"),49806.607531)</f>
        <v>49806.607531000001</v>
      </c>
      <c r="E308" s="246" t="s">
        <v>15</v>
      </c>
      <c r="F308" s="246" t="s">
        <v>42</v>
      </c>
      <c r="G308" s="230">
        <v>45463</v>
      </c>
      <c r="H308" s="588">
        <f ca="1">IFERROR(__xludf.DUMMYFUNCTION("GOOGLEFINANCE(B308)"),50.52)</f>
        <v>50.52</v>
      </c>
      <c r="I308" s="506">
        <v>32.9</v>
      </c>
      <c r="J308" s="507">
        <v>30</v>
      </c>
      <c r="K308" s="249">
        <f t="shared" si="79"/>
        <v>987</v>
      </c>
      <c r="L308" s="249"/>
      <c r="M308" s="249">
        <f t="shared" ca="1" si="77"/>
        <v>1515.6000000000001</v>
      </c>
      <c r="N308" s="508">
        <f t="shared" ca="1" si="67"/>
        <v>528.60000000000014</v>
      </c>
      <c r="O308" s="509">
        <f t="shared" ca="1" si="75"/>
        <v>0.53556231003039523</v>
      </c>
      <c r="P308" s="626">
        <f ca="1">TODAY()-G308</f>
        <v>466</v>
      </c>
      <c r="Q308" s="752" t="s">
        <v>431</v>
      </c>
      <c r="R308" s="235">
        <v>45602</v>
      </c>
      <c r="S308" s="29" t="s">
        <v>580</v>
      </c>
      <c r="T308" s="22"/>
      <c r="U308" s="22"/>
      <c r="V308" s="22"/>
      <c r="W308" s="22"/>
      <c r="X308" s="22"/>
      <c r="Y308" s="14"/>
      <c r="Z308" s="14"/>
      <c r="AA308" s="14"/>
      <c r="AB308" s="14"/>
      <c r="AC308" s="14"/>
      <c r="AD308" s="22"/>
      <c r="AE308" s="22"/>
      <c r="AF308" s="22"/>
      <c r="AG308" s="22"/>
      <c r="AH308" s="14"/>
      <c r="AI308" s="14"/>
      <c r="AJ308" s="456"/>
      <c r="AK308" s="332"/>
      <c r="AL308" s="456"/>
      <c r="AM308" s="332"/>
      <c r="AN308" s="456"/>
      <c r="AO308" s="332"/>
      <c r="AP308" s="456"/>
      <c r="AQ308" s="28"/>
      <c r="AR308" s="456"/>
      <c r="AS308" s="28"/>
      <c r="AT308" s="28"/>
      <c r="AU308" s="28"/>
      <c r="AV308" s="28"/>
      <c r="AW308" s="311"/>
      <c r="AX308" s="311"/>
      <c r="AY308" s="28"/>
      <c r="AZ308" s="311"/>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row>
    <row r="309" spans="1:82" ht="15.75" customHeight="1">
      <c r="A309" s="248">
        <f t="shared" si="63"/>
        <v>90</v>
      </c>
      <c r="B309" s="1" t="s">
        <v>564</v>
      </c>
      <c r="C309" s="233" t="str">
        <f ca="1">IFERROR(__xludf.DUMMYFUNCTION("GoogleFinance(B309,""name"")"),"Direxion Daily Financial Bear 3x Shares")</f>
        <v>Direxion Daily Financial Bear 3x Shares</v>
      </c>
      <c r="D309" s="234">
        <f ca="1">IFERROR(__xludf.DUMMYFUNCTION("GoogleFinance(B309,""marketcap"")/1000000"),225.70083)</f>
        <v>225.70083</v>
      </c>
      <c r="E309" s="246" t="s">
        <v>597</v>
      </c>
      <c r="F309" s="246" t="s">
        <v>597</v>
      </c>
      <c r="G309" s="786">
        <v>45602</v>
      </c>
      <c r="H309" s="588">
        <v>6</v>
      </c>
      <c r="I309" s="506">
        <v>6.29</v>
      </c>
      <c r="J309" s="507">
        <f>K309/I309</f>
        <v>79.491255961844203</v>
      </c>
      <c r="K309" s="249">
        <v>500</v>
      </c>
      <c r="L309" s="249"/>
      <c r="M309" s="249">
        <f t="shared" si="77"/>
        <v>476.94753577106519</v>
      </c>
      <c r="N309" s="508">
        <f t="shared" si="67"/>
        <v>-23.052464228934809</v>
      </c>
      <c r="O309" s="509">
        <f t="shared" si="75"/>
        <v>-4.6104928457869621E-2</v>
      </c>
      <c r="P309" s="626">
        <f t="shared" ref="P309:P330" si="80">R309-G309</f>
        <v>0</v>
      </c>
      <c r="Q309" s="26" t="s">
        <v>483</v>
      </c>
      <c r="R309" s="235">
        <v>45602</v>
      </c>
      <c r="S309" s="29" t="s">
        <v>62</v>
      </c>
      <c r="T309" s="22"/>
      <c r="U309" s="22"/>
      <c r="V309" s="22"/>
      <c r="W309" s="22"/>
      <c r="X309" s="22"/>
      <c r="Y309" s="14"/>
      <c r="Z309" s="14"/>
      <c r="AA309" s="14"/>
      <c r="AB309" s="14"/>
      <c r="AC309" s="14"/>
      <c r="AD309" s="22"/>
      <c r="AE309" s="22"/>
      <c r="AF309" s="22"/>
      <c r="AG309" s="22"/>
      <c r="AH309" s="14"/>
      <c r="AI309" s="14"/>
      <c r="AJ309" s="456"/>
      <c r="AK309" s="332"/>
      <c r="AL309" s="456"/>
      <c r="AM309" s="332"/>
      <c r="AN309" s="456"/>
      <c r="AO309" s="332"/>
      <c r="AP309" s="456"/>
      <c r="AQ309" s="28"/>
      <c r="AR309" s="456"/>
      <c r="AS309" s="28"/>
      <c r="AT309" s="28"/>
      <c r="AU309" s="28"/>
      <c r="AV309" s="28"/>
      <c r="AW309" s="311"/>
      <c r="AX309" s="311"/>
      <c r="AY309" s="28"/>
      <c r="AZ309" s="311"/>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row>
    <row r="310" spans="1:82" ht="15.75" customHeight="1">
      <c r="A310" s="248">
        <f t="shared" si="63"/>
        <v>91</v>
      </c>
      <c r="B310" s="765" t="s">
        <v>432</v>
      </c>
      <c r="C310" s="766" t="str">
        <f ca="1">IFERROR(__xludf.DUMMYFUNCTION("GoogleFinance(B310,""name"")"),"IONQ Inc")</f>
        <v>IONQ Inc</v>
      </c>
      <c r="D310" s="767">
        <f ca="1">IFERROR(__xludf.DUMMYFUNCTION("GoogleFinance(B310,""marketcap"")/1000000"),21735.106365)</f>
        <v>21735.106365</v>
      </c>
      <c r="E310" s="559" t="s">
        <v>7</v>
      </c>
      <c r="F310" s="559" t="s">
        <v>433</v>
      </c>
      <c r="G310" s="842">
        <v>45519</v>
      </c>
      <c r="H310" s="561">
        <v>20.3</v>
      </c>
      <c r="I310" s="769">
        <v>7.51</v>
      </c>
      <c r="J310" s="770">
        <v>30</v>
      </c>
      <c r="K310" s="249">
        <f t="shared" ref="K310:K311" si="81">J310*I310</f>
        <v>225.29999999999998</v>
      </c>
      <c r="L310" s="771"/>
      <c r="M310" s="771">
        <f t="shared" si="77"/>
        <v>609</v>
      </c>
      <c r="N310" s="773">
        <f t="shared" si="67"/>
        <v>383.70000000000005</v>
      </c>
      <c r="O310" s="774">
        <f t="shared" si="75"/>
        <v>1.7030625832223705</v>
      </c>
      <c r="P310" s="626">
        <f t="shared" si="80"/>
        <v>83</v>
      </c>
      <c r="Q310" s="752" t="s">
        <v>431</v>
      </c>
      <c r="R310" s="235">
        <v>45602</v>
      </c>
      <c r="S310" s="29" t="s">
        <v>580</v>
      </c>
      <c r="T310" s="22"/>
      <c r="U310" s="22"/>
      <c r="V310" s="22"/>
      <c r="W310" s="22"/>
      <c r="X310" s="22"/>
      <c r="Y310" s="14"/>
      <c r="Z310" s="14"/>
      <c r="AA310" s="14"/>
      <c r="AB310" s="14"/>
      <c r="AC310" s="14"/>
      <c r="AD310" s="22"/>
      <c r="AE310" s="22"/>
      <c r="AF310" s="22"/>
      <c r="AG310" s="22"/>
      <c r="AH310" s="14"/>
      <c r="AI310" s="14"/>
      <c r="AJ310" s="456"/>
      <c r="AK310" s="332"/>
      <c r="AL310" s="456"/>
      <c r="AM310" s="332"/>
      <c r="AN310" s="456"/>
      <c r="AO310" s="332"/>
      <c r="AP310" s="456"/>
      <c r="AQ310" s="28"/>
      <c r="AR310" s="456"/>
      <c r="AS310" s="28"/>
      <c r="AT310" s="28"/>
      <c r="AU310" s="28"/>
      <c r="AV310" s="28"/>
      <c r="AW310" s="311"/>
      <c r="AX310" s="311"/>
      <c r="AY310" s="28"/>
      <c r="AZ310" s="311"/>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row>
    <row r="311" spans="1:82" ht="15.75" customHeight="1">
      <c r="A311" s="248">
        <f t="shared" si="63"/>
        <v>92</v>
      </c>
      <c r="B311" s="1" t="s">
        <v>435</v>
      </c>
      <c r="C311" s="233" t="str">
        <f ca="1">IFERROR(__xludf.DUMMYFUNCTION("GoogleFinance(B311,""name"")"),"D-Wave Quantum Inc")</f>
        <v>D-Wave Quantum Inc</v>
      </c>
      <c r="D311" s="234">
        <f ca="1">IFERROR(__xludf.DUMMYFUNCTION("GoogleFinance(B311,""marketcap"")/1000000"),9152.409786)</f>
        <v>9152.4097860000002</v>
      </c>
      <c r="E311" s="246" t="s">
        <v>7</v>
      </c>
      <c r="F311" s="246" t="s">
        <v>433</v>
      </c>
      <c r="G311" s="230">
        <v>45562</v>
      </c>
      <c r="H311" s="588">
        <v>2</v>
      </c>
      <c r="I311" s="506">
        <v>1.01</v>
      </c>
      <c r="J311" s="507">
        <v>700</v>
      </c>
      <c r="K311" s="249">
        <f t="shared" si="81"/>
        <v>707</v>
      </c>
      <c r="L311" s="249"/>
      <c r="M311" s="249">
        <f t="shared" si="77"/>
        <v>1400</v>
      </c>
      <c r="N311" s="508">
        <f t="shared" si="67"/>
        <v>693</v>
      </c>
      <c r="O311" s="509">
        <f t="shared" si="75"/>
        <v>0.98019801980198018</v>
      </c>
      <c r="P311" s="626">
        <f t="shared" si="80"/>
        <v>47</v>
      </c>
      <c r="Q311" s="752" t="s">
        <v>431</v>
      </c>
      <c r="R311" s="235">
        <v>45609</v>
      </c>
      <c r="S311" s="29" t="s">
        <v>580</v>
      </c>
      <c r="T311" s="22"/>
      <c r="U311" s="22"/>
      <c r="V311" s="22"/>
      <c r="W311" s="22"/>
      <c r="X311" s="22"/>
      <c r="Y311" s="14"/>
      <c r="Z311" s="14"/>
      <c r="AA311" s="14"/>
      <c r="AB311" s="14"/>
      <c r="AC311" s="14"/>
      <c r="AD311" s="22"/>
      <c r="AE311" s="22"/>
      <c r="AF311" s="22"/>
      <c r="AG311" s="22"/>
      <c r="AH311" s="14"/>
      <c r="AI311" s="14"/>
      <c r="AJ311" s="456"/>
      <c r="AK311" s="332"/>
      <c r="AL311" s="456"/>
      <c r="AM311" s="332"/>
      <c r="AN311" s="456"/>
      <c r="AO311" s="332"/>
      <c r="AP311" s="456"/>
      <c r="AQ311" s="28"/>
      <c r="AR311" s="456"/>
      <c r="AS311" s="28"/>
      <c r="AT311" s="28"/>
      <c r="AU311" s="28"/>
      <c r="AV311" s="28"/>
      <c r="AW311" s="311"/>
      <c r="AX311" s="311"/>
      <c r="AY311" s="28"/>
      <c r="AZ311" s="311"/>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row>
    <row r="312" spans="1:82" ht="15.75" customHeight="1">
      <c r="A312" s="248">
        <f t="shared" si="63"/>
        <v>93</v>
      </c>
      <c r="B312" s="1" t="s">
        <v>434</v>
      </c>
      <c r="C312" s="233" t="str">
        <f ca="1">IFERROR(__xludf.DUMMYFUNCTION("GoogleFinance(B312,""name"")"),"Rigetti Computing Inc")</f>
        <v>Rigetti Computing Inc</v>
      </c>
      <c r="D312" s="234">
        <f ca="1">IFERROR(__xludf.DUMMYFUNCTION("GoogleFinance(B312,""marketcap"")/1000000"),10107.47)</f>
        <v>10107.469999999999</v>
      </c>
      <c r="E312" s="246" t="s">
        <v>7</v>
      </c>
      <c r="F312" s="246" t="s">
        <v>433</v>
      </c>
      <c r="G312" s="786">
        <v>45603</v>
      </c>
      <c r="H312" s="588">
        <v>1.8</v>
      </c>
      <c r="I312" s="506">
        <v>1.4</v>
      </c>
      <c r="J312" s="507">
        <f>1000/I312</f>
        <v>714.28571428571433</v>
      </c>
      <c r="K312" s="249">
        <v>500</v>
      </c>
      <c r="L312" s="249"/>
      <c r="M312" s="249">
        <f t="shared" si="77"/>
        <v>1285.7142857142858</v>
      </c>
      <c r="N312" s="508">
        <f t="shared" si="67"/>
        <v>785.71428571428578</v>
      </c>
      <c r="O312" s="509">
        <f t="shared" si="75"/>
        <v>1.5714285714285716</v>
      </c>
      <c r="P312" s="626">
        <f t="shared" si="80"/>
        <v>6</v>
      </c>
      <c r="Q312" s="752" t="s">
        <v>431</v>
      </c>
      <c r="R312" s="235">
        <v>45609</v>
      </c>
      <c r="S312" s="29" t="s">
        <v>580</v>
      </c>
      <c r="T312" s="22"/>
      <c r="U312" s="22"/>
      <c r="V312" s="22"/>
      <c r="W312" s="22"/>
      <c r="X312" s="22"/>
      <c r="Y312" s="14"/>
      <c r="Z312" s="14"/>
      <c r="AA312" s="14"/>
      <c r="AB312" s="14"/>
      <c r="AC312" s="14"/>
      <c r="AD312" s="22"/>
      <c r="AE312" s="22"/>
      <c r="AF312" s="22"/>
      <c r="AG312" s="22"/>
      <c r="AH312" s="14"/>
      <c r="AI312" s="14"/>
      <c r="AJ312" s="456"/>
      <c r="AK312" s="332"/>
      <c r="AL312" s="456"/>
      <c r="AM312" s="332"/>
      <c r="AN312" s="456"/>
      <c r="AO312" s="332"/>
      <c r="AP312" s="456"/>
      <c r="AQ312" s="28"/>
      <c r="AR312" s="456"/>
      <c r="AS312" s="28"/>
      <c r="AT312" s="28"/>
      <c r="AU312" s="28"/>
      <c r="AV312" s="28"/>
      <c r="AW312" s="311"/>
      <c r="AX312" s="311"/>
      <c r="AY312" s="28"/>
      <c r="AZ312" s="311"/>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row>
    <row r="313" spans="1:82" ht="15.75" customHeight="1">
      <c r="A313" s="248">
        <f t="shared" si="63"/>
        <v>94</v>
      </c>
      <c r="B313" s="765" t="s">
        <v>432</v>
      </c>
      <c r="C313" s="766" t="str">
        <f ca="1">IFERROR(__xludf.DUMMYFUNCTION("GoogleFinance(B313,""name"")"),"IONQ Inc")</f>
        <v>IONQ Inc</v>
      </c>
      <c r="D313" s="767">
        <f ca="1">IFERROR(__xludf.DUMMYFUNCTION("GoogleFinance(B313,""marketcap"")/1000000"),21735.106365)</f>
        <v>21735.106365</v>
      </c>
      <c r="E313" s="559" t="s">
        <v>7</v>
      </c>
      <c r="F313" s="559" t="s">
        <v>433</v>
      </c>
      <c r="G313" s="842">
        <v>45519</v>
      </c>
      <c r="H313" s="561">
        <v>27.2</v>
      </c>
      <c r="I313" s="769">
        <v>7.51</v>
      </c>
      <c r="J313" s="770">
        <v>10</v>
      </c>
      <c r="K313" s="771">
        <f>J313*I313</f>
        <v>75.099999999999994</v>
      </c>
      <c r="L313" s="771"/>
      <c r="M313" s="771">
        <f t="shared" si="77"/>
        <v>272</v>
      </c>
      <c r="N313" s="773">
        <f t="shared" si="67"/>
        <v>196.9</v>
      </c>
      <c r="O313" s="774">
        <f t="shared" si="75"/>
        <v>2.6218375499334226</v>
      </c>
      <c r="P313" s="626">
        <f t="shared" si="80"/>
        <v>90</v>
      </c>
      <c r="Q313" s="752" t="s">
        <v>431</v>
      </c>
      <c r="R313" s="235">
        <v>45609</v>
      </c>
      <c r="S313" s="29" t="s">
        <v>580</v>
      </c>
      <c r="T313" s="22"/>
      <c r="U313" s="22"/>
      <c r="V313" s="22"/>
      <c r="W313" s="22"/>
      <c r="X313" s="22"/>
      <c r="Y313" s="14"/>
      <c r="Z313" s="14"/>
      <c r="AA313" s="14"/>
      <c r="AB313" s="14"/>
      <c r="AC313" s="14"/>
      <c r="AD313" s="22"/>
      <c r="AE313" s="22"/>
      <c r="AF313" s="22"/>
      <c r="AG313" s="22"/>
      <c r="AH313" s="14"/>
      <c r="AI313" s="14"/>
      <c r="AJ313" s="456"/>
      <c r="AK313" s="332"/>
      <c r="AL313" s="456"/>
      <c r="AM313" s="332"/>
      <c r="AN313" s="456"/>
      <c r="AO313" s="332"/>
      <c r="AP313" s="456"/>
      <c r="AQ313" s="28"/>
      <c r="AR313" s="456"/>
      <c r="AS313" s="28"/>
      <c r="AT313" s="28"/>
      <c r="AU313" s="28"/>
      <c r="AV313" s="28"/>
      <c r="AW313" s="311"/>
      <c r="AX313" s="311"/>
      <c r="AY313" s="28"/>
      <c r="AZ313" s="311"/>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row>
    <row r="314" spans="1:82" ht="15.75" customHeight="1">
      <c r="A314" s="248">
        <f t="shared" si="63"/>
        <v>95</v>
      </c>
      <c r="B314" s="1" t="s">
        <v>598</v>
      </c>
      <c r="C314" s="233" t="str">
        <f ca="1">IFERROR(__xludf.DUMMYFUNCTION("GoogleFinance(B314,""name"")"),"#N/A")</f>
        <v>#N/A</v>
      </c>
      <c r="D314" s="234" t="str">
        <f ca="1">IFERROR(__xludf.DUMMYFUNCTION("GoogleFinance(B314,""marketcap"")/1000000"),"#N/A")</f>
        <v>#N/A</v>
      </c>
      <c r="E314" s="246" t="s">
        <v>513</v>
      </c>
      <c r="F314" s="246" t="s">
        <v>513</v>
      </c>
      <c r="G314" s="230">
        <v>45579</v>
      </c>
      <c r="H314" s="588">
        <v>9.6999999999999993</v>
      </c>
      <c r="I314" s="506">
        <v>10.83</v>
      </c>
      <c r="J314" s="507">
        <f t="shared" ref="J314:J315" si="82">K314/I314</f>
        <v>184.67220683287164</v>
      </c>
      <c r="K314" s="249">
        <v>2000</v>
      </c>
      <c r="L314" s="249"/>
      <c r="M314" s="249">
        <f t="shared" si="77"/>
        <v>1791.3204062788548</v>
      </c>
      <c r="N314" s="508">
        <f t="shared" si="67"/>
        <v>-208.67959372114524</v>
      </c>
      <c r="O314" s="509">
        <f t="shared" si="75"/>
        <v>-0.10433979686057263</v>
      </c>
      <c r="P314" s="626">
        <f t="shared" si="80"/>
        <v>29</v>
      </c>
      <c r="Q314" s="752" t="s">
        <v>431</v>
      </c>
      <c r="R314" s="235">
        <v>45608</v>
      </c>
      <c r="S314" s="29" t="s">
        <v>62</v>
      </c>
      <c r="T314" s="22"/>
      <c r="U314" s="22"/>
      <c r="V314" s="22"/>
      <c r="W314" s="22"/>
      <c r="X314" s="22"/>
      <c r="Y314" s="14"/>
      <c r="Z314" s="14"/>
      <c r="AA314" s="14"/>
      <c r="AB314" s="14"/>
      <c r="AC314" s="14"/>
      <c r="AD314" s="22"/>
      <c r="AE314" s="22"/>
      <c r="AF314" s="22"/>
      <c r="AG314" s="22"/>
      <c r="AH314" s="14"/>
      <c r="AI314" s="14"/>
      <c r="AJ314" s="456"/>
      <c r="AK314" s="332"/>
      <c r="AL314" s="456"/>
      <c r="AM314" s="332"/>
      <c r="AN314" s="456"/>
      <c r="AO314" s="332"/>
      <c r="AP314" s="456"/>
      <c r="AQ314" s="28"/>
      <c r="AR314" s="456"/>
      <c r="AS314" s="28"/>
      <c r="AT314" s="28"/>
      <c r="AU314" s="28"/>
      <c r="AV314" s="28"/>
      <c r="AW314" s="311"/>
      <c r="AX314" s="311"/>
      <c r="AY314" s="28"/>
      <c r="AZ314" s="311"/>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row>
    <row r="315" spans="1:82" ht="15.75" customHeight="1">
      <c r="A315" s="248">
        <f t="shared" si="63"/>
        <v>96</v>
      </c>
      <c r="B315" s="1" t="s">
        <v>355</v>
      </c>
      <c r="C315" s="233" t="str">
        <f ca="1">IFERROR(__xludf.DUMMYFUNCTION("GoogleFinance(B315,""name"")"),"Sibanye Stillwater Ltd")</f>
        <v>Sibanye Stillwater Ltd</v>
      </c>
      <c r="D315" s="234">
        <f ca="1">IFERROR(__xludf.DUMMYFUNCTION("GoogleFinance(B315,""marketcap"")/1000000"),141245.2933)</f>
        <v>141245.29329999999</v>
      </c>
      <c r="E315" s="246" t="s">
        <v>12</v>
      </c>
      <c r="F315" s="246" t="s">
        <v>193</v>
      </c>
      <c r="G315" s="230">
        <v>45590</v>
      </c>
      <c r="H315" s="588">
        <v>4.2</v>
      </c>
      <c r="I315" s="506">
        <v>5.04</v>
      </c>
      <c r="J315" s="507">
        <f t="shared" si="82"/>
        <v>396.82539682539681</v>
      </c>
      <c r="K315" s="249">
        <v>2000</v>
      </c>
      <c r="L315" s="249"/>
      <c r="M315" s="249">
        <f t="shared" si="77"/>
        <v>1666.6666666666667</v>
      </c>
      <c r="N315" s="508">
        <f t="shared" si="67"/>
        <v>-333.33333333333326</v>
      </c>
      <c r="O315" s="509">
        <f t="shared" si="75"/>
        <v>-0.16666666666666663</v>
      </c>
      <c r="P315" s="626">
        <f t="shared" si="80"/>
        <v>18</v>
      </c>
      <c r="Q315" s="752" t="s">
        <v>431</v>
      </c>
      <c r="R315" s="235">
        <v>45608</v>
      </c>
      <c r="S315" s="29" t="s">
        <v>62</v>
      </c>
      <c r="T315" s="22"/>
      <c r="U315" s="22"/>
      <c r="V315" s="22"/>
      <c r="W315" s="22"/>
      <c r="X315" s="22"/>
      <c r="Y315" s="14"/>
      <c r="Z315" s="14"/>
      <c r="AA315" s="14"/>
      <c r="AB315" s="14"/>
      <c r="AC315" s="14"/>
      <c r="AD315" s="22"/>
      <c r="AE315" s="22"/>
      <c r="AF315" s="22"/>
      <c r="AG315" s="22"/>
      <c r="AH315" s="14"/>
      <c r="AI315" s="14"/>
      <c r="AJ315" s="456"/>
      <c r="AK315" s="332"/>
      <c r="AL315" s="456"/>
      <c r="AM315" s="332"/>
      <c r="AN315" s="456"/>
      <c r="AO315" s="332"/>
      <c r="AP315" s="456"/>
      <c r="AQ315" s="28"/>
      <c r="AR315" s="456"/>
      <c r="AS315" s="28"/>
      <c r="AT315" s="28"/>
      <c r="AU315" s="28"/>
      <c r="AV315" s="28"/>
      <c r="AW315" s="311"/>
      <c r="AX315" s="311"/>
      <c r="AY315" s="28"/>
      <c r="AZ315" s="311"/>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row>
    <row r="316" spans="1:82" ht="15.75" customHeight="1">
      <c r="A316" s="248">
        <f t="shared" si="63"/>
        <v>97</v>
      </c>
      <c r="B316" s="1" t="s">
        <v>434</v>
      </c>
      <c r="C316" s="233" t="str">
        <f ca="1">IFERROR(__xludf.DUMMYFUNCTION("GoogleFinance(B316,""name"")"),"Rigetti Computing Inc")</f>
        <v>Rigetti Computing Inc</v>
      </c>
      <c r="D316" s="234">
        <f ca="1">IFERROR(__xludf.DUMMYFUNCTION("GoogleFinance(B316,""marketcap"")/1000000"),10107.47)</f>
        <v>10107.469999999999</v>
      </c>
      <c r="E316" s="246" t="s">
        <v>7</v>
      </c>
      <c r="F316" s="246" t="s">
        <v>433</v>
      </c>
      <c r="G316" s="786">
        <v>45603</v>
      </c>
      <c r="H316" s="588">
        <v>3</v>
      </c>
      <c r="I316" s="506">
        <v>1.4</v>
      </c>
      <c r="J316" s="507">
        <f>300/I316</f>
        <v>214.28571428571431</v>
      </c>
      <c r="K316" s="249">
        <f t="shared" ref="K316:K317" si="83">J316*I316</f>
        <v>300</v>
      </c>
      <c r="L316" s="249"/>
      <c r="M316" s="249">
        <f t="shared" si="77"/>
        <v>642.85714285714289</v>
      </c>
      <c r="N316" s="508">
        <f t="shared" si="67"/>
        <v>342.85714285714289</v>
      </c>
      <c r="O316" s="509">
        <f t="shared" si="75"/>
        <v>1.142857142857143</v>
      </c>
      <c r="P316" s="626">
        <f t="shared" si="80"/>
        <v>19</v>
      </c>
      <c r="Q316" s="752" t="s">
        <v>431</v>
      </c>
      <c r="R316" s="235">
        <v>45622</v>
      </c>
      <c r="S316" s="29" t="s">
        <v>580</v>
      </c>
      <c r="T316" s="22"/>
      <c r="U316" s="22"/>
      <c r="V316" s="22"/>
      <c r="W316" s="22"/>
      <c r="X316" s="22"/>
      <c r="Y316" s="14"/>
      <c r="Z316" s="14"/>
      <c r="AA316" s="14"/>
      <c r="AB316" s="14"/>
      <c r="AC316" s="14"/>
      <c r="AD316" s="22"/>
      <c r="AE316" s="22"/>
      <c r="AF316" s="22"/>
      <c r="AG316" s="22"/>
      <c r="AH316" s="14"/>
      <c r="AI316" s="14"/>
      <c r="AJ316" s="456"/>
      <c r="AK316" s="332"/>
      <c r="AL316" s="456"/>
      <c r="AM316" s="332"/>
      <c r="AN316" s="456"/>
      <c r="AO316" s="332"/>
      <c r="AP316" s="456"/>
      <c r="AQ316" s="28"/>
      <c r="AR316" s="456"/>
      <c r="AS316" s="28"/>
      <c r="AT316" s="28"/>
      <c r="AU316" s="28"/>
      <c r="AV316" s="28"/>
      <c r="AW316" s="311"/>
      <c r="AX316" s="311"/>
      <c r="AY316" s="28"/>
      <c r="AZ316" s="311"/>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row>
    <row r="317" spans="1:82" ht="15.75" customHeight="1">
      <c r="A317" s="248">
        <f t="shared" si="63"/>
        <v>98</v>
      </c>
      <c r="B317" s="765" t="s">
        <v>432</v>
      </c>
      <c r="C317" s="766" t="str">
        <f ca="1">IFERROR(__xludf.DUMMYFUNCTION("GoogleFinance(B317,""name"")"),"IONQ Inc")</f>
        <v>IONQ Inc</v>
      </c>
      <c r="D317" s="767">
        <f ca="1">IFERROR(__xludf.DUMMYFUNCTION("GoogleFinance(B317,""marketcap"")/1000000"),21735.106365)</f>
        <v>21735.106365</v>
      </c>
      <c r="E317" s="559" t="s">
        <v>7</v>
      </c>
      <c r="F317" s="559" t="s">
        <v>433</v>
      </c>
      <c r="G317" s="842">
        <v>45519</v>
      </c>
      <c r="H317" s="561">
        <v>32</v>
      </c>
      <c r="I317" s="769">
        <v>7.51</v>
      </c>
      <c r="J317" s="770">
        <v>14</v>
      </c>
      <c r="K317" s="771">
        <f t="shared" si="83"/>
        <v>105.14</v>
      </c>
      <c r="L317" s="771"/>
      <c r="M317" s="771">
        <f t="shared" si="77"/>
        <v>448</v>
      </c>
      <c r="N317" s="773">
        <f t="shared" si="67"/>
        <v>342.86</v>
      </c>
      <c r="O317" s="774">
        <f t="shared" si="75"/>
        <v>3.2609853528628499</v>
      </c>
      <c r="P317" s="626">
        <f t="shared" si="80"/>
        <v>103</v>
      </c>
      <c r="Q317" s="752" t="s">
        <v>431</v>
      </c>
      <c r="R317" s="235">
        <v>45622</v>
      </c>
      <c r="S317" s="29"/>
      <c r="T317" s="22"/>
      <c r="U317" s="22"/>
      <c r="V317" s="22"/>
      <c r="W317" s="22"/>
      <c r="X317" s="22"/>
      <c r="Y317" s="14"/>
      <c r="Z317" s="14"/>
      <c r="AA317" s="14"/>
      <c r="AB317" s="14"/>
      <c r="AC317" s="14"/>
      <c r="AD317" s="22"/>
      <c r="AE317" s="22"/>
      <c r="AF317" s="22"/>
      <c r="AG317" s="22"/>
      <c r="AH317" s="14"/>
      <c r="AI317" s="14"/>
      <c r="AJ317" s="456"/>
      <c r="AK317" s="332"/>
      <c r="AL317" s="456"/>
      <c r="AM317" s="332"/>
      <c r="AN317" s="456"/>
      <c r="AO317" s="332"/>
      <c r="AP317" s="456"/>
      <c r="AQ317" s="28"/>
      <c r="AR317" s="456"/>
      <c r="AS317" s="28"/>
      <c r="AT317" s="28"/>
      <c r="AU317" s="28"/>
      <c r="AV317" s="28"/>
      <c r="AW317" s="311"/>
      <c r="AX317" s="311"/>
      <c r="AY317" s="28"/>
      <c r="AZ317" s="311"/>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row>
    <row r="318" spans="1:82" ht="15.75" customHeight="1">
      <c r="A318" s="248">
        <f t="shared" si="63"/>
        <v>99</v>
      </c>
      <c r="B318" s="1" t="s">
        <v>599</v>
      </c>
      <c r="C318" s="233" t="str">
        <f ca="1">IFERROR(__xludf.DUMMYFUNCTION("GoogleFinance(B318,""name"")"),"Anheuser-Busch Inbev SA")</f>
        <v>Anheuser-Busch Inbev SA</v>
      </c>
      <c r="D318" s="234">
        <f ca="1">IFERROR(__xludf.DUMMYFUNCTION("GoogleFinance(B318,""marketcap"")/1000000"),90938.317257)</f>
        <v>90938.317257000002</v>
      </c>
      <c r="E318" s="246" t="s">
        <v>14</v>
      </c>
      <c r="F318" s="246" t="s">
        <v>21</v>
      </c>
      <c r="G318" s="230">
        <v>45365</v>
      </c>
      <c r="H318" s="588">
        <v>54</v>
      </c>
      <c r="I318" s="506">
        <v>61.45</v>
      </c>
      <c r="J318" s="507">
        <f>K318/I318</f>
        <v>32.546786004882108</v>
      </c>
      <c r="K318" s="249">
        <v>2000.0000000000055</v>
      </c>
      <c r="L318" s="249"/>
      <c r="M318" s="249">
        <f t="shared" si="77"/>
        <v>1757.5264442636339</v>
      </c>
      <c r="N318" s="508">
        <f t="shared" si="67"/>
        <v>-242.47355573637151</v>
      </c>
      <c r="O318" s="509">
        <f t="shared" si="75"/>
        <v>-0.12123677786818543</v>
      </c>
      <c r="P318" s="626">
        <f t="shared" si="80"/>
        <v>265</v>
      </c>
      <c r="Q318" s="752" t="s">
        <v>431</v>
      </c>
      <c r="R318" s="235">
        <v>45630</v>
      </c>
      <c r="S318" s="29" t="s">
        <v>62</v>
      </c>
      <c r="T318" s="22"/>
      <c r="U318" s="22"/>
      <c r="V318" s="22"/>
      <c r="W318" s="22"/>
      <c r="X318" s="22"/>
      <c r="Y318" s="14"/>
      <c r="Z318" s="14"/>
      <c r="AA318" s="14"/>
      <c r="AB318" s="14"/>
      <c r="AC318" s="14"/>
      <c r="AD318" s="22"/>
      <c r="AE318" s="22"/>
      <c r="AF318" s="22"/>
      <c r="AG318" s="22"/>
      <c r="AH318" s="14"/>
      <c r="AI318" s="14"/>
      <c r="AJ318" s="456"/>
      <c r="AK318" s="332"/>
      <c r="AL318" s="456"/>
      <c r="AM318" s="332"/>
      <c r="AN318" s="456"/>
      <c r="AO318" s="332"/>
      <c r="AP318" s="456"/>
      <c r="AQ318" s="28"/>
      <c r="AR318" s="456"/>
      <c r="AS318" s="28"/>
      <c r="AT318" s="28"/>
      <c r="AU318" s="28"/>
      <c r="AV318" s="28"/>
      <c r="AW318" s="311"/>
      <c r="AX318" s="311"/>
      <c r="AY318" s="28"/>
      <c r="AZ318" s="311"/>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row>
    <row r="319" spans="1:82" ht="15.75" customHeight="1">
      <c r="A319" s="248">
        <f t="shared" si="63"/>
        <v>100</v>
      </c>
      <c r="B319" s="765" t="s">
        <v>434</v>
      </c>
      <c r="C319" s="766" t="str">
        <f ca="1">IFERROR(__xludf.DUMMYFUNCTION("GoogleFinance(B319,""name"")"),"Rigetti Computing Inc")</f>
        <v>Rigetti Computing Inc</v>
      </c>
      <c r="D319" s="767">
        <f ca="1">IFERROR(__xludf.DUMMYFUNCTION("GoogleFinance(B319,""marketcap"")/1000000"),10107.47)</f>
        <v>10107.469999999999</v>
      </c>
      <c r="E319" s="559" t="s">
        <v>7</v>
      </c>
      <c r="F319" s="559" t="s">
        <v>433</v>
      </c>
      <c r="G319" s="842">
        <v>45603</v>
      </c>
      <c r="H319" s="561">
        <v>6.4</v>
      </c>
      <c r="I319" s="769">
        <v>1.4</v>
      </c>
      <c r="J319" s="770">
        <f>700/I319</f>
        <v>500.00000000000006</v>
      </c>
      <c r="K319" s="771">
        <f>J319*I319</f>
        <v>700</v>
      </c>
      <c r="L319" s="771"/>
      <c r="M319" s="771">
        <f t="shared" si="77"/>
        <v>3200.0000000000005</v>
      </c>
      <c r="N319" s="773">
        <f t="shared" si="67"/>
        <v>2500.0000000000005</v>
      </c>
      <c r="O319" s="774">
        <f t="shared" si="75"/>
        <v>3.5714285714285721</v>
      </c>
      <c r="P319" s="626">
        <f t="shared" si="80"/>
        <v>19</v>
      </c>
      <c r="Q319" s="752" t="s">
        <v>431</v>
      </c>
      <c r="R319" s="235">
        <v>45622</v>
      </c>
      <c r="S319" s="29" t="s">
        <v>580</v>
      </c>
      <c r="T319" s="22"/>
      <c r="U319" s="22"/>
      <c r="V319" s="22"/>
      <c r="W319" s="22"/>
      <c r="X319" s="22"/>
      <c r="Y319" s="14"/>
      <c r="Z319" s="14"/>
      <c r="AA319" s="14"/>
      <c r="AB319" s="14"/>
      <c r="AC319" s="14"/>
      <c r="AD319" s="22"/>
      <c r="AE319" s="22"/>
      <c r="AF319" s="22"/>
      <c r="AG319" s="22"/>
      <c r="AH319" s="14"/>
      <c r="AI319" s="14"/>
      <c r="AJ319" s="456"/>
      <c r="AK319" s="332"/>
      <c r="AL319" s="456"/>
      <c r="AM319" s="332"/>
      <c r="AN319" s="456"/>
      <c r="AO319" s="332"/>
      <c r="AP319" s="456"/>
      <c r="AQ319" s="28"/>
      <c r="AR319" s="456"/>
      <c r="AS319" s="28"/>
      <c r="AT319" s="28"/>
      <c r="AU319" s="28"/>
      <c r="AV319" s="28"/>
      <c r="AW319" s="311"/>
      <c r="AX319" s="311"/>
      <c r="AY319" s="28"/>
      <c r="AZ319" s="311"/>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row>
    <row r="320" spans="1:82" ht="15.75" customHeight="1">
      <c r="A320" s="248">
        <f t="shared" si="63"/>
        <v>101</v>
      </c>
      <c r="B320" s="1" t="s">
        <v>480</v>
      </c>
      <c r="C320" s="233" t="str">
        <f ca="1">IFERROR(__xludf.DUMMYFUNCTION("GoogleFinance(B320,""name"")"),"Direxion Daily Semiconductor Bear 3X Shares")</f>
        <v>Direxion Daily Semiconductor Bear 3X Shares</v>
      </c>
      <c r="D320" s="234" t="str">
        <f ca="1">IFERROR(__xludf.DUMMYFUNCTION("GoogleFinance(B320,""marketcap"")/1000000"),"#N/A")</f>
        <v>#N/A</v>
      </c>
      <c r="E320" s="246" t="s">
        <v>533</v>
      </c>
      <c r="F320" s="246" t="s">
        <v>600</v>
      </c>
      <c r="G320" s="786">
        <v>45581</v>
      </c>
      <c r="H320" s="588">
        <v>20.239999999999998</v>
      </c>
      <c r="I320" s="506">
        <v>20.37</v>
      </c>
      <c r="J320" s="507">
        <f>K320/I320</f>
        <v>49.091801669121253</v>
      </c>
      <c r="K320" s="249">
        <v>1000</v>
      </c>
      <c r="L320" s="249"/>
      <c r="M320" s="249">
        <f t="shared" si="77"/>
        <v>993.61806578301412</v>
      </c>
      <c r="N320" s="508">
        <f t="shared" si="67"/>
        <v>-6.3819342169858828</v>
      </c>
      <c r="O320" s="509">
        <f t="shared" si="75"/>
        <v>-6.381934216985883E-3</v>
      </c>
      <c r="P320" s="626">
        <f t="shared" si="80"/>
        <v>61</v>
      </c>
      <c r="Q320" s="752" t="s">
        <v>431</v>
      </c>
      <c r="R320" s="235">
        <v>45642</v>
      </c>
      <c r="S320" s="29" t="s">
        <v>580</v>
      </c>
      <c r="T320" s="22"/>
      <c r="U320" s="22"/>
      <c r="V320" s="22"/>
      <c r="W320" s="22"/>
      <c r="X320" s="22"/>
      <c r="Y320" s="14"/>
      <c r="Z320" s="14"/>
      <c r="AA320" s="14"/>
      <c r="AB320" s="14"/>
      <c r="AC320" s="14"/>
      <c r="AD320" s="22"/>
      <c r="AE320" s="22"/>
      <c r="AF320" s="22"/>
      <c r="AG320" s="22"/>
      <c r="AH320" s="14"/>
      <c r="AI320" s="14"/>
      <c r="AJ320" s="456"/>
      <c r="AK320" s="332"/>
      <c r="AL320" s="456"/>
      <c r="AM320" s="332"/>
      <c r="AN320" s="456"/>
      <c r="AO320" s="332"/>
      <c r="AP320" s="456"/>
      <c r="AQ320" s="28"/>
      <c r="AR320" s="456"/>
      <c r="AS320" s="28"/>
      <c r="AT320" s="28"/>
      <c r="AU320" s="28"/>
      <c r="AV320" s="28"/>
      <c r="AW320" s="311"/>
      <c r="AX320" s="311"/>
      <c r="AY320" s="28"/>
      <c r="AZ320" s="311"/>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row>
    <row r="321" spans="1:82" ht="15.75" customHeight="1">
      <c r="A321" s="248">
        <f t="shared" si="63"/>
        <v>102</v>
      </c>
      <c r="B321" s="1" t="s">
        <v>601</v>
      </c>
      <c r="C321" s="233" t="str">
        <f ca="1">IFERROR(__xludf.DUMMYFUNCTION("GoogleFinance(B321,""name"")"),"Prologis Inc")</f>
        <v>Prologis Inc</v>
      </c>
      <c r="D321" s="234">
        <f ca="1">IFERROR(__xludf.DUMMYFUNCTION("GoogleFinance(B321,""marketcap"")/1000000"),105975.493397)</f>
        <v>105975.493397</v>
      </c>
      <c r="E321" s="229" t="s">
        <v>602</v>
      </c>
      <c r="F321" s="229" t="s">
        <v>513</v>
      </c>
      <c r="G321" s="786">
        <v>45519</v>
      </c>
      <c r="H321" s="588">
        <v>124.11</v>
      </c>
      <c r="I321" s="237">
        <v>110.9</v>
      </c>
      <c r="J321" s="507">
        <v>24.2</v>
      </c>
      <c r="K321" s="249">
        <f t="shared" ref="K321:K329" si="84">J321*I321</f>
        <v>2683.78</v>
      </c>
      <c r="L321" s="249"/>
      <c r="M321" s="249">
        <f t="shared" si="77"/>
        <v>3003.462</v>
      </c>
      <c r="N321" s="508">
        <f t="shared" si="67"/>
        <v>319.68199999999979</v>
      </c>
      <c r="O321" s="509">
        <f t="shared" si="75"/>
        <v>0.11911632100991876</v>
      </c>
      <c r="P321" s="626">
        <f t="shared" si="80"/>
        <v>123</v>
      </c>
      <c r="Q321" s="752" t="s">
        <v>483</v>
      </c>
      <c r="R321" s="235">
        <v>45642</v>
      </c>
      <c r="S321" s="29" t="s">
        <v>580</v>
      </c>
      <c r="T321" s="22"/>
      <c r="U321" s="22"/>
      <c r="V321" s="22"/>
      <c r="W321" s="22"/>
      <c r="X321" s="22"/>
      <c r="Y321" s="14"/>
      <c r="Z321" s="14"/>
      <c r="AA321" s="14"/>
      <c r="AB321" s="14"/>
      <c r="AC321" s="14"/>
      <c r="AD321" s="22"/>
      <c r="AE321" s="22"/>
      <c r="AF321" s="22"/>
      <c r="AG321" s="22"/>
      <c r="AH321" s="14"/>
      <c r="AI321" s="14"/>
      <c r="AJ321" s="456"/>
      <c r="AK321" s="332"/>
      <c r="AL321" s="456"/>
      <c r="AM321" s="332"/>
      <c r="AN321" s="456"/>
      <c r="AO321" s="332"/>
      <c r="AP321" s="456"/>
      <c r="AQ321" s="28"/>
      <c r="AR321" s="456"/>
      <c r="AS321" s="28"/>
      <c r="AT321" s="28"/>
      <c r="AU321" s="28"/>
      <c r="AV321" s="28"/>
      <c r="AW321" s="311"/>
      <c r="AX321" s="311"/>
      <c r="AY321" s="28"/>
      <c r="AZ321" s="311"/>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row>
    <row r="322" spans="1:82" ht="15.75" customHeight="1">
      <c r="A322" s="248">
        <f t="shared" si="63"/>
        <v>103</v>
      </c>
      <c r="B322" s="753" t="s">
        <v>432</v>
      </c>
      <c r="C322" s="754" t="str">
        <f ca="1">IFERROR(__xludf.DUMMYFUNCTION("GoogleFinance(B322,""name"")"),"IONQ Inc")</f>
        <v>IONQ Inc</v>
      </c>
      <c r="D322" s="755">
        <f ca="1">IFERROR(__xludf.DUMMYFUNCTION("GoogleFinance(B322,""marketcap"")/1000000"),21735.106365)</f>
        <v>21735.106365</v>
      </c>
      <c r="E322" s="756" t="s">
        <v>7</v>
      </c>
      <c r="F322" s="756" t="s">
        <v>433</v>
      </c>
      <c r="G322" s="757">
        <v>45519</v>
      </c>
      <c r="H322" s="758">
        <v>40.6</v>
      </c>
      <c r="I322" s="759">
        <v>7.51</v>
      </c>
      <c r="J322" s="760">
        <f>500/I322</f>
        <v>66.577896138482032</v>
      </c>
      <c r="K322" s="761">
        <f t="shared" si="84"/>
        <v>500.00000000000006</v>
      </c>
      <c r="L322" s="761"/>
      <c r="M322" s="761">
        <f t="shared" si="77"/>
        <v>2703.0625832223704</v>
      </c>
      <c r="N322" s="761">
        <f t="shared" si="67"/>
        <v>2203.0625832223704</v>
      </c>
      <c r="O322" s="762">
        <f t="shared" si="75"/>
        <v>4.4061251664447401</v>
      </c>
      <c r="P322" s="626">
        <f t="shared" si="80"/>
        <v>124</v>
      </c>
      <c r="Q322" s="752" t="s">
        <v>431</v>
      </c>
      <c r="R322" s="235">
        <v>45643</v>
      </c>
      <c r="S322" s="29" t="s">
        <v>580</v>
      </c>
      <c r="T322" s="22"/>
      <c r="U322" s="22"/>
      <c r="V322" s="22"/>
      <c r="W322" s="22"/>
      <c r="X322" s="22"/>
      <c r="Y322" s="14"/>
      <c r="Z322" s="14"/>
      <c r="AA322" s="14"/>
      <c r="AB322" s="14"/>
      <c r="AC322" s="14"/>
      <c r="AD322" s="22"/>
      <c r="AE322" s="22"/>
      <c r="AF322" s="22"/>
      <c r="AG322" s="22"/>
      <c r="AH322" s="14"/>
      <c r="AI322" s="14"/>
      <c r="AJ322" s="456"/>
      <c r="AK322" s="332"/>
      <c r="AL322" s="456"/>
      <c r="AM322" s="332"/>
      <c r="AN322" s="456"/>
      <c r="AO322" s="332"/>
      <c r="AP322" s="456"/>
      <c r="AQ322" s="28"/>
      <c r="AR322" s="456"/>
      <c r="AS322" s="28"/>
      <c r="AT322" s="28"/>
      <c r="AU322" s="28"/>
      <c r="AV322" s="28"/>
      <c r="AW322" s="311"/>
      <c r="AX322" s="311"/>
      <c r="AY322" s="28"/>
      <c r="AZ322" s="311"/>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row>
    <row r="323" spans="1:82" ht="15.75" customHeight="1">
      <c r="A323" s="248">
        <f t="shared" si="63"/>
        <v>104</v>
      </c>
      <c r="B323" s="753" t="s">
        <v>434</v>
      </c>
      <c r="C323" s="754" t="str">
        <f ca="1">IFERROR(__xludf.DUMMYFUNCTION("GoogleFinance(B323,""name"")"),"Rigetti Computing Inc")</f>
        <v>Rigetti Computing Inc</v>
      </c>
      <c r="D323" s="755">
        <f ca="1">IFERROR(__xludf.DUMMYFUNCTION("GoogleFinance(B323,""marketcap"")/1000000"),10107.47)</f>
        <v>10107.469999999999</v>
      </c>
      <c r="E323" s="756" t="s">
        <v>7</v>
      </c>
      <c r="F323" s="756" t="s">
        <v>433</v>
      </c>
      <c r="G323" s="757">
        <v>45603</v>
      </c>
      <c r="H323" s="758">
        <v>9.6</v>
      </c>
      <c r="I323" s="759">
        <v>1.4</v>
      </c>
      <c r="J323" s="760">
        <f>150/I323</f>
        <v>107.14285714285715</v>
      </c>
      <c r="K323" s="761">
        <f t="shared" si="84"/>
        <v>150</v>
      </c>
      <c r="L323" s="761"/>
      <c r="M323" s="761">
        <f t="shared" si="77"/>
        <v>1028.5714285714287</v>
      </c>
      <c r="N323" s="761">
        <f t="shared" si="67"/>
        <v>878.57142857142867</v>
      </c>
      <c r="O323" s="774">
        <f t="shared" si="75"/>
        <v>5.8571428571428577</v>
      </c>
      <c r="P323" s="626">
        <f t="shared" si="80"/>
        <v>40</v>
      </c>
      <c r="Q323" s="752" t="s">
        <v>431</v>
      </c>
      <c r="R323" s="235">
        <v>45643</v>
      </c>
      <c r="S323" s="29" t="s">
        <v>580</v>
      </c>
      <c r="T323" s="22"/>
      <c r="U323" s="22"/>
      <c r="V323" s="22"/>
      <c r="W323" s="22"/>
      <c r="X323" s="22"/>
      <c r="Y323" s="14"/>
      <c r="Z323" s="14"/>
      <c r="AA323" s="14"/>
      <c r="AB323" s="14"/>
      <c r="AC323" s="14"/>
      <c r="AD323" s="22"/>
      <c r="AE323" s="22"/>
      <c r="AF323" s="22"/>
      <c r="AG323" s="22"/>
      <c r="AH323" s="14"/>
      <c r="AI323" s="14"/>
      <c r="AJ323" s="456"/>
      <c r="AK323" s="332"/>
      <c r="AL323" s="456"/>
      <c r="AM323" s="332"/>
      <c r="AN323" s="456"/>
      <c r="AO323" s="332"/>
      <c r="AP323" s="456"/>
      <c r="AQ323" s="28"/>
      <c r="AR323" s="456"/>
      <c r="AS323" s="28"/>
      <c r="AT323" s="28"/>
      <c r="AU323" s="28"/>
      <c r="AV323" s="28"/>
      <c r="AW323" s="311"/>
      <c r="AX323" s="311"/>
      <c r="AY323" s="28"/>
      <c r="AZ323" s="311"/>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row>
    <row r="324" spans="1:82" ht="15.75" customHeight="1">
      <c r="A324" s="248">
        <f t="shared" si="63"/>
        <v>105</v>
      </c>
      <c r="B324" s="753" t="s">
        <v>435</v>
      </c>
      <c r="C324" s="754" t="str">
        <f ca="1">IFERROR(__xludf.DUMMYFUNCTION("GoogleFinance(B324,""name"")"),"D-Wave Quantum Inc")</f>
        <v>D-Wave Quantum Inc</v>
      </c>
      <c r="D324" s="755">
        <f ca="1">IFERROR(__xludf.DUMMYFUNCTION("GoogleFinance(B324,""marketcap"")/1000000"),9152.409786)</f>
        <v>9152.4097860000002</v>
      </c>
      <c r="E324" s="756" t="s">
        <v>7</v>
      </c>
      <c r="F324" s="756" t="s">
        <v>433</v>
      </c>
      <c r="G324" s="763">
        <v>45562</v>
      </c>
      <c r="H324" s="758">
        <v>8.6999999999999993</v>
      </c>
      <c r="I324" s="759">
        <v>1.01</v>
      </c>
      <c r="J324" s="760">
        <f>500/I324</f>
        <v>495.04950495049502</v>
      </c>
      <c r="K324" s="761">
        <f t="shared" si="84"/>
        <v>500</v>
      </c>
      <c r="L324" s="761"/>
      <c r="M324" s="761">
        <f t="shared" si="77"/>
        <v>4306.9306930693065</v>
      </c>
      <c r="N324" s="761">
        <f t="shared" si="67"/>
        <v>3806.9306930693065</v>
      </c>
      <c r="O324" s="762">
        <f t="shared" si="75"/>
        <v>7.6138613861386126</v>
      </c>
      <c r="P324" s="626">
        <f t="shared" si="80"/>
        <v>81</v>
      </c>
      <c r="Q324" s="752" t="s">
        <v>431</v>
      </c>
      <c r="R324" s="235">
        <v>45643</v>
      </c>
      <c r="S324" s="29" t="s">
        <v>580</v>
      </c>
      <c r="T324" s="22"/>
      <c r="U324" s="22"/>
      <c r="V324" s="22"/>
      <c r="W324" s="22"/>
      <c r="X324" s="22"/>
      <c r="Y324" s="14"/>
      <c r="Z324" s="14"/>
      <c r="AA324" s="14"/>
      <c r="AB324" s="14"/>
      <c r="AC324" s="14"/>
      <c r="AD324" s="22"/>
      <c r="AE324" s="22"/>
      <c r="AF324" s="22"/>
      <c r="AG324" s="22"/>
      <c r="AH324" s="14"/>
      <c r="AI324" s="14"/>
      <c r="AJ324" s="456"/>
      <c r="AK324" s="332"/>
      <c r="AL324" s="456"/>
      <c r="AM324" s="332"/>
      <c r="AN324" s="456"/>
      <c r="AO324" s="332"/>
      <c r="AP324" s="456"/>
      <c r="AQ324" s="28"/>
      <c r="AR324" s="456"/>
      <c r="AS324" s="28"/>
      <c r="AT324" s="28"/>
      <c r="AU324" s="28"/>
      <c r="AV324" s="28"/>
      <c r="AW324" s="311"/>
      <c r="AX324" s="311"/>
      <c r="AY324" s="28"/>
      <c r="AZ324" s="311"/>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row>
    <row r="325" spans="1:82" ht="15.75" customHeight="1">
      <c r="A325" s="448">
        <f t="shared" si="63"/>
        <v>106</v>
      </c>
      <c r="B325" s="753" t="s">
        <v>376</v>
      </c>
      <c r="C325" s="754" t="str">
        <f ca="1">IFERROR(__xludf.DUMMYFUNCTION("GoogleFinance(B325,""name"")"),"Grupo Financiero Galicia SA")</f>
        <v>Grupo Financiero Galicia SA</v>
      </c>
      <c r="D325" s="755">
        <f ca="1">IFERROR(__xludf.DUMMYFUNCTION("GoogleFinance(B325,""marketcap"")/1000000"),4112.099185)</f>
        <v>4112.099185</v>
      </c>
      <c r="E325" s="756" t="s">
        <v>14</v>
      </c>
      <c r="F325" s="756" t="s">
        <v>21</v>
      </c>
      <c r="G325" s="763">
        <v>45238</v>
      </c>
      <c r="H325" s="758">
        <v>68.099999999999994</v>
      </c>
      <c r="I325" s="759">
        <v>11.73</v>
      </c>
      <c r="J325" s="760">
        <v>22</v>
      </c>
      <c r="K325" s="761">
        <f t="shared" si="84"/>
        <v>258.06</v>
      </c>
      <c r="L325" s="761"/>
      <c r="M325" s="761">
        <f t="shared" si="77"/>
        <v>1498.1999999999998</v>
      </c>
      <c r="N325" s="761">
        <f t="shared" si="67"/>
        <v>1240.1399999999999</v>
      </c>
      <c r="O325" s="762">
        <f t="shared" si="75"/>
        <v>4.8056265984654729</v>
      </c>
      <c r="P325" s="626">
        <f t="shared" si="80"/>
        <v>405</v>
      </c>
      <c r="Q325" s="843" t="s">
        <v>431</v>
      </c>
      <c r="R325" s="274">
        <v>45643</v>
      </c>
      <c r="S325" s="290" t="s">
        <v>580</v>
      </c>
      <c r="T325" s="443"/>
      <c r="U325" s="443"/>
      <c r="V325" s="443"/>
      <c r="W325" s="443"/>
      <c r="X325" s="443"/>
      <c r="Y325" s="463"/>
      <c r="Z325" s="463"/>
      <c r="AA325" s="463"/>
      <c r="AB325" s="463"/>
      <c r="AC325" s="463"/>
      <c r="AD325" s="443"/>
      <c r="AE325" s="443"/>
      <c r="AF325" s="443"/>
      <c r="AG325" s="443"/>
      <c r="AH325" s="463"/>
      <c r="AI325" s="463"/>
      <c r="AJ325" s="844"/>
      <c r="AK325" s="464"/>
      <c r="AL325" s="844"/>
      <c r="AM325" s="464"/>
      <c r="AN325" s="844"/>
      <c r="AO325" s="464"/>
      <c r="AP325" s="844"/>
      <c r="AQ325" s="450"/>
      <c r="AR325" s="844"/>
      <c r="AS325" s="450"/>
      <c r="AT325" s="450"/>
      <c r="AU325" s="450"/>
      <c r="AV325" s="450"/>
      <c r="AW325" s="423"/>
      <c r="AX325" s="423"/>
      <c r="AY325" s="450"/>
      <c r="AZ325" s="423"/>
      <c r="BA325" s="443"/>
      <c r="BB325" s="443"/>
      <c r="BC325" s="443"/>
      <c r="BD325" s="443"/>
      <c r="BE325" s="443"/>
      <c r="BF325" s="443"/>
      <c r="BG325" s="443"/>
      <c r="BH325" s="443"/>
      <c r="BI325" s="443"/>
      <c r="BJ325" s="443"/>
      <c r="BK325" s="443"/>
      <c r="BL325" s="443"/>
      <c r="BM325" s="443"/>
      <c r="BN325" s="443"/>
      <c r="BO325" s="443"/>
      <c r="BP325" s="443"/>
      <c r="BQ325" s="443"/>
      <c r="BR325" s="443"/>
      <c r="BS325" s="443"/>
      <c r="BT325" s="443"/>
      <c r="BU325" s="443"/>
      <c r="BV325" s="443"/>
      <c r="BW325" s="443"/>
      <c r="BX325" s="443"/>
      <c r="BY325" s="443"/>
      <c r="BZ325" s="443"/>
      <c r="CA325" s="443"/>
      <c r="CB325" s="443"/>
      <c r="CC325" s="443"/>
      <c r="CD325" s="443"/>
    </row>
    <row r="326" spans="1:82" ht="15.75" customHeight="1">
      <c r="A326" s="448">
        <f t="shared" si="63"/>
        <v>107</v>
      </c>
      <c r="B326" s="1" t="s">
        <v>452</v>
      </c>
      <c r="C326" s="233" t="str">
        <f ca="1">IFERROR(__xludf.DUMMYFUNCTION("GoogleFinance(B326,""name"")"),"MARA Holdings Inc")</f>
        <v>MARA Holdings Inc</v>
      </c>
      <c r="D326" s="234">
        <f ca="1">IFERROR(__xludf.DUMMYFUNCTION("GoogleFinance(B326,""marketcap"")/1000000"),5975.484003)</f>
        <v>5975.4840029999996</v>
      </c>
      <c r="E326" s="246" t="s">
        <v>14</v>
      </c>
      <c r="F326" s="246" t="s">
        <v>299</v>
      </c>
      <c r="G326" s="230">
        <v>45639</v>
      </c>
      <c r="H326" s="588">
        <v>19.2</v>
      </c>
      <c r="I326" s="506">
        <v>22.6</v>
      </c>
      <c r="J326" s="507">
        <f>2000/I326</f>
        <v>88.495575221238937</v>
      </c>
      <c r="K326" s="249">
        <f t="shared" si="84"/>
        <v>2000</v>
      </c>
      <c r="L326" s="249"/>
      <c r="M326" s="249">
        <f t="shared" si="77"/>
        <v>1699.1150442477876</v>
      </c>
      <c r="N326" s="508">
        <f t="shared" si="67"/>
        <v>-300.88495575221236</v>
      </c>
      <c r="O326" s="509">
        <f t="shared" si="75"/>
        <v>-0.15044247787610618</v>
      </c>
      <c r="P326" s="626">
        <f t="shared" si="80"/>
        <v>4</v>
      </c>
      <c r="Q326" s="752" t="s">
        <v>431</v>
      </c>
      <c r="R326" s="235">
        <v>45643</v>
      </c>
      <c r="S326" s="29" t="s">
        <v>62</v>
      </c>
      <c r="T326" s="22"/>
      <c r="U326" s="22"/>
      <c r="V326" s="22"/>
      <c r="W326" s="22"/>
      <c r="X326" s="22"/>
      <c r="Y326" s="14"/>
      <c r="Z326" s="14"/>
      <c r="AA326" s="14"/>
      <c r="AB326" s="14"/>
      <c r="AC326" s="14"/>
      <c r="AD326" s="22"/>
      <c r="AE326" s="22"/>
      <c r="AF326" s="22"/>
      <c r="AG326" s="22"/>
      <c r="AH326" s="14"/>
      <c r="AI326" s="14"/>
      <c r="AJ326" s="456"/>
      <c r="AK326" s="332"/>
      <c r="AL326" s="456"/>
      <c r="AM326" s="332"/>
      <c r="AN326" s="456"/>
      <c r="AO326" s="332"/>
      <c r="AP326" s="456"/>
      <c r="AQ326" s="28"/>
      <c r="AR326" s="456"/>
      <c r="AS326" s="28"/>
      <c r="AT326" s="28"/>
      <c r="AU326" s="28"/>
      <c r="AV326" s="28"/>
      <c r="AW326" s="311"/>
      <c r="AX326" s="311"/>
      <c r="AY326" s="28"/>
      <c r="AZ326" s="311"/>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row>
    <row r="327" spans="1:82" ht="15.75" customHeight="1">
      <c r="A327" s="448">
        <f t="shared" si="63"/>
        <v>108</v>
      </c>
      <c r="B327" s="556" t="s">
        <v>435</v>
      </c>
      <c r="C327" s="557" t="str">
        <f ca="1">IFERROR(__xludf.DUMMYFUNCTION("GoogleFinance(B327,""name"")"),"D-Wave Quantum Inc")</f>
        <v>D-Wave Quantum Inc</v>
      </c>
      <c r="D327" s="558">
        <f ca="1">IFERROR(__xludf.DUMMYFUNCTION("GoogleFinance(B327,""marketcap"")/1000000"),9152.409786)</f>
        <v>9152.4097860000002</v>
      </c>
      <c r="E327" s="779" t="s">
        <v>7</v>
      </c>
      <c r="F327" s="779" t="s">
        <v>433</v>
      </c>
      <c r="G327" s="560">
        <v>45562</v>
      </c>
      <c r="H327" s="561">
        <v>10.3</v>
      </c>
      <c r="I327" s="562">
        <v>1.01</v>
      </c>
      <c r="J327" s="563">
        <f>500/I327</f>
        <v>495.04950495049502</v>
      </c>
      <c r="K327" s="564">
        <f t="shared" si="84"/>
        <v>500</v>
      </c>
      <c r="L327" s="564"/>
      <c r="M327" s="564">
        <f t="shared" si="77"/>
        <v>5099.0099009900987</v>
      </c>
      <c r="N327" s="564">
        <f t="shared" si="67"/>
        <v>4599.0099009900987</v>
      </c>
      <c r="O327" s="565">
        <f t="shared" si="75"/>
        <v>9.1980198019801982</v>
      </c>
      <c r="P327" s="626">
        <f t="shared" si="80"/>
        <v>84</v>
      </c>
      <c r="Q327" s="752" t="s">
        <v>431</v>
      </c>
      <c r="R327" s="235">
        <v>45646</v>
      </c>
      <c r="S327" s="29" t="s">
        <v>580</v>
      </c>
      <c r="T327" s="22"/>
      <c r="U327" s="22"/>
      <c r="V327" s="22"/>
      <c r="W327" s="22"/>
      <c r="X327" s="22"/>
      <c r="Y327" s="14"/>
      <c r="Z327" s="14"/>
      <c r="AA327" s="14"/>
      <c r="AB327" s="14"/>
      <c r="AC327" s="14"/>
      <c r="AD327" s="22"/>
      <c r="AE327" s="22"/>
      <c r="AF327" s="22"/>
      <c r="AG327" s="22"/>
      <c r="AH327" s="14"/>
      <c r="AI327" s="14"/>
      <c r="AJ327" s="456"/>
      <c r="AK327" s="332"/>
      <c r="AL327" s="456"/>
      <c r="AM327" s="332"/>
      <c r="AN327" s="456"/>
      <c r="AO327" s="332"/>
      <c r="AP327" s="456"/>
      <c r="AQ327" s="28"/>
      <c r="AR327" s="456"/>
      <c r="AS327" s="28"/>
      <c r="AT327" s="28"/>
      <c r="AU327" s="28"/>
      <c r="AV327" s="28"/>
      <c r="AW327" s="311"/>
      <c r="AX327" s="311"/>
      <c r="AY327" s="28"/>
      <c r="AZ327" s="311"/>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row>
    <row r="328" spans="1:82" ht="15.75" customHeight="1">
      <c r="A328" s="448">
        <f t="shared" si="63"/>
        <v>109</v>
      </c>
      <c r="B328" s="753" t="s">
        <v>434</v>
      </c>
      <c r="C328" s="754" t="str">
        <f ca="1">IFERROR(__xludf.DUMMYFUNCTION("GoogleFinance(B328,""name"")"),"Rigetti Computing Inc")</f>
        <v>Rigetti Computing Inc</v>
      </c>
      <c r="D328" s="755">
        <f ca="1">IFERROR(__xludf.DUMMYFUNCTION("GoogleFinance(B328,""marketcap"")/1000000"),10107.47)</f>
        <v>10107.469999999999</v>
      </c>
      <c r="E328" s="756" t="s">
        <v>7</v>
      </c>
      <c r="F328" s="756" t="s">
        <v>433</v>
      </c>
      <c r="G328" s="757">
        <v>45603</v>
      </c>
      <c r="H328" s="758">
        <v>17.399999999999999</v>
      </c>
      <c r="I328" s="759">
        <v>1.4</v>
      </c>
      <c r="J328" s="760">
        <f>250/I328</f>
        <v>178.57142857142858</v>
      </c>
      <c r="K328" s="761">
        <f t="shared" si="84"/>
        <v>250</v>
      </c>
      <c r="L328" s="761"/>
      <c r="M328" s="761">
        <f t="shared" si="77"/>
        <v>3107.1428571428569</v>
      </c>
      <c r="N328" s="761">
        <f t="shared" si="67"/>
        <v>2857.1428571428569</v>
      </c>
      <c r="O328" s="762">
        <f t="shared" si="75"/>
        <v>11.428571428571427</v>
      </c>
      <c r="P328" s="626">
        <f t="shared" si="80"/>
        <v>43</v>
      </c>
      <c r="Q328" s="752" t="s">
        <v>431</v>
      </c>
      <c r="R328" s="235">
        <v>45646</v>
      </c>
      <c r="S328" s="29" t="s">
        <v>580</v>
      </c>
      <c r="T328" s="22"/>
      <c r="U328" s="22"/>
      <c r="V328" s="22"/>
      <c r="W328" s="22"/>
      <c r="X328" s="22"/>
      <c r="Y328" s="14"/>
      <c r="Z328" s="14"/>
      <c r="AA328" s="14"/>
      <c r="AB328" s="14"/>
      <c r="AC328" s="14"/>
      <c r="AD328" s="22"/>
      <c r="AE328" s="22"/>
      <c r="AF328" s="22"/>
      <c r="AG328" s="22"/>
      <c r="AH328" s="14"/>
      <c r="AI328" s="14"/>
      <c r="AJ328" s="456"/>
      <c r="AK328" s="332"/>
      <c r="AL328" s="456"/>
      <c r="AM328" s="332"/>
      <c r="AN328" s="456"/>
      <c r="AO328" s="332"/>
      <c r="AP328" s="456"/>
      <c r="AQ328" s="28"/>
      <c r="AR328" s="456"/>
      <c r="AS328" s="28"/>
      <c r="AT328" s="28"/>
      <c r="AU328" s="28"/>
      <c r="AV328" s="28"/>
      <c r="AW328" s="311"/>
      <c r="AX328" s="311"/>
      <c r="AY328" s="28"/>
      <c r="AZ328" s="311"/>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row>
    <row r="329" spans="1:82" ht="15.75" customHeight="1">
      <c r="A329" s="448">
        <f t="shared" si="63"/>
        <v>110</v>
      </c>
      <c r="B329" s="753" t="s">
        <v>432</v>
      </c>
      <c r="C329" s="754" t="str">
        <f ca="1">IFERROR(__xludf.DUMMYFUNCTION("GoogleFinance(B329,""name"")"),"IONQ Inc")</f>
        <v>IONQ Inc</v>
      </c>
      <c r="D329" s="755">
        <f ca="1">IFERROR(__xludf.DUMMYFUNCTION("GoogleFinance(B329,""marketcap"")/1000000"),21735.106365)</f>
        <v>21735.106365</v>
      </c>
      <c r="E329" s="756" t="s">
        <v>7</v>
      </c>
      <c r="F329" s="756" t="s">
        <v>433</v>
      </c>
      <c r="G329" s="757">
        <v>45519</v>
      </c>
      <c r="H329" s="758">
        <v>46</v>
      </c>
      <c r="I329" s="759">
        <v>7.51</v>
      </c>
      <c r="J329" s="760">
        <f>500/I329</f>
        <v>66.577896138482032</v>
      </c>
      <c r="K329" s="761">
        <f t="shared" si="84"/>
        <v>500.00000000000006</v>
      </c>
      <c r="L329" s="761"/>
      <c r="M329" s="761">
        <f t="shared" si="77"/>
        <v>3062.5832223701736</v>
      </c>
      <c r="N329" s="761">
        <f t="shared" si="67"/>
        <v>2562.5832223701736</v>
      </c>
      <c r="O329" s="762">
        <f t="shared" si="75"/>
        <v>5.1251664447403469</v>
      </c>
      <c r="P329" s="626">
        <f t="shared" si="80"/>
        <v>127</v>
      </c>
      <c r="Q329" s="752" t="s">
        <v>431</v>
      </c>
      <c r="R329" s="235">
        <v>45646</v>
      </c>
      <c r="S329" s="29" t="s">
        <v>580</v>
      </c>
      <c r="T329" s="22"/>
      <c r="U329" s="22"/>
      <c r="V329" s="22"/>
      <c r="W329" s="22"/>
      <c r="X329" s="22"/>
      <c r="Y329" s="14"/>
      <c r="Z329" s="14"/>
      <c r="AA329" s="14"/>
      <c r="AB329" s="14"/>
      <c r="AC329" s="14"/>
      <c r="AD329" s="22"/>
      <c r="AE329" s="22"/>
      <c r="AF329" s="22"/>
      <c r="AG329" s="22"/>
      <c r="AH329" s="14"/>
      <c r="AI329" s="14"/>
      <c r="AJ329" s="456"/>
      <c r="AK329" s="332"/>
      <c r="AL329" s="456"/>
      <c r="AM329" s="332"/>
      <c r="AN329" s="456"/>
      <c r="AO329" s="332"/>
      <c r="AP329" s="456"/>
      <c r="AQ329" s="28"/>
      <c r="AR329" s="456"/>
      <c r="AS329" s="28"/>
      <c r="AT329" s="28"/>
      <c r="AU329" s="28"/>
      <c r="AV329" s="28"/>
      <c r="AW329" s="311"/>
      <c r="AX329" s="311"/>
      <c r="AY329" s="28"/>
      <c r="AZ329" s="311"/>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row>
    <row r="330" spans="1:82" ht="15.75" customHeight="1">
      <c r="A330" s="448">
        <f t="shared" si="63"/>
        <v>111</v>
      </c>
      <c r="B330" s="1" t="s">
        <v>273</v>
      </c>
      <c r="C330" s="233" t="str">
        <f ca="1">IFERROR(__xludf.DUMMYFUNCTION("GoogleFinance(B330,""name"")"),"Global X Uranium ETF")</f>
        <v>Global X Uranium ETF</v>
      </c>
      <c r="D330" s="234" t="str">
        <f ca="1">IFERROR(__xludf.DUMMYFUNCTION("GoogleFinance(B330,""marketcap"")/1000000"),"#N/A")</f>
        <v>#N/A</v>
      </c>
      <c r="E330" s="246" t="s">
        <v>15</v>
      </c>
      <c r="F330" s="246" t="s">
        <v>274</v>
      </c>
      <c r="G330" s="786">
        <v>45546</v>
      </c>
      <c r="H330" s="588">
        <v>27</v>
      </c>
      <c r="I330" s="506">
        <v>25.03</v>
      </c>
      <c r="J330" s="507">
        <f>K330/I330</f>
        <v>119.85617259288853</v>
      </c>
      <c r="K330" s="249">
        <v>3000</v>
      </c>
      <c r="L330" s="249"/>
      <c r="M330" s="249">
        <f t="shared" si="77"/>
        <v>3236.11666000799</v>
      </c>
      <c r="N330" s="508">
        <f t="shared" si="67"/>
        <v>236.11666000799005</v>
      </c>
      <c r="O330" s="509">
        <f t="shared" si="75"/>
        <v>7.8705553335996686E-2</v>
      </c>
      <c r="P330" s="626">
        <f t="shared" si="80"/>
        <v>111</v>
      </c>
      <c r="Q330" s="752" t="s">
        <v>431</v>
      </c>
      <c r="R330" s="235">
        <v>45657</v>
      </c>
      <c r="S330" s="29" t="s">
        <v>62</v>
      </c>
      <c r="T330" s="22"/>
      <c r="U330" s="22"/>
      <c r="V330" s="22"/>
      <c r="W330" s="22"/>
      <c r="X330" s="22"/>
      <c r="Y330" s="14"/>
      <c r="Z330" s="14"/>
      <c r="AA330" s="14"/>
      <c r="AB330" s="14"/>
      <c r="AC330" s="14"/>
      <c r="AD330" s="22"/>
      <c r="AE330" s="22"/>
      <c r="AF330" s="22"/>
      <c r="AG330" s="22"/>
      <c r="AH330" s="14"/>
      <c r="AI330" s="14"/>
      <c r="AJ330" s="456"/>
      <c r="AK330" s="332"/>
      <c r="AL330" s="456"/>
      <c r="AM330" s="332"/>
      <c r="AN330" s="456"/>
      <c r="AO330" s="332"/>
      <c r="AP330" s="456"/>
      <c r="AQ330" s="28"/>
      <c r="AR330" s="456"/>
      <c r="AS330" s="28"/>
      <c r="AT330" s="28"/>
      <c r="AU330" s="28"/>
      <c r="AV330" s="28"/>
      <c r="AW330" s="311"/>
      <c r="AX330" s="311"/>
      <c r="AY330" s="28"/>
      <c r="AZ330" s="311"/>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row>
    <row r="331" spans="1:82" ht="15.75" customHeight="1">
      <c r="A331" s="22"/>
      <c r="B331" s="22"/>
      <c r="C331" s="845"/>
      <c r="D331" s="22"/>
      <c r="E331" s="22"/>
      <c r="F331" s="22"/>
      <c r="G331" s="23"/>
      <c r="H331" s="846"/>
      <c r="I331" s="409"/>
      <c r="J331" s="409"/>
      <c r="K331" s="404"/>
      <c r="L331" s="404"/>
      <c r="M331" s="404"/>
      <c r="N331" s="249"/>
      <c r="O331" s="396"/>
      <c r="P331" s="847"/>
      <c r="Q331" s="26"/>
      <c r="R331" s="235"/>
      <c r="S331" s="29"/>
      <c r="T331" s="22"/>
      <c r="U331" s="22"/>
      <c r="V331" s="22"/>
      <c r="W331" s="22"/>
      <c r="X331" s="22"/>
      <c r="Y331" s="14"/>
      <c r="Z331" s="14"/>
      <c r="AA331" s="14"/>
      <c r="AB331" s="14"/>
      <c r="AC331" s="14"/>
      <c r="AD331" s="22"/>
      <c r="AE331" s="22"/>
      <c r="AF331" s="22"/>
      <c r="AG331" s="22"/>
      <c r="AH331" s="14"/>
      <c r="AI331" s="14"/>
      <c r="AJ331" s="456"/>
      <c r="AK331" s="332"/>
      <c r="AL331" s="456"/>
      <c r="AM331" s="332"/>
      <c r="AN331" s="456"/>
      <c r="AO331" s="332"/>
      <c r="AP331" s="456"/>
      <c r="AQ331" s="28"/>
      <c r="AR331" s="456"/>
      <c r="AS331" s="28"/>
      <c r="AT331" s="28"/>
      <c r="AU331" s="28"/>
      <c r="AV331" s="28"/>
      <c r="AW331" s="311"/>
      <c r="AX331" s="311"/>
      <c r="AY331" s="28"/>
      <c r="AZ331" s="311"/>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row>
    <row r="332" spans="1:82" ht="15.75" customHeight="1">
      <c r="A332" s="22"/>
      <c r="B332" s="22"/>
      <c r="C332" s="845"/>
      <c r="D332" s="22"/>
      <c r="E332" s="22"/>
      <c r="F332" s="22"/>
      <c r="G332" s="23"/>
      <c r="H332" s="846"/>
      <c r="I332" s="409"/>
      <c r="J332" s="409"/>
      <c r="K332" s="404"/>
      <c r="L332" s="404"/>
      <c r="M332" s="404"/>
      <c r="N332" s="249"/>
      <c r="O332" s="396"/>
      <c r="P332" s="847"/>
      <c r="Q332" s="26"/>
      <c r="R332" s="235"/>
      <c r="S332" s="29"/>
      <c r="T332" s="22"/>
      <c r="U332" s="22"/>
      <c r="V332" s="22"/>
      <c r="W332" s="22"/>
      <c r="X332" s="22"/>
      <c r="Y332" s="14"/>
      <c r="Z332" s="14"/>
      <c r="AA332" s="14"/>
      <c r="AB332" s="14"/>
      <c r="AC332" s="14"/>
      <c r="AD332" s="22"/>
      <c r="AE332" s="22"/>
      <c r="AF332" s="22"/>
      <c r="AG332" s="22"/>
      <c r="AH332" s="14"/>
      <c r="AI332" s="14"/>
      <c r="AJ332" s="456"/>
      <c r="AK332" s="332"/>
      <c r="AL332" s="456"/>
      <c r="AM332" s="332"/>
      <c r="AN332" s="456"/>
      <c r="AO332" s="332"/>
      <c r="AP332" s="456"/>
      <c r="AQ332" s="28"/>
      <c r="AR332" s="456"/>
      <c r="AS332" s="28"/>
      <c r="AT332" s="28"/>
      <c r="AU332" s="28"/>
      <c r="AV332" s="28"/>
      <c r="AW332" s="311"/>
      <c r="AX332" s="311"/>
      <c r="AY332" s="28"/>
      <c r="AZ332" s="311"/>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row>
    <row r="333" spans="1:82" ht="7.5" customHeight="1">
      <c r="A333" s="810"/>
      <c r="B333" s="810"/>
      <c r="C333" s="811"/>
      <c r="D333" s="810"/>
      <c r="E333" s="810"/>
      <c r="F333" s="810"/>
      <c r="G333" s="812"/>
      <c r="H333" s="813"/>
      <c r="I333" s="814"/>
      <c r="J333" s="814"/>
      <c r="K333" s="815"/>
      <c r="L333" s="815"/>
      <c r="M333" s="815"/>
      <c r="N333" s="816"/>
      <c r="O333" s="817"/>
      <c r="P333" s="818"/>
      <c r="Q333" s="752"/>
      <c r="R333" s="29"/>
      <c r="S333" s="29"/>
      <c r="T333" s="29"/>
      <c r="U333" s="29"/>
      <c r="V333" s="29"/>
      <c r="W333" s="29"/>
      <c r="X333" s="29"/>
      <c r="Y333" s="14"/>
      <c r="Z333" s="14"/>
      <c r="AA333" s="14"/>
      <c r="AB333" s="14"/>
      <c r="AC333" s="14"/>
      <c r="AD333" s="29"/>
      <c r="AE333" s="29"/>
      <c r="AF333" s="29"/>
      <c r="AG333" s="29"/>
      <c r="AH333" s="14"/>
      <c r="AI333" s="14"/>
      <c r="AJ333" s="456"/>
      <c r="AK333" s="332"/>
      <c r="AL333" s="456"/>
      <c r="AM333" s="332"/>
      <c r="AN333" s="456"/>
      <c r="AO333" s="332"/>
      <c r="AP333" s="456"/>
      <c r="AQ333" s="28"/>
      <c r="AR333" s="456"/>
      <c r="AS333" s="28"/>
      <c r="AT333" s="28"/>
      <c r="AU333" s="28"/>
      <c r="AV333" s="28"/>
      <c r="AW333" s="311"/>
      <c r="AX333" s="311"/>
      <c r="AY333" s="28"/>
      <c r="AZ333" s="311"/>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29"/>
      <c r="CC333" s="29"/>
      <c r="CD333" s="29"/>
    </row>
    <row r="334" spans="1:82" ht="15.75" customHeight="1">
      <c r="A334" s="29"/>
      <c r="B334" s="29"/>
      <c r="C334" s="820"/>
      <c r="D334" s="29"/>
      <c r="E334" s="29"/>
      <c r="F334" s="29"/>
      <c r="G334" s="30"/>
      <c r="H334" s="694" t="s">
        <v>255</v>
      </c>
      <c r="I334" s="695"/>
      <c r="J334" s="695"/>
      <c r="K334" s="696">
        <f>SUM(K220:K333)</f>
        <v>353642.89959162642</v>
      </c>
      <c r="L334" s="696"/>
      <c r="M334" s="696">
        <f ca="1">SUM(M220:M333)</f>
        <v>390205.36683309538</v>
      </c>
      <c r="N334" s="697">
        <f ca="1">M334-K334</f>
        <v>36562.467241468956</v>
      </c>
      <c r="O334" s="821">
        <f ca="1">N334/100000</f>
        <v>0.36562467241468954</v>
      </c>
      <c r="P334" s="698">
        <f ca="1">AVERAGE(P220:P333)</f>
        <v>55</v>
      </c>
      <c r="Q334" s="752"/>
      <c r="R334" s="29"/>
      <c r="S334" s="29"/>
      <c r="T334" s="29"/>
      <c r="U334" s="29"/>
      <c r="V334" s="29"/>
      <c r="W334" s="29"/>
      <c r="X334" s="29"/>
      <c r="Y334" s="14"/>
      <c r="Z334" s="14"/>
      <c r="AA334" s="14"/>
      <c r="AB334" s="14"/>
      <c r="AC334" s="14"/>
      <c r="AD334" s="29"/>
      <c r="AE334" s="29"/>
      <c r="AF334" s="29"/>
      <c r="AG334" s="29"/>
      <c r="AH334" s="14"/>
      <c r="AI334" s="14"/>
      <c r="AJ334" s="332"/>
      <c r="AK334" s="332"/>
      <c r="AL334" s="332"/>
      <c r="AM334" s="332"/>
      <c r="AN334" s="332"/>
      <c r="AO334" s="332"/>
      <c r="AP334" s="332"/>
      <c r="AQ334" s="28"/>
      <c r="AR334" s="332"/>
      <c r="AS334" s="28"/>
      <c r="AT334" s="28"/>
      <c r="AU334" s="28"/>
      <c r="AV334" s="28"/>
      <c r="AW334" s="28"/>
      <c r="AX334" s="28"/>
      <c r="AY334" s="28"/>
      <c r="AZ334" s="28"/>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29"/>
      <c r="CC334" s="29"/>
      <c r="CD334" s="29"/>
    </row>
    <row r="335" spans="1:82" ht="15.75" customHeight="1">
      <c r="A335" s="29"/>
      <c r="B335" s="29"/>
      <c r="C335" s="820"/>
      <c r="D335" s="29"/>
      <c r="E335" s="29"/>
      <c r="F335" s="29"/>
      <c r="G335" s="30"/>
      <c r="H335" s="30"/>
      <c r="I335" s="29"/>
      <c r="J335" s="29"/>
      <c r="K335" s="29"/>
      <c r="L335" s="30"/>
      <c r="M335" s="30"/>
      <c r="N335" s="29"/>
      <c r="O335" s="29"/>
      <c r="P335" s="29"/>
      <c r="Q335" s="29"/>
      <c r="R335" s="29"/>
      <c r="S335" s="29"/>
      <c r="T335" s="29"/>
      <c r="U335" s="29"/>
      <c r="V335" s="29"/>
      <c r="W335" s="29"/>
      <c r="X335" s="29"/>
      <c r="Y335" s="14"/>
      <c r="Z335" s="14"/>
      <c r="AA335" s="14"/>
      <c r="AB335" s="14"/>
      <c r="AC335" s="14"/>
      <c r="AD335" s="29"/>
      <c r="AE335" s="29"/>
      <c r="AF335" s="29"/>
      <c r="AG335" s="29"/>
      <c r="AH335" s="14"/>
      <c r="AI335" s="14"/>
      <c r="AJ335" s="332"/>
      <c r="AK335" s="332"/>
      <c r="AL335" s="332"/>
      <c r="AM335" s="332"/>
      <c r="AN335" s="332"/>
      <c r="AO335" s="332"/>
      <c r="AP335" s="332"/>
      <c r="AQ335" s="28"/>
      <c r="AR335" s="332"/>
      <c r="AS335" s="28"/>
      <c r="AT335" s="28"/>
      <c r="AU335" s="28"/>
      <c r="AV335" s="28"/>
      <c r="AW335" s="28"/>
      <c r="AX335" s="28"/>
      <c r="AY335" s="28"/>
      <c r="AZ335" s="28"/>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29"/>
      <c r="CC335" s="29"/>
      <c r="CD335" s="29"/>
    </row>
    <row r="336" spans="1:82" ht="15.75" customHeight="1">
      <c r="A336" s="29"/>
      <c r="B336" s="29"/>
      <c r="C336" s="820"/>
      <c r="D336" s="29"/>
      <c r="E336" s="29"/>
      <c r="F336" s="29"/>
      <c r="G336" s="30"/>
      <c r="H336" s="30"/>
      <c r="I336" s="29"/>
      <c r="K336" s="29"/>
      <c r="L336" s="30"/>
      <c r="M336" s="30"/>
      <c r="N336" s="29"/>
      <c r="O336" s="29"/>
      <c r="P336" s="29"/>
      <c r="Q336" s="29"/>
      <c r="R336" s="29"/>
      <c r="S336" s="29"/>
      <c r="T336" s="29"/>
      <c r="U336" s="29"/>
      <c r="V336" s="29"/>
      <c r="W336" s="29"/>
      <c r="X336" s="29"/>
      <c r="Y336" s="29"/>
      <c r="Z336" s="29"/>
      <c r="AA336" s="29"/>
      <c r="AB336" s="29"/>
      <c r="AC336" s="29"/>
      <c r="AD336" s="29"/>
      <c r="AE336" s="29"/>
      <c r="AF336" s="29"/>
      <c r="AG336" s="29"/>
      <c r="AH336" s="14"/>
      <c r="AI336" s="14"/>
      <c r="AJ336" s="332"/>
      <c r="AK336" s="332"/>
      <c r="AL336" s="332"/>
      <c r="AM336" s="332"/>
      <c r="AN336" s="332"/>
      <c r="AO336" s="332"/>
      <c r="AP336" s="332"/>
      <c r="AQ336" s="28"/>
      <c r="AR336" s="332"/>
      <c r="AS336" s="28"/>
      <c r="AT336" s="28"/>
      <c r="AU336" s="28"/>
      <c r="AV336" s="28"/>
      <c r="AW336" s="28"/>
      <c r="AX336" s="28"/>
      <c r="AY336" s="28"/>
      <c r="AZ336" s="28"/>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row>
    <row r="337" spans="1:82" ht="15.75" customHeight="1">
      <c r="A337" s="29"/>
      <c r="B337" s="29"/>
      <c r="C337" s="820"/>
      <c r="D337" s="29"/>
      <c r="E337" s="29"/>
      <c r="F337" s="29"/>
      <c r="G337" s="30"/>
      <c r="H337" s="30"/>
      <c r="I337" s="29"/>
      <c r="K337" s="29"/>
      <c r="L337" s="30"/>
      <c r="M337" s="30"/>
      <c r="N337" s="29"/>
      <c r="O337" s="29"/>
      <c r="P337" s="29"/>
      <c r="Q337" s="29"/>
      <c r="R337" s="29"/>
      <c r="S337" s="29"/>
      <c r="T337" s="29"/>
      <c r="U337" s="29"/>
      <c r="V337" s="29"/>
      <c r="W337" s="29"/>
      <c r="X337" s="29"/>
      <c r="Y337" s="29"/>
      <c r="Z337" s="29"/>
      <c r="AA337" s="29"/>
      <c r="AB337" s="29"/>
      <c r="AC337" s="29"/>
      <c r="AD337" s="29"/>
      <c r="AE337" s="29"/>
      <c r="AF337" s="29"/>
      <c r="AG337" s="29"/>
      <c r="AH337" s="14"/>
      <c r="AI337" s="14"/>
      <c r="AJ337" s="332"/>
      <c r="AK337" s="332"/>
      <c r="AL337" s="332"/>
      <c r="AM337" s="332"/>
      <c r="AN337" s="332"/>
      <c r="AO337" s="332"/>
      <c r="AP337" s="332"/>
      <c r="AQ337" s="28"/>
      <c r="AR337" s="332"/>
      <c r="AS337" s="28"/>
      <c r="AT337" s="28"/>
      <c r="AU337" s="28"/>
      <c r="AV337" s="28"/>
      <c r="AW337" s="28"/>
      <c r="AX337" s="28"/>
      <c r="AY337" s="28"/>
      <c r="AZ337" s="28"/>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29"/>
      <c r="CC337" s="29"/>
      <c r="CD337" s="29"/>
    </row>
    <row r="338" spans="1:82" ht="15.75" customHeight="1">
      <c r="A338" s="29"/>
      <c r="B338" s="29"/>
      <c r="C338" s="820"/>
      <c r="D338" s="29"/>
      <c r="E338" s="29"/>
      <c r="F338" s="29"/>
      <c r="G338" s="30"/>
      <c r="H338" s="30"/>
      <c r="I338" s="29"/>
      <c r="K338" s="29"/>
      <c r="L338" s="30"/>
      <c r="M338" s="30"/>
      <c r="N338" s="29"/>
      <c r="O338" s="29"/>
      <c r="P338" s="29"/>
      <c r="Q338" s="29"/>
      <c r="R338" s="29"/>
      <c r="S338" s="29"/>
      <c r="T338" s="29"/>
      <c r="U338" s="29"/>
      <c r="V338" s="29"/>
      <c r="W338" s="29"/>
      <c r="X338" s="29"/>
      <c r="Y338" s="29"/>
      <c r="Z338" s="29"/>
      <c r="AA338" s="29"/>
      <c r="AB338" s="29"/>
      <c r="AC338" s="29"/>
      <c r="AD338" s="29"/>
      <c r="AE338" s="29"/>
      <c r="AF338" s="29"/>
      <c r="AG338" s="29"/>
      <c r="AH338" s="14"/>
      <c r="AI338" s="14"/>
      <c r="AJ338" s="332"/>
      <c r="AK338" s="332"/>
      <c r="AL338" s="332"/>
      <c r="AM338" s="332"/>
      <c r="AN338" s="332"/>
      <c r="AO338" s="332"/>
      <c r="AP338" s="332"/>
      <c r="AQ338" s="28"/>
      <c r="AR338" s="332"/>
      <c r="AS338" s="28"/>
      <c r="AT338" s="28"/>
      <c r="AU338" s="28"/>
      <c r="AV338" s="28"/>
      <c r="AW338" s="28"/>
      <c r="AX338" s="28"/>
      <c r="AY338" s="28"/>
      <c r="AZ338" s="28"/>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29"/>
      <c r="CC338" s="29"/>
      <c r="CD338" s="29"/>
    </row>
    <row r="339" spans="1:82" ht="15.75" customHeight="1">
      <c r="A339" s="29"/>
      <c r="B339" s="29"/>
      <c r="C339" s="820"/>
      <c r="D339" s="29"/>
      <c r="E339" s="29"/>
      <c r="F339" s="29"/>
      <c r="G339" s="30"/>
      <c r="H339" s="30"/>
      <c r="I339" s="29"/>
      <c r="K339" s="29"/>
      <c r="L339" s="30"/>
      <c r="M339" s="30"/>
      <c r="N339" s="29"/>
      <c r="O339" s="29"/>
      <c r="P339" s="29"/>
      <c r="Q339" s="29"/>
      <c r="R339" s="29"/>
      <c r="S339" s="29"/>
      <c r="T339" s="29"/>
      <c r="U339" s="29"/>
      <c r="V339" s="29"/>
      <c r="W339" s="29"/>
      <c r="X339" s="29"/>
      <c r="Y339" s="29"/>
      <c r="Z339" s="29"/>
      <c r="AA339" s="29"/>
      <c r="AB339" s="29"/>
      <c r="AC339" s="29"/>
      <c r="AD339" s="29"/>
      <c r="AE339" s="29"/>
      <c r="AF339" s="29"/>
      <c r="AG339" s="29"/>
      <c r="AH339" s="14"/>
      <c r="AI339" s="14"/>
      <c r="AJ339" s="332"/>
      <c r="AK339" s="332"/>
      <c r="AL339" s="332"/>
      <c r="AM339" s="332"/>
      <c r="AN339" s="332"/>
      <c r="AO339" s="332"/>
      <c r="AP339" s="332"/>
      <c r="AQ339" s="28"/>
      <c r="AR339" s="332"/>
      <c r="AS339" s="28"/>
      <c r="AT339" s="332"/>
      <c r="AU339" s="28"/>
      <c r="AV339" s="332"/>
      <c r="AW339" s="28"/>
      <c r="AX339" s="323"/>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29"/>
      <c r="CC339" s="29"/>
      <c r="CD339" s="29"/>
    </row>
    <row r="340" spans="1:82" ht="15.75" customHeight="1">
      <c r="A340" s="29"/>
      <c r="B340" s="29"/>
      <c r="C340" s="820"/>
      <c r="D340" s="29"/>
      <c r="E340" s="29"/>
      <c r="F340" s="29"/>
      <c r="G340" s="30"/>
      <c r="H340" s="30"/>
      <c r="I340" s="29"/>
      <c r="J340" s="29"/>
      <c r="K340" s="29"/>
      <c r="L340" s="30"/>
      <c r="M340" s="30"/>
      <c r="N340" s="29"/>
      <c r="O340" s="29"/>
      <c r="P340" s="29"/>
      <c r="Q340" s="29"/>
      <c r="R340" s="29"/>
      <c r="S340" s="29"/>
      <c r="T340" s="29"/>
      <c r="U340" s="29"/>
      <c r="V340" s="29"/>
      <c r="W340" s="29"/>
      <c r="X340" s="29"/>
      <c r="Y340" s="29"/>
      <c r="Z340" s="29"/>
      <c r="AA340" s="29"/>
      <c r="AB340" s="29"/>
      <c r="AC340" s="29"/>
      <c r="AD340" s="29"/>
      <c r="AE340" s="29"/>
      <c r="AF340" s="29"/>
      <c r="AG340" s="29"/>
      <c r="AH340" s="14"/>
      <c r="AI340" s="14"/>
      <c r="AJ340" s="332"/>
      <c r="AK340" s="332"/>
      <c r="AL340" s="332"/>
      <c r="AM340" s="332"/>
      <c r="AN340" s="332"/>
      <c r="AO340" s="332"/>
      <c r="AP340" s="332"/>
      <c r="AQ340" s="28"/>
      <c r="AR340" s="332"/>
      <c r="AS340" s="28"/>
      <c r="AT340" s="332"/>
      <c r="AU340" s="28"/>
      <c r="AV340" s="332"/>
      <c r="AW340" s="28"/>
      <c r="AX340" s="323"/>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29"/>
      <c r="CC340" s="29"/>
      <c r="CD340" s="29"/>
    </row>
    <row r="341" spans="1:82" ht="15.75" customHeight="1">
      <c r="A341" s="29"/>
      <c r="B341" s="29"/>
      <c r="C341" s="820"/>
      <c r="D341" s="29"/>
      <c r="E341" s="29"/>
      <c r="F341" s="29"/>
      <c r="G341" s="30"/>
      <c r="H341" s="30"/>
      <c r="I341" s="29"/>
      <c r="J341" s="29"/>
      <c r="K341" s="29"/>
      <c r="L341" s="30"/>
      <c r="M341" s="30"/>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29"/>
      <c r="CC341" s="29"/>
      <c r="CD341" s="29"/>
    </row>
    <row r="342" spans="1:82" ht="15.75" customHeight="1">
      <c r="A342" s="29"/>
      <c r="B342" s="29"/>
      <c r="C342" s="820"/>
      <c r="D342" s="29"/>
      <c r="E342" s="29"/>
      <c r="F342" s="29"/>
      <c r="G342" s="30"/>
      <c r="H342" s="30"/>
      <c r="I342" s="29"/>
      <c r="J342" s="29"/>
      <c r="K342" s="29"/>
      <c r="L342" s="30"/>
      <c r="M342" s="30"/>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29"/>
      <c r="CC342" s="29"/>
      <c r="CD342" s="29"/>
    </row>
    <row r="343" spans="1:82" ht="15.75" customHeight="1">
      <c r="A343" s="29"/>
      <c r="B343" s="29"/>
      <c r="C343" s="820"/>
      <c r="D343" s="29"/>
      <c r="E343" s="29"/>
      <c r="F343" s="29"/>
      <c r="G343" s="30"/>
      <c r="H343" s="30"/>
      <c r="I343" s="29"/>
      <c r="J343" s="29"/>
      <c r="K343" s="29"/>
      <c r="L343" s="30"/>
      <c r="M343" s="30"/>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29"/>
      <c r="CC343" s="29"/>
      <c r="CD343" s="29"/>
    </row>
    <row r="344" spans="1:82" ht="15.75" customHeight="1">
      <c r="A344" s="29"/>
      <c r="B344" s="29"/>
      <c r="C344" s="820"/>
      <c r="D344" s="29"/>
      <c r="E344" s="29"/>
      <c r="F344" s="29"/>
      <c r="G344" s="30"/>
      <c r="H344" s="30"/>
      <c r="I344" s="29"/>
      <c r="J344" s="29"/>
      <c r="K344" s="29"/>
      <c r="L344" s="30"/>
      <c r="M344" s="30"/>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29"/>
      <c r="CC344" s="29"/>
      <c r="CD344" s="29"/>
    </row>
    <row r="345" spans="1:82" ht="15.75" customHeight="1">
      <c r="A345" s="29"/>
      <c r="B345" s="29"/>
      <c r="C345" s="820"/>
      <c r="D345" s="29"/>
      <c r="E345" s="29"/>
      <c r="F345" s="29"/>
      <c r="G345" s="30"/>
      <c r="H345" s="30"/>
      <c r="I345" s="29"/>
      <c r="J345" s="29"/>
      <c r="K345" s="29"/>
      <c r="L345" s="30"/>
      <c r="M345" s="30"/>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29"/>
      <c r="CC345" s="29"/>
      <c r="CD345" s="29"/>
    </row>
    <row r="346" spans="1:82" ht="15.75" customHeight="1">
      <c r="A346" s="29"/>
      <c r="B346" s="29"/>
      <c r="C346" s="820"/>
      <c r="D346" s="29"/>
      <c r="E346" s="29"/>
      <c r="F346" s="29"/>
      <c r="G346" s="30"/>
      <c r="H346" s="30"/>
      <c r="I346" s="29"/>
      <c r="J346" s="29"/>
      <c r="K346" s="29"/>
      <c r="L346" s="30"/>
      <c r="M346" s="30"/>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row>
    <row r="347" spans="1:82" ht="15.75" customHeight="1">
      <c r="A347" s="29"/>
      <c r="B347" s="29"/>
      <c r="C347" s="820"/>
      <c r="D347" s="29"/>
      <c r="E347" s="29"/>
      <c r="F347" s="29"/>
      <c r="G347" s="30"/>
      <c r="H347" s="30"/>
      <c r="I347" s="29"/>
      <c r="J347" s="29"/>
      <c r="K347" s="29"/>
      <c r="L347" s="30"/>
      <c r="M347" s="30"/>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29"/>
      <c r="CC347" s="29"/>
      <c r="CD347" s="29"/>
    </row>
    <row r="348" spans="1:82" ht="15.75" customHeight="1">
      <c r="A348" s="29"/>
      <c r="B348" s="29"/>
      <c r="C348" s="820"/>
      <c r="D348" s="29"/>
      <c r="E348" s="29"/>
      <c r="F348" s="29"/>
      <c r="G348" s="30"/>
      <c r="H348" s="30"/>
      <c r="I348" s="29"/>
      <c r="J348" s="29"/>
      <c r="K348" s="29"/>
      <c r="L348" s="30"/>
      <c r="M348" s="30"/>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29"/>
      <c r="CC348" s="29"/>
      <c r="CD348" s="29"/>
    </row>
    <row r="349" spans="1:82" ht="15.75" customHeight="1">
      <c r="A349" s="29"/>
      <c r="B349" s="29"/>
      <c r="C349" s="820"/>
      <c r="D349" s="29"/>
      <c r="E349" s="29"/>
      <c r="F349" s="29"/>
      <c r="G349" s="30"/>
      <c r="H349" s="30"/>
      <c r="I349" s="29"/>
      <c r="J349" s="29"/>
      <c r="K349" s="29"/>
      <c r="L349" s="30"/>
      <c r="M349" s="30"/>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29"/>
      <c r="CC349" s="29"/>
      <c r="CD349" s="29"/>
    </row>
    <row r="350" spans="1:82" ht="15.75" customHeight="1">
      <c r="A350" s="29"/>
      <c r="B350" s="29"/>
      <c r="C350" s="820"/>
      <c r="D350" s="29"/>
      <c r="E350" s="29"/>
      <c r="F350" s="29"/>
      <c r="G350" s="30"/>
      <c r="H350" s="30"/>
      <c r="I350" s="29"/>
      <c r="J350" s="29"/>
      <c r="K350" s="29"/>
      <c r="L350" s="30"/>
      <c r="M350" s="30"/>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29"/>
      <c r="CC350" s="29"/>
      <c r="CD350" s="29"/>
    </row>
    <row r="351" spans="1:82" ht="15.75" customHeight="1">
      <c r="A351" s="29"/>
      <c r="B351" s="29"/>
      <c r="C351" s="820"/>
      <c r="D351" s="29"/>
      <c r="E351" s="29"/>
      <c r="F351" s="29"/>
      <c r="G351" s="30"/>
      <c r="H351" s="30"/>
      <c r="I351" s="29"/>
      <c r="J351" s="29"/>
      <c r="K351" s="29"/>
      <c r="L351" s="30"/>
      <c r="M351" s="30"/>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29"/>
      <c r="CC351" s="29"/>
      <c r="CD351" s="29"/>
    </row>
    <row r="352" spans="1:82" ht="15.75" customHeight="1">
      <c r="A352" s="29"/>
      <c r="B352" s="29"/>
      <c r="C352" s="820"/>
      <c r="D352" s="29"/>
      <c r="E352" s="29"/>
      <c r="F352" s="29"/>
      <c r="G352" s="30"/>
      <c r="H352" s="30"/>
      <c r="I352" s="29"/>
      <c r="J352" s="29"/>
      <c r="K352" s="29"/>
      <c r="L352" s="30"/>
      <c r="M352" s="30"/>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29"/>
      <c r="CC352" s="29"/>
      <c r="CD352" s="29"/>
    </row>
    <row r="353" spans="1:82" ht="15.75" customHeight="1">
      <c r="A353" s="29"/>
      <c r="B353" s="29"/>
      <c r="C353" s="820"/>
      <c r="D353" s="29"/>
      <c r="E353" s="29"/>
      <c r="F353" s="29"/>
      <c r="G353" s="30"/>
      <c r="H353" s="30"/>
      <c r="I353" s="29"/>
      <c r="J353" s="29"/>
      <c r="K353" s="29"/>
      <c r="L353" s="30"/>
      <c r="M353" s="30"/>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29"/>
      <c r="CC353" s="29"/>
      <c r="CD353" s="29"/>
    </row>
    <row r="354" spans="1:82" ht="15.75" customHeight="1">
      <c r="A354" s="29"/>
      <c r="B354" s="29"/>
      <c r="C354" s="820"/>
      <c r="D354" s="29"/>
      <c r="E354" s="29"/>
      <c r="F354" s="29"/>
      <c r="G354" s="30"/>
      <c r="H354" s="30"/>
      <c r="I354" s="29"/>
      <c r="J354" s="29"/>
      <c r="K354" s="29"/>
      <c r="L354" s="30"/>
      <c r="M354" s="30"/>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29"/>
      <c r="CC354" s="29"/>
      <c r="CD354" s="29"/>
    </row>
    <row r="355" spans="1:82" ht="15.75" customHeight="1">
      <c r="A355" s="29"/>
      <c r="B355" s="29"/>
      <c r="C355" s="820"/>
      <c r="D355" s="29"/>
      <c r="E355" s="29"/>
      <c r="F355" s="29"/>
      <c r="G355" s="30"/>
      <c r="H355" s="30"/>
      <c r="I355" s="29"/>
      <c r="J355" s="29"/>
      <c r="K355" s="29"/>
      <c r="L355" s="30"/>
      <c r="M355" s="30"/>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29"/>
      <c r="CC355" s="29"/>
      <c r="CD355" s="29"/>
    </row>
    <row r="356" spans="1:82" ht="15.75" customHeight="1">
      <c r="A356" s="29"/>
      <c r="B356" s="29"/>
      <c r="C356" s="820"/>
      <c r="D356" s="29"/>
      <c r="E356" s="29"/>
      <c r="F356" s="29"/>
      <c r="G356" s="30"/>
      <c r="H356" s="30"/>
      <c r="I356" s="29"/>
      <c r="J356" s="29"/>
      <c r="K356" s="29"/>
      <c r="L356" s="30"/>
      <c r="M356" s="30"/>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row>
    <row r="357" spans="1:82" ht="15.75" customHeight="1">
      <c r="A357" s="29"/>
      <c r="B357" s="29"/>
      <c r="C357" s="820"/>
      <c r="D357" s="29"/>
      <c r="E357" s="29"/>
      <c r="F357" s="29"/>
      <c r="G357" s="30"/>
      <c r="H357" s="30"/>
      <c r="I357" s="29"/>
      <c r="J357" s="29"/>
      <c r="K357" s="29"/>
      <c r="L357" s="30"/>
      <c r="M357" s="30"/>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29"/>
      <c r="CC357" s="29"/>
      <c r="CD357" s="29"/>
    </row>
    <row r="358" spans="1:82" ht="15.75" customHeight="1">
      <c r="A358" s="29"/>
      <c r="B358" s="29"/>
      <c r="C358" s="820"/>
      <c r="D358" s="29"/>
      <c r="E358" s="29"/>
      <c r="F358" s="29"/>
      <c r="G358" s="30"/>
      <c r="H358" s="30"/>
      <c r="I358" s="29"/>
      <c r="J358" s="29"/>
      <c r="K358" s="29"/>
      <c r="L358" s="30"/>
      <c r="M358" s="30"/>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29"/>
      <c r="CC358" s="29"/>
      <c r="CD358" s="29"/>
    </row>
    <row r="359" spans="1:82" ht="15.75" customHeight="1">
      <c r="A359" s="29"/>
      <c r="B359" s="29"/>
      <c r="C359" s="820"/>
      <c r="D359" s="29"/>
      <c r="E359" s="29"/>
      <c r="F359" s="29"/>
      <c r="G359" s="30"/>
      <c r="H359" s="30"/>
      <c r="I359" s="29"/>
      <c r="J359" s="29"/>
      <c r="K359" s="29"/>
      <c r="L359" s="30"/>
      <c r="M359" s="30"/>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29"/>
      <c r="CC359" s="29"/>
      <c r="CD359" s="29"/>
    </row>
    <row r="360" spans="1:82" ht="15.75" customHeight="1">
      <c r="A360" s="29"/>
      <c r="B360" s="29"/>
      <c r="C360" s="820"/>
      <c r="D360" s="29"/>
      <c r="E360" s="29"/>
      <c r="F360" s="29"/>
      <c r="G360" s="30"/>
      <c r="H360" s="30"/>
      <c r="I360" s="29"/>
      <c r="J360" s="29"/>
      <c r="K360" s="29"/>
      <c r="L360" s="30"/>
      <c r="M360" s="30"/>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29"/>
      <c r="CC360" s="29"/>
      <c r="CD360" s="29"/>
    </row>
    <row r="361" spans="1:82" ht="15.75" customHeight="1">
      <c r="A361" s="29"/>
      <c r="B361" s="29"/>
      <c r="C361" s="820"/>
      <c r="D361" s="29"/>
      <c r="E361" s="29"/>
      <c r="F361" s="29"/>
      <c r="G361" s="30"/>
      <c r="H361" s="30"/>
      <c r="I361" s="29"/>
      <c r="J361" s="29"/>
      <c r="K361" s="29"/>
      <c r="L361" s="30"/>
      <c r="M361" s="30"/>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29"/>
      <c r="CC361" s="29"/>
      <c r="CD361" s="29"/>
    </row>
    <row r="362" spans="1:82" ht="15.75" customHeight="1">
      <c r="A362" s="29"/>
      <c r="B362" s="29"/>
      <c r="C362" s="820"/>
      <c r="D362" s="29"/>
      <c r="E362" s="29"/>
      <c r="F362" s="29"/>
      <c r="G362" s="30"/>
      <c r="H362" s="30"/>
      <c r="I362" s="29"/>
      <c r="J362" s="29"/>
      <c r="K362" s="29"/>
      <c r="L362" s="30"/>
      <c r="M362" s="30"/>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29"/>
      <c r="CC362" s="29"/>
      <c r="CD362" s="29"/>
    </row>
    <row r="363" spans="1:82" ht="15.75" customHeight="1">
      <c r="A363" s="29"/>
      <c r="B363" s="29"/>
      <c r="C363" s="820"/>
      <c r="D363" s="29"/>
      <c r="E363" s="29"/>
      <c r="F363" s="29"/>
      <c r="G363" s="30"/>
      <c r="H363" s="30"/>
      <c r="I363" s="29"/>
      <c r="J363" s="29"/>
      <c r="K363" s="29"/>
      <c r="L363" s="30"/>
      <c r="M363" s="30"/>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29"/>
      <c r="CC363" s="29"/>
      <c r="CD363" s="29"/>
    </row>
    <row r="364" spans="1:82" ht="15.75" customHeight="1">
      <c r="A364" s="29"/>
      <c r="B364" s="29"/>
      <c r="C364" s="820"/>
      <c r="D364" s="29"/>
      <c r="E364" s="29"/>
      <c r="F364" s="29"/>
      <c r="G364" s="30"/>
      <c r="H364" s="30"/>
      <c r="I364" s="29"/>
      <c r="J364" s="29"/>
      <c r="K364" s="29"/>
      <c r="L364" s="30"/>
      <c r="M364" s="30"/>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29"/>
    </row>
    <row r="365" spans="1:82" ht="15.75" customHeight="1">
      <c r="A365" s="29"/>
      <c r="B365" s="29"/>
      <c r="C365" s="820"/>
      <c r="D365" s="29"/>
      <c r="E365" s="29"/>
      <c r="F365" s="29"/>
      <c r="G365" s="30"/>
      <c r="H365" s="30"/>
      <c r="I365" s="29"/>
      <c r="J365" s="29"/>
      <c r="K365" s="29"/>
      <c r="L365" s="30"/>
      <c r="M365" s="30"/>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29"/>
      <c r="CC365" s="29"/>
      <c r="CD365" s="29"/>
    </row>
    <row r="366" spans="1:82" ht="15.75" customHeight="1">
      <c r="A366" s="29"/>
      <c r="B366" s="29"/>
      <c r="C366" s="820"/>
      <c r="D366" s="29"/>
      <c r="E366" s="29"/>
      <c r="F366" s="29"/>
      <c r="G366" s="30"/>
      <c r="H366" s="30"/>
      <c r="I366" s="29"/>
      <c r="J366" s="29"/>
      <c r="K366" s="29"/>
      <c r="L366" s="30"/>
      <c r="M366" s="30"/>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row>
    <row r="367" spans="1:82" ht="15.75" customHeight="1">
      <c r="A367" s="29"/>
      <c r="B367" s="29"/>
      <c r="C367" s="820"/>
      <c r="D367" s="29"/>
      <c r="E367" s="29"/>
      <c r="F367" s="29"/>
      <c r="G367" s="30"/>
      <c r="H367" s="30"/>
      <c r="I367" s="29"/>
      <c r="J367" s="29"/>
      <c r="K367" s="29"/>
      <c r="L367" s="30"/>
      <c r="M367" s="30"/>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29"/>
      <c r="CC367" s="29"/>
      <c r="CD367" s="29"/>
    </row>
    <row r="368" spans="1:82" ht="15.75" customHeight="1">
      <c r="A368" s="29"/>
      <c r="B368" s="29"/>
      <c r="C368" s="820"/>
      <c r="D368" s="29"/>
      <c r="E368" s="29"/>
      <c r="F368" s="29"/>
      <c r="G368" s="30"/>
      <c r="H368" s="30"/>
      <c r="I368" s="29"/>
      <c r="J368" s="29"/>
      <c r="K368" s="29"/>
      <c r="L368" s="30"/>
      <c r="M368" s="30"/>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29"/>
      <c r="CC368" s="29"/>
      <c r="CD368" s="29"/>
    </row>
    <row r="369" spans="1:82" ht="15.75" customHeight="1">
      <c r="A369" s="29"/>
      <c r="B369" s="29"/>
      <c r="C369" s="820"/>
      <c r="D369" s="29"/>
      <c r="E369" s="29"/>
      <c r="F369" s="29"/>
      <c r="G369" s="30"/>
      <c r="H369" s="30"/>
      <c r="I369" s="29"/>
      <c r="J369" s="29"/>
      <c r="K369" s="29"/>
      <c r="L369" s="30"/>
      <c r="M369" s="30"/>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29"/>
      <c r="CC369" s="29"/>
      <c r="CD369" s="29"/>
    </row>
    <row r="370" spans="1:82" ht="15.75" customHeight="1">
      <c r="A370" s="29"/>
      <c r="B370" s="29"/>
      <c r="C370" s="820"/>
      <c r="D370" s="29"/>
      <c r="E370" s="29"/>
      <c r="F370" s="29"/>
      <c r="G370" s="30"/>
      <c r="H370" s="30"/>
      <c r="I370" s="29"/>
      <c r="J370" s="29"/>
      <c r="K370" s="29"/>
      <c r="L370" s="30"/>
      <c r="M370" s="30"/>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29"/>
      <c r="CC370" s="29"/>
      <c r="CD370" s="29"/>
    </row>
    <row r="371" spans="1:82" ht="15.75" customHeight="1">
      <c r="A371" s="29"/>
      <c r="B371" s="29"/>
      <c r="C371" s="820"/>
      <c r="D371" s="29"/>
      <c r="E371" s="29"/>
      <c r="F371" s="29"/>
      <c r="G371" s="30"/>
      <c r="H371" s="30"/>
      <c r="I371" s="29"/>
      <c r="J371" s="29"/>
      <c r="K371" s="29"/>
      <c r="L371" s="30"/>
      <c r="M371" s="30"/>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29"/>
      <c r="CC371" s="29"/>
      <c r="CD371" s="29"/>
    </row>
    <row r="372" spans="1:82" ht="15.75" customHeight="1">
      <c r="A372" s="29"/>
      <c r="B372" s="29"/>
      <c r="C372" s="820"/>
      <c r="D372" s="29"/>
      <c r="E372" s="29"/>
      <c r="F372" s="29"/>
      <c r="G372" s="30"/>
      <c r="H372" s="30"/>
      <c r="I372" s="29"/>
      <c r="J372" s="29"/>
      <c r="K372" s="29"/>
      <c r="L372" s="30"/>
      <c r="M372" s="30"/>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29"/>
      <c r="CC372" s="29"/>
      <c r="CD372" s="29"/>
    </row>
    <row r="373" spans="1:82" ht="15.75" customHeight="1">
      <c r="A373" s="29"/>
      <c r="B373" s="29"/>
      <c r="C373" s="820"/>
      <c r="D373" s="29"/>
      <c r="E373" s="29"/>
      <c r="F373" s="29"/>
      <c r="G373" s="30"/>
      <c r="H373" s="30"/>
      <c r="I373" s="29"/>
      <c r="J373" s="29"/>
      <c r="K373" s="29"/>
      <c r="L373" s="30"/>
      <c r="M373" s="30"/>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29"/>
      <c r="CC373" s="29"/>
      <c r="CD373" s="29"/>
    </row>
    <row r="374" spans="1:82" ht="15.75" customHeight="1">
      <c r="A374" s="29"/>
      <c r="B374" s="29"/>
      <c r="C374" s="820"/>
      <c r="D374" s="29"/>
      <c r="E374" s="29"/>
      <c r="F374" s="29"/>
      <c r="G374" s="30"/>
      <c r="H374" s="30"/>
      <c r="I374" s="29"/>
      <c r="J374" s="29"/>
      <c r="K374" s="29"/>
      <c r="L374" s="30"/>
      <c r="M374" s="30"/>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29"/>
      <c r="CC374" s="29"/>
      <c r="CD374" s="29"/>
    </row>
    <row r="375" spans="1:82" ht="15.75" customHeight="1">
      <c r="A375" s="29"/>
      <c r="B375" s="29"/>
      <c r="C375" s="820"/>
      <c r="D375" s="29"/>
      <c r="E375" s="29"/>
      <c r="F375" s="29"/>
      <c r="G375" s="30"/>
      <c r="H375" s="30"/>
      <c r="I375" s="29"/>
      <c r="J375" s="29"/>
      <c r="K375" s="29"/>
      <c r="L375" s="30"/>
      <c r="M375" s="30"/>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29"/>
      <c r="CC375" s="29"/>
      <c r="CD375" s="29"/>
    </row>
    <row r="376" spans="1:82" ht="15.75" customHeight="1">
      <c r="A376" s="29"/>
      <c r="B376" s="29"/>
      <c r="C376" s="820"/>
      <c r="D376" s="29"/>
      <c r="E376" s="29"/>
      <c r="F376" s="29"/>
      <c r="G376" s="30"/>
      <c r="H376" s="30"/>
      <c r="I376" s="29"/>
      <c r="J376" s="29"/>
      <c r="K376" s="29"/>
      <c r="L376" s="30"/>
      <c r="M376" s="30"/>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row>
    <row r="377" spans="1:82" ht="15.75" customHeight="1">
      <c r="A377" s="29"/>
      <c r="B377" s="29"/>
      <c r="C377" s="820"/>
      <c r="D377" s="29"/>
      <c r="E377" s="29"/>
      <c r="F377" s="29"/>
      <c r="G377" s="30"/>
      <c r="H377" s="30"/>
      <c r="I377" s="29"/>
      <c r="J377" s="29"/>
      <c r="K377" s="29"/>
      <c r="L377" s="30"/>
      <c r="M377" s="30"/>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29"/>
      <c r="CC377" s="29"/>
      <c r="CD377" s="29"/>
    </row>
    <row r="378" spans="1:82" ht="15.75" customHeight="1">
      <c r="A378" s="29"/>
      <c r="B378" s="29"/>
      <c r="C378" s="820"/>
      <c r="D378" s="29"/>
      <c r="E378" s="29"/>
      <c r="F378" s="29"/>
      <c r="G378" s="30"/>
      <c r="H378" s="30"/>
      <c r="I378" s="29"/>
      <c r="J378" s="29"/>
      <c r="K378" s="29"/>
      <c r="L378" s="30"/>
      <c r="M378" s="30"/>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29"/>
      <c r="CC378" s="29"/>
      <c r="CD378" s="29"/>
    </row>
    <row r="379" spans="1:82" ht="15.75" customHeight="1">
      <c r="A379" s="29"/>
      <c r="B379" s="29"/>
      <c r="C379" s="820"/>
      <c r="D379" s="29"/>
      <c r="E379" s="29"/>
      <c r="F379" s="29"/>
      <c r="G379" s="30"/>
      <c r="H379" s="30"/>
      <c r="I379" s="29"/>
      <c r="J379" s="29"/>
      <c r="K379" s="29"/>
      <c r="L379" s="30"/>
      <c r="M379" s="30"/>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29"/>
      <c r="CC379" s="29"/>
      <c r="CD379" s="29"/>
    </row>
    <row r="380" spans="1:82" ht="15.75" customHeight="1">
      <c r="A380" s="29"/>
      <c r="B380" s="29"/>
      <c r="C380" s="820"/>
      <c r="D380" s="29"/>
      <c r="E380" s="29"/>
      <c r="F380" s="29"/>
      <c r="G380" s="30"/>
      <c r="H380" s="30"/>
      <c r="I380" s="29"/>
      <c r="J380" s="29"/>
      <c r="K380" s="29"/>
      <c r="L380" s="30"/>
      <c r="M380" s="30"/>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29"/>
      <c r="CC380" s="29"/>
      <c r="CD380" s="29"/>
    </row>
    <row r="381" spans="1:82" ht="15.75" customHeight="1">
      <c r="A381" s="29"/>
      <c r="B381" s="29"/>
      <c r="C381" s="820"/>
      <c r="D381" s="29"/>
      <c r="E381" s="29"/>
      <c r="F381" s="29"/>
      <c r="G381" s="30"/>
      <c r="H381" s="30"/>
      <c r="I381" s="29"/>
      <c r="J381" s="29"/>
      <c r="K381" s="29"/>
      <c r="L381" s="30"/>
      <c r="M381" s="30"/>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29"/>
      <c r="CC381" s="29"/>
      <c r="CD381" s="29"/>
    </row>
    <row r="382" spans="1:82" ht="15.75" customHeight="1">
      <c r="A382" s="29"/>
      <c r="B382" s="29"/>
      <c r="C382" s="820"/>
      <c r="D382" s="29"/>
      <c r="E382" s="29"/>
      <c r="F382" s="29"/>
      <c r="G382" s="30"/>
      <c r="H382" s="30"/>
      <c r="I382" s="29"/>
      <c r="J382" s="29"/>
      <c r="K382" s="29"/>
      <c r="L382" s="30"/>
      <c r="M382" s="30"/>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29"/>
      <c r="CC382" s="29"/>
      <c r="CD382" s="29"/>
    </row>
    <row r="383" spans="1:82" ht="15.75" customHeight="1">
      <c r="A383" s="29"/>
      <c r="B383" s="29"/>
      <c r="C383" s="820"/>
      <c r="D383" s="29"/>
      <c r="E383" s="29"/>
      <c r="F383" s="29"/>
      <c r="G383" s="30"/>
      <c r="H383" s="30"/>
      <c r="I383" s="29"/>
      <c r="J383" s="29"/>
      <c r="K383" s="29"/>
      <c r="L383" s="30"/>
      <c r="M383" s="30"/>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29"/>
      <c r="CC383" s="29"/>
      <c r="CD383" s="29"/>
    </row>
    <row r="384" spans="1:82" ht="15.75" customHeight="1">
      <c r="A384" s="29"/>
      <c r="B384" s="29"/>
      <c r="C384" s="820"/>
      <c r="D384" s="29"/>
      <c r="E384" s="29"/>
      <c r="F384" s="29"/>
      <c r="G384" s="30"/>
      <c r="H384" s="30"/>
      <c r="I384" s="29"/>
      <c r="J384" s="29"/>
      <c r="K384" s="29"/>
      <c r="L384" s="30"/>
      <c r="M384" s="30"/>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29"/>
      <c r="CC384" s="29"/>
      <c r="CD384" s="29"/>
    </row>
    <row r="385" spans="1:82" ht="15.75" customHeight="1">
      <c r="A385" s="29"/>
      <c r="B385" s="29"/>
      <c r="C385" s="820"/>
      <c r="D385" s="29"/>
      <c r="E385" s="29"/>
      <c r="F385" s="29"/>
      <c r="G385" s="30"/>
      <c r="H385" s="30"/>
      <c r="I385" s="29"/>
      <c r="J385" s="29"/>
      <c r="K385" s="29"/>
      <c r="L385" s="30"/>
      <c r="M385" s="30"/>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29"/>
      <c r="CC385" s="29"/>
      <c r="CD385" s="29"/>
    </row>
    <row r="386" spans="1:82" ht="15.75" customHeight="1">
      <c r="A386" s="29"/>
      <c r="B386" s="29"/>
      <c r="C386" s="820"/>
      <c r="D386" s="29"/>
      <c r="E386" s="29"/>
      <c r="F386" s="29"/>
      <c r="G386" s="30"/>
      <c r="H386" s="30"/>
      <c r="I386" s="29"/>
      <c r="J386" s="29"/>
      <c r="K386" s="29"/>
      <c r="L386" s="30"/>
      <c r="M386" s="30"/>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row>
    <row r="387" spans="1:82" ht="15.75" customHeight="1">
      <c r="A387" s="29"/>
      <c r="B387" s="29"/>
      <c r="C387" s="820"/>
      <c r="D387" s="29"/>
      <c r="E387" s="29"/>
      <c r="F387" s="29"/>
      <c r="G387" s="30"/>
      <c r="H387" s="30"/>
      <c r="I387" s="29"/>
      <c r="J387" s="29"/>
      <c r="K387" s="29"/>
      <c r="L387" s="30"/>
      <c r="M387" s="30"/>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29"/>
      <c r="CC387" s="29"/>
      <c r="CD387" s="29"/>
    </row>
    <row r="388" spans="1:82" ht="15.75" customHeight="1">
      <c r="A388" s="29"/>
      <c r="B388" s="29"/>
      <c r="C388" s="820"/>
      <c r="D388" s="29"/>
      <c r="E388" s="29"/>
      <c r="F388" s="29"/>
      <c r="G388" s="30"/>
      <c r="H388" s="30"/>
      <c r="I388" s="29"/>
      <c r="J388" s="29"/>
      <c r="K388" s="29"/>
      <c r="L388" s="30"/>
      <c r="M388" s="30"/>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29"/>
      <c r="CC388" s="29"/>
      <c r="CD388" s="29"/>
    </row>
    <row r="389" spans="1:82" ht="15.75" customHeight="1">
      <c r="A389" s="29"/>
      <c r="B389" s="29"/>
      <c r="C389" s="820"/>
      <c r="D389" s="29"/>
      <c r="E389" s="29"/>
      <c r="F389" s="29"/>
      <c r="G389" s="30"/>
      <c r="H389" s="30"/>
      <c r="I389" s="29"/>
      <c r="J389" s="29"/>
      <c r="K389" s="29"/>
      <c r="L389" s="30"/>
      <c r="M389" s="30"/>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29"/>
      <c r="CC389" s="29"/>
      <c r="CD389" s="29"/>
    </row>
    <row r="390" spans="1:82" ht="15.75" customHeight="1">
      <c r="A390" s="29"/>
      <c r="B390" s="29"/>
      <c r="C390" s="820"/>
      <c r="D390" s="29"/>
      <c r="E390" s="29"/>
      <c r="F390" s="29"/>
      <c r="G390" s="30"/>
      <c r="H390" s="30"/>
      <c r="I390" s="29"/>
      <c r="J390" s="29"/>
      <c r="K390" s="29"/>
      <c r="L390" s="30"/>
      <c r="M390" s="30"/>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29"/>
      <c r="CC390" s="29"/>
      <c r="CD390" s="29"/>
    </row>
    <row r="391" spans="1:82" ht="15.75" customHeight="1">
      <c r="A391" s="29"/>
      <c r="B391" s="29"/>
      <c r="C391" s="820"/>
      <c r="D391" s="29"/>
      <c r="E391" s="29"/>
      <c r="F391" s="29"/>
      <c r="G391" s="30"/>
      <c r="H391" s="30"/>
      <c r="I391" s="29"/>
      <c r="J391" s="29"/>
      <c r="K391" s="29"/>
      <c r="L391" s="30"/>
      <c r="M391" s="30"/>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29"/>
      <c r="CC391" s="29"/>
      <c r="CD391" s="29"/>
    </row>
    <row r="392" spans="1:82" ht="15.75" customHeight="1">
      <c r="A392" s="29"/>
      <c r="B392" s="29"/>
      <c r="C392" s="820"/>
      <c r="D392" s="29"/>
      <c r="E392" s="29"/>
      <c r="F392" s="29"/>
      <c r="G392" s="30"/>
      <c r="H392" s="30"/>
      <c r="I392" s="29"/>
      <c r="J392" s="29"/>
      <c r="K392" s="29"/>
      <c r="L392" s="30"/>
      <c r="M392" s="30"/>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29"/>
      <c r="CC392" s="29"/>
      <c r="CD392" s="29"/>
    </row>
    <row r="393" spans="1:82" ht="15.75" customHeight="1">
      <c r="A393" s="29"/>
      <c r="B393" s="29"/>
      <c r="C393" s="820"/>
      <c r="D393" s="29"/>
      <c r="E393" s="29"/>
      <c r="F393" s="29"/>
      <c r="G393" s="30"/>
      <c r="H393" s="30"/>
      <c r="I393" s="29"/>
      <c r="J393" s="29"/>
      <c r="K393" s="29"/>
      <c r="L393" s="30"/>
      <c r="M393" s="30"/>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29"/>
      <c r="CC393" s="29"/>
      <c r="CD393" s="29"/>
    </row>
    <row r="394" spans="1:82" ht="15.75" customHeight="1">
      <c r="A394" s="29"/>
      <c r="B394" s="29"/>
      <c r="C394" s="820"/>
      <c r="D394" s="29"/>
      <c r="E394" s="29"/>
      <c r="F394" s="29"/>
      <c r="G394" s="30"/>
      <c r="H394" s="30"/>
      <c r="I394" s="29"/>
      <c r="J394" s="29"/>
      <c r="K394" s="29"/>
      <c r="L394" s="30"/>
      <c r="M394" s="30"/>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29"/>
      <c r="CC394" s="29"/>
      <c r="CD394" s="29"/>
    </row>
    <row r="395" spans="1:82" ht="15.75" customHeight="1">
      <c r="A395" s="29"/>
      <c r="B395" s="29"/>
      <c r="C395" s="820"/>
      <c r="D395" s="29"/>
      <c r="E395" s="29"/>
      <c r="F395" s="29"/>
      <c r="G395" s="30"/>
      <c r="H395" s="30"/>
      <c r="I395" s="29"/>
      <c r="J395" s="29"/>
      <c r="K395" s="29"/>
      <c r="L395" s="30"/>
      <c r="M395" s="30"/>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29"/>
      <c r="CC395" s="29"/>
      <c r="CD395" s="29"/>
    </row>
    <row r="396" spans="1:82" ht="15.75" customHeight="1">
      <c r="A396" s="29"/>
      <c r="B396" s="29"/>
      <c r="C396" s="820"/>
      <c r="D396" s="29"/>
      <c r="E396" s="29"/>
      <c r="F396" s="29"/>
      <c r="G396" s="30"/>
      <c r="H396" s="30"/>
      <c r="I396" s="29"/>
      <c r="J396" s="29"/>
      <c r="K396" s="29"/>
      <c r="L396" s="30"/>
      <c r="M396" s="30"/>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row>
    <row r="397" spans="1:82" ht="15.75" customHeight="1">
      <c r="A397" s="29"/>
      <c r="B397" s="29"/>
      <c r="C397" s="820"/>
      <c r="D397" s="29"/>
      <c r="E397" s="29"/>
      <c r="F397" s="29"/>
      <c r="G397" s="30"/>
      <c r="H397" s="30"/>
      <c r="I397" s="29"/>
      <c r="J397" s="29"/>
      <c r="K397" s="29"/>
      <c r="L397" s="30"/>
      <c r="M397" s="30"/>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29"/>
      <c r="CC397" s="29"/>
      <c r="CD397" s="29"/>
    </row>
    <row r="398" spans="1:82" ht="15.75" customHeight="1">
      <c r="A398" s="29"/>
      <c r="B398" s="29"/>
      <c r="C398" s="820"/>
      <c r="D398" s="29"/>
      <c r="E398" s="29"/>
      <c r="F398" s="29"/>
      <c r="G398" s="30"/>
      <c r="H398" s="30"/>
      <c r="I398" s="29"/>
      <c r="J398" s="29"/>
      <c r="K398" s="29"/>
      <c r="L398" s="30"/>
      <c r="M398" s="30"/>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29"/>
      <c r="CC398" s="29"/>
      <c r="CD398" s="29"/>
    </row>
    <row r="399" spans="1:82" ht="15.75" customHeight="1">
      <c r="A399" s="29"/>
      <c r="B399" s="29"/>
      <c r="C399" s="820"/>
      <c r="D399" s="29"/>
      <c r="E399" s="29"/>
      <c r="F399" s="29"/>
      <c r="G399" s="30"/>
      <c r="H399" s="30"/>
      <c r="I399" s="29"/>
      <c r="J399" s="29"/>
      <c r="K399" s="29"/>
      <c r="L399" s="30"/>
      <c r="M399" s="30"/>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29"/>
      <c r="CC399" s="29"/>
      <c r="CD399" s="29"/>
    </row>
    <row r="400" spans="1:82" ht="15.75" customHeight="1">
      <c r="A400" s="29"/>
      <c r="B400" s="29"/>
      <c r="C400" s="820"/>
      <c r="D400" s="29"/>
      <c r="E400" s="29"/>
      <c r="F400" s="29"/>
      <c r="G400" s="30"/>
      <c r="H400" s="30"/>
      <c r="I400" s="29"/>
      <c r="J400" s="29"/>
      <c r="K400" s="29"/>
      <c r="L400" s="30"/>
      <c r="M400" s="30"/>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29"/>
      <c r="CC400" s="29"/>
      <c r="CD400" s="29"/>
    </row>
    <row r="401" spans="1:82" ht="15.75" customHeight="1">
      <c r="A401" s="29"/>
      <c r="B401" s="29"/>
      <c r="C401" s="820"/>
      <c r="D401" s="29"/>
      <c r="E401" s="29"/>
      <c r="F401" s="29"/>
      <c r="G401" s="30"/>
      <c r="H401" s="30"/>
      <c r="I401" s="29"/>
      <c r="J401" s="29"/>
      <c r="K401" s="29"/>
      <c r="L401" s="30"/>
      <c r="M401" s="30"/>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29"/>
      <c r="CC401" s="29"/>
      <c r="CD401" s="29"/>
    </row>
    <row r="402" spans="1:82" ht="15.75" customHeight="1">
      <c r="A402" s="29"/>
      <c r="B402" s="29"/>
      <c r="C402" s="820"/>
      <c r="D402" s="29"/>
      <c r="E402" s="29"/>
      <c r="F402" s="29"/>
      <c r="G402" s="30"/>
      <c r="H402" s="30"/>
      <c r="I402" s="29"/>
      <c r="J402" s="29"/>
      <c r="K402" s="29"/>
      <c r="L402" s="30"/>
      <c r="M402" s="30"/>
      <c r="N402" s="29"/>
      <c r="O402" s="29"/>
      <c r="P402" s="29"/>
      <c r="Q402" s="29"/>
      <c r="R402" s="29"/>
      <c r="S402" s="29"/>
      <c r="T402" s="29"/>
      <c r="U402" s="29"/>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29"/>
      <c r="CC402" s="29"/>
      <c r="CD402" s="29"/>
    </row>
    <row r="403" spans="1:82" ht="15.75" customHeight="1">
      <c r="A403" s="29"/>
      <c r="B403" s="29"/>
      <c r="C403" s="820"/>
      <c r="D403" s="29"/>
      <c r="E403" s="29"/>
      <c r="F403" s="29"/>
      <c r="G403" s="30"/>
      <c r="H403" s="30"/>
      <c r="I403" s="29"/>
      <c r="J403" s="29"/>
      <c r="K403" s="29"/>
      <c r="L403" s="30"/>
      <c r="M403" s="30"/>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29"/>
      <c r="CC403" s="29"/>
      <c r="CD403" s="29"/>
    </row>
    <row r="404" spans="1:82" ht="15.75" customHeight="1">
      <c r="A404" s="29"/>
      <c r="B404" s="29"/>
      <c r="C404" s="820"/>
      <c r="D404" s="29"/>
      <c r="E404" s="29"/>
      <c r="F404" s="29"/>
      <c r="G404" s="30"/>
      <c r="H404" s="30"/>
      <c r="I404" s="29"/>
      <c r="J404" s="29"/>
      <c r="K404" s="29"/>
      <c r="L404" s="30"/>
      <c r="M404" s="30"/>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29"/>
      <c r="CC404" s="29"/>
      <c r="CD404" s="29"/>
    </row>
    <row r="405" spans="1:82" ht="15.75" customHeight="1">
      <c r="A405" s="29"/>
      <c r="B405" s="29"/>
      <c r="C405" s="820"/>
      <c r="D405" s="29"/>
      <c r="E405" s="29"/>
      <c r="F405" s="29"/>
      <c r="G405" s="30"/>
      <c r="H405" s="30"/>
      <c r="I405" s="29"/>
      <c r="J405" s="29"/>
      <c r="K405" s="29"/>
      <c r="L405" s="30"/>
      <c r="M405" s="30"/>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29"/>
      <c r="CC405" s="29"/>
      <c r="CD405" s="29"/>
    </row>
    <row r="406" spans="1:82" ht="15.75" customHeight="1">
      <c r="A406" s="29"/>
      <c r="B406" s="29"/>
      <c r="C406" s="820"/>
      <c r="D406" s="29"/>
      <c r="E406" s="29"/>
      <c r="F406" s="29"/>
      <c r="G406" s="30"/>
      <c r="H406" s="30"/>
      <c r="I406" s="29"/>
      <c r="J406" s="29"/>
      <c r="K406" s="29"/>
      <c r="L406" s="30"/>
      <c r="M406" s="30"/>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row>
    <row r="407" spans="1:82" ht="15.75" customHeight="1">
      <c r="A407" s="29"/>
      <c r="B407" s="29"/>
      <c r="C407" s="820"/>
      <c r="D407" s="29"/>
      <c r="E407" s="29"/>
      <c r="F407" s="29"/>
      <c r="G407" s="30"/>
      <c r="H407" s="30"/>
      <c r="I407" s="29"/>
      <c r="J407" s="29"/>
      <c r="K407" s="29"/>
      <c r="L407" s="30"/>
      <c r="M407" s="30"/>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29"/>
      <c r="CC407" s="29"/>
      <c r="CD407" s="29"/>
    </row>
    <row r="408" spans="1:82" ht="15.75" customHeight="1">
      <c r="A408" s="29"/>
      <c r="B408" s="29"/>
      <c r="C408" s="820"/>
      <c r="D408" s="29"/>
      <c r="E408" s="29"/>
      <c r="F408" s="29"/>
      <c r="G408" s="30"/>
      <c r="H408" s="30"/>
      <c r="I408" s="29"/>
      <c r="J408" s="29"/>
      <c r="K408" s="29"/>
      <c r="L408" s="30"/>
      <c r="M408" s="30"/>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29"/>
      <c r="CC408" s="29"/>
      <c r="CD408" s="29"/>
    </row>
    <row r="409" spans="1:82" ht="15.75" customHeight="1">
      <c r="A409" s="29"/>
      <c r="B409" s="29"/>
      <c r="C409" s="820"/>
      <c r="D409" s="29"/>
      <c r="E409" s="29"/>
      <c r="F409" s="29"/>
      <c r="G409" s="30"/>
      <c r="H409" s="30"/>
      <c r="I409" s="29"/>
      <c r="J409" s="29"/>
      <c r="K409" s="29"/>
      <c r="L409" s="30"/>
      <c r="M409" s="30"/>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29"/>
      <c r="CC409" s="29"/>
      <c r="CD409" s="29"/>
    </row>
    <row r="410" spans="1:82" ht="15.75" customHeight="1">
      <c r="A410" s="29"/>
      <c r="B410" s="29"/>
      <c r="C410" s="820"/>
      <c r="D410" s="29"/>
      <c r="E410" s="29"/>
      <c r="F410" s="29"/>
      <c r="G410" s="30"/>
      <c r="H410" s="30"/>
      <c r="I410" s="29"/>
      <c r="J410" s="29"/>
      <c r="K410" s="29"/>
      <c r="L410" s="30"/>
      <c r="M410" s="30"/>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29"/>
      <c r="CC410" s="29"/>
      <c r="CD410" s="29"/>
    </row>
    <row r="411" spans="1:82" ht="15.75" customHeight="1">
      <c r="A411" s="29"/>
      <c r="B411" s="29"/>
      <c r="C411" s="820"/>
      <c r="D411" s="29"/>
      <c r="E411" s="29"/>
      <c r="F411" s="29"/>
      <c r="G411" s="30"/>
      <c r="H411" s="30"/>
      <c r="I411" s="29"/>
      <c r="J411" s="29"/>
      <c r="K411" s="29"/>
      <c r="L411" s="30"/>
      <c r="M411" s="30"/>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29"/>
      <c r="CC411" s="29"/>
      <c r="CD411" s="29"/>
    </row>
    <row r="412" spans="1:82" ht="15.75" customHeight="1">
      <c r="A412" s="29"/>
      <c r="B412" s="29"/>
      <c r="C412" s="820"/>
      <c r="D412" s="29"/>
      <c r="E412" s="29"/>
      <c r="F412" s="29"/>
      <c r="G412" s="30"/>
      <c r="H412" s="30"/>
      <c r="I412" s="29"/>
      <c r="J412" s="29"/>
      <c r="K412" s="29"/>
      <c r="L412" s="30"/>
      <c r="M412" s="30"/>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29"/>
      <c r="CC412" s="29"/>
      <c r="CD412" s="29"/>
    </row>
    <row r="413" spans="1:82" ht="15.75" customHeight="1">
      <c r="A413" s="29"/>
      <c r="B413" s="29"/>
      <c r="C413" s="820"/>
      <c r="D413" s="29"/>
      <c r="E413" s="29"/>
      <c r="F413" s="29"/>
      <c r="G413" s="30"/>
      <c r="H413" s="30"/>
      <c r="I413" s="29"/>
      <c r="J413" s="29"/>
      <c r="K413" s="29"/>
      <c r="L413" s="30"/>
      <c r="M413" s="30"/>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29"/>
      <c r="CC413" s="29"/>
      <c r="CD413" s="29"/>
    </row>
    <row r="414" spans="1:82" ht="15.75" customHeight="1">
      <c r="A414" s="29"/>
      <c r="B414" s="29"/>
      <c r="C414" s="820"/>
      <c r="D414" s="29"/>
      <c r="E414" s="29"/>
      <c r="F414" s="29"/>
      <c r="G414" s="30"/>
      <c r="H414" s="30"/>
      <c r="I414" s="29"/>
      <c r="J414" s="29"/>
      <c r="K414" s="29"/>
      <c r="L414" s="30"/>
      <c r="M414" s="30"/>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29"/>
      <c r="CC414" s="29"/>
      <c r="CD414" s="29"/>
    </row>
    <row r="415" spans="1:82" ht="15.75" customHeight="1">
      <c r="A415" s="29"/>
      <c r="B415" s="29"/>
      <c r="C415" s="820"/>
      <c r="D415" s="29"/>
      <c r="E415" s="29"/>
      <c r="F415" s="29"/>
      <c r="G415" s="30"/>
      <c r="H415" s="30"/>
      <c r="I415" s="29"/>
      <c r="J415" s="29"/>
      <c r="K415" s="29"/>
      <c r="L415" s="30"/>
      <c r="M415" s="30"/>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29"/>
      <c r="CC415" s="29"/>
      <c r="CD415" s="29"/>
    </row>
    <row r="416" spans="1:82" ht="15.75" customHeight="1">
      <c r="A416" s="29"/>
      <c r="B416" s="29"/>
      <c r="C416" s="820"/>
      <c r="D416" s="29"/>
      <c r="E416" s="29"/>
      <c r="F416" s="29"/>
      <c r="G416" s="30"/>
      <c r="H416" s="30"/>
      <c r="I416" s="29"/>
      <c r="J416" s="29"/>
      <c r="K416" s="29"/>
      <c r="L416" s="30"/>
      <c r="M416" s="30"/>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row>
    <row r="417" spans="1:82" ht="15.75" customHeight="1">
      <c r="A417" s="29"/>
      <c r="B417" s="29"/>
      <c r="C417" s="820"/>
      <c r="D417" s="29"/>
      <c r="E417" s="29"/>
      <c r="F417" s="29"/>
      <c r="G417" s="30"/>
      <c r="H417" s="30"/>
      <c r="I417" s="29"/>
      <c r="J417" s="29"/>
      <c r="K417" s="29"/>
      <c r="L417" s="30"/>
      <c r="M417" s="30"/>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29"/>
      <c r="CC417" s="29"/>
      <c r="CD417" s="29"/>
    </row>
    <row r="418" spans="1:82" ht="15.75" customHeight="1">
      <c r="A418" s="29"/>
      <c r="B418" s="29"/>
      <c r="C418" s="820"/>
      <c r="D418" s="29"/>
      <c r="E418" s="29"/>
      <c r="F418" s="29"/>
      <c r="G418" s="30"/>
      <c r="H418" s="30"/>
      <c r="I418" s="29"/>
      <c r="J418" s="29"/>
      <c r="K418" s="29"/>
      <c r="L418" s="30"/>
      <c r="M418" s="30"/>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29"/>
      <c r="CC418" s="29"/>
      <c r="CD418" s="29"/>
    </row>
    <row r="419" spans="1:82" ht="15.75" customHeight="1">
      <c r="A419" s="29"/>
      <c r="B419" s="29"/>
      <c r="C419" s="820"/>
      <c r="D419" s="29"/>
      <c r="E419" s="29"/>
      <c r="F419" s="29"/>
      <c r="G419" s="30"/>
      <c r="H419" s="30"/>
      <c r="I419" s="29"/>
      <c r="J419" s="29"/>
      <c r="K419" s="29"/>
      <c r="L419" s="30"/>
      <c r="M419" s="30"/>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29"/>
      <c r="CC419" s="29"/>
      <c r="CD419" s="29"/>
    </row>
    <row r="420" spans="1:82" ht="15.75" customHeight="1">
      <c r="A420" s="29"/>
      <c r="B420" s="29"/>
      <c r="C420" s="820"/>
      <c r="D420" s="29"/>
      <c r="E420" s="29"/>
      <c r="F420" s="29"/>
      <c r="G420" s="30"/>
      <c r="H420" s="30"/>
      <c r="I420" s="29"/>
      <c r="J420" s="29"/>
      <c r="K420" s="29"/>
      <c r="L420" s="30"/>
      <c r="M420" s="30"/>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29"/>
      <c r="CC420" s="29"/>
      <c r="CD420" s="29"/>
    </row>
    <row r="421" spans="1:82" ht="15.75" customHeight="1">
      <c r="A421" s="29"/>
      <c r="B421" s="29"/>
      <c r="C421" s="820"/>
      <c r="D421" s="29"/>
      <c r="E421" s="29"/>
      <c r="F421" s="29"/>
      <c r="G421" s="30"/>
      <c r="H421" s="30"/>
      <c r="I421" s="29"/>
      <c r="J421" s="29"/>
      <c r="K421" s="29"/>
      <c r="L421" s="30"/>
      <c r="M421" s="30"/>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29"/>
      <c r="CC421" s="29"/>
      <c r="CD421" s="29"/>
    </row>
    <row r="422" spans="1:82" ht="15.75" customHeight="1">
      <c r="A422" s="29"/>
      <c r="B422" s="29"/>
      <c r="C422" s="820"/>
      <c r="D422" s="29"/>
      <c r="E422" s="29"/>
      <c r="F422" s="29"/>
      <c r="G422" s="30"/>
      <c r="H422" s="30"/>
      <c r="I422" s="29"/>
      <c r="J422" s="29"/>
      <c r="K422" s="29"/>
      <c r="L422" s="30"/>
      <c r="M422" s="30"/>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29"/>
      <c r="CC422" s="29"/>
      <c r="CD422" s="29"/>
    </row>
    <row r="423" spans="1:82" ht="15.75" customHeight="1">
      <c r="A423" s="29"/>
      <c r="B423" s="29"/>
      <c r="C423" s="820"/>
      <c r="D423" s="29"/>
      <c r="E423" s="29"/>
      <c r="F423" s="29"/>
      <c r="G423" s="30"/>
      <c r="H423" s="30"/>
      <c r="I423" s="29"/>
      <c r="J423" s="29"/>
      <c r="K423" s="29"/>
      <c r="L423" s="30"/>
      <c r="M423" s="30"/>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29"/>
      <c r="CC423" s="29"/>
      <c r="CD423" s="29"/>
    </row>
    <row r="424" spans="1:82" ht="15.75" customHeight="1">
      <c r="A424" s="29"/>
      <c r="B424" s="29"/>
      <c r="C424" s="820"/>
      <c r="D424" s="29"/>
      <c r="E424" s="29"/>
      <c r="F424" s="29"/>
      <c r="G424" s="30"/>
      <c r="H424" s="30"/>
      <c r="I424" s="29"/>
      <c r="J424" s="29"/>
      <c r="K424" s="29"/>
      <c r="L424" s="30"/>
      <c r="M424" s="30"/>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29"/>
      <c r="CC424" s="29"/>
      <c r="CD424" s="29"/>
    </row>
    <row r="425" spans="1:82" ht="15.75" customHeight="1">
      <c r="A425" s="29"/>
      <c r="B425" s="29"/>
      <c r="C425" s="820"/>
      <c r="D425" s="29"/>
      <c r="E425" s="29"/>
      <c r="F425" s="29"/>
      <c r="G425" s="30"/>
      <c r="H425" s="30"/>
      <c r="I425" s="29"/>
      <c r="J425" s="29"/>
      <c r="K425" s="29"/>
      <c r="L425" s="30"/>
      <c r="M425" s="30"/>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29"/>
      <c r="CC425" s="29"/>
      <c r="CD425" s="29"/>
    </row>
    <row r="426" spans="1:82" ht="15.75" customHeight="1">
      <c r="A426" s="29"/>
      <c r="B426" s="29"/>
      <c r="C426" s="820"/>
      <c r="D426" s="29"/>
      <c r="E426" s="29"/>
      <c r="F426" s="29"/>
      <c r="G426" s="30"/>
      <c r="H426" s="30"/>
      <c r="I426" s="29"/>
      <c r="J426" s="29"/>
      <c r="K426" s="29"/>
      <c r="L426" s="30"/>
      <c r="M426" s="30"/>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row>
    <row r="427" spans="1:82" ht="15.75" customHeight="1">
      <c r="A427" s="29"/>
      <c r="B427" s="29"/>
      <c r="C427" s="820"/>
      <c r="D427" s="29"/>
      <c r="E427" s="29"/>
      <c r="F427" s="29"/>
      <c r="G427" s="30"/>
      <c r="H427" s="30"/>
      <c r="I427" s="29"/>
      <c r="J427" s="29"/>
      <c r="K427" s="29"/>
      <c r="L427" s="30"/>
      <c r="M427" s="30"/>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29"/>
      <c r="CC427" s="29"/>
      <c r="CD427" s="29"/>
    </row>
    <row r="428" spans="1:82" ht="15.75" customHeight="1">
      <c r="A428" s="29"/>
      <c r="B428" s="29"/>
      <c r="C428" s="820"/>
      <c r="D428" s="29"/>
      <c r="E428" s="29"/>
      <c r="F428" s="29"/>
      <c r="G428" s="30"/>
      <c r="H428" s="30"/>
      <c r="I428" s="29"/>
      <c r="J428" s="29"/>
      <c r="K428" s="29"/>
      <c r="L428" s="30"/>
      <c r="M428" s="30"/>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29"/>
      <c r="CC428" s="29"/>
      <c r="CD428" s="29"/>
    </row>
    <row r="429" spans="1:82" ht="15.75" customHeight="1">
      <c r="A429" s="29"/>
      <c r="B429" s="29"/>
      <c r="C429" s="820"/>
      <c r="D429" s="29"/>
      <c r="E429" s="29"/>
      <c r="F429" s="29"/>
      <c r="G429" s="30"/>
      <c r="H429" s="30"/>
      <c r="I429" s="29"/>
      <c r="J429" s="29"/>
      <c r="K429" s="29"/>
      <c r="L429" s="30"/>
      <c r="M429" s="30"/>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29"/>
      <c r="CC429" s="29"/>
      <c r="CD429" s="29"/>
    </row>
    <row r="430" spans="1:82" ht="15.75" customHeight="1">
      <c r="A430" s="29"/>
      <c r="B430" s="29"/>
      <c r="C430" s="820"/>
      <c r="D430" s="29"/>
      <c r="E430" s="29"/>
      <c r="F430" s="29"/>
      <c r="G430" s="30"/>
      <c r="H430" s="30"/>
      <c r="I430" s="29"/>
      <c r="J430" s="29"/>
      <c r="K430" s="29"/>
      <c r="L430" s="30"/>
      <c r="M430" s="30"/>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29"/>
      <c r="CC430" s="29"/>
      <c r="CD430" s="29"/>
    </row>
    <row r="431" spans="1:82" ht="15.75" customHeight="1">
      <c r="A431" s="29"/>
      <c r="B431" s="29"/>
      <c r="C431" s="820"/>
      <c r="D431" s="29"/>
      <c r="E431" s="29"/>
      <c r="F431" s="29"/>
      <c r="G431" s="30"/>
      <c r="H431" s="30"/>
      <c r="I431" s="29"/>
      <c r="J431" s="29"/>
      <c r="K431" s="29"/>
      <c r="L431" s="30"/>
      <c r="M431" s="30"/>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29"/>
      <c r="CC431" s="29"/>
      <c r="CD431" s="29"/>
    </row>
    <row r="432" spans="1:82" ht="15.75" customHeight="1">
      <c r="A432" s="29"/>
      <c r="B432" s="29"/>
      <c r="C432" s="820"/>
      <c r="D432" s="29"/>
      <c r="E432" s="29"/>
      <c r="F432" s="29"/>
      <c r="G432" s="30"/>
      <c r="H432" s="30"/>
      <c r="I432" s="29"/>
      <c r="J432" s="29"/>
      <c r="K432" s="29"/>
      <c r="L432" s="30"/>
      <c r="M432" s="30"/>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29"/>
      <c r="CC432" s="29"/>
      <c r="CD432" s="29"/>
    </row>
    <row r="433" spans="1:82" ht="15.75" customHeight="1">
      <c r="A433" s="29"/>
      <c r="B433" s="29"/>
      <c r="C433" s="820"/>
      <c r="D433" s="29"/>
      <c r="E433" s="29"/>
      <c r="F433" s="29"/>
      <c r="G433" s="30"/>
      <c r="H433" s="30"/>
      <c r="I433" s="29"/>
      <c r="J433" s="29"/>
      <c r="K433" s="29"/>
      <c r="L433" s="30"/>
      <c r="M433" s="30"/>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29"/>
      <c r="CC433" s="29"/>
      <c r="CD433" s="29"/>
    </row>
    <row r="434" spans="1:82" ht="15.75" customHeight="1">
      <c r="A434" s="29"/>
      <c r="B434" s="29"/>
      <c r="C434" s="820"/>
      <c r="D434" s="29"/>
      <c r="E434" s="29"/>
      <c r="F434" s="29"/>
      <c r="G434" s="30"/>
      <c r="H434" s="30"/>
      <c r="I434" s="29"/>
      <c r="J434" s="29"/>
      <c r="K434" s="29"/>
      <c r="L434" s="30"/>
      <c r="M434" s="30"/>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29"/>
      <c r="CC434" s="29"/>
      <c r="CD434" s="29"/>
    </row>
    <row r="435" spans="1:82" ht="15.75" customHeight="1">
      <c r="A435" s="29"/>
      <c r="B435" s="29"/>
      <c r="C435" s="820"/>
      <c r="D435" s="29"/>
      <c r="E435" s="29"/>
      <c r="F435" s="29"/>
      <c r="G435" s="30"/>
      <c r="H435" s="30"/>
      <c r="I435" s="29"/>
      <c r="J435" s="29"/>
      <c r="K435" s="29"/>
      <c r="L435" s="30"/>
      <c r="M435" s="30"/>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29"/>
      <c r="CC435" s="29"/>
      <c r="CD435" s="29"/>
    </row>
    <row r="436" spans="1:82" ht="15.75" customHeight="1">
      <c r="A436" s="29"/>
      <c r="B436" s="29"/>
      <c r="C436" s="820"/>
      <c r="D436" s="29"/>
      <c r="E436" s="29"/>
      <c r="F436" s="29"/>
      <c r="G436" s="30"/>
      <c r="H436" s="30"/>
      <c r="I436" s="29"/>
      <c r="J436" s="29"/>
      <c r="K436" s="29"/>
      <c r="L436" s="30"/>
      <c r="M436" s="30"/>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row>
    <row r="437" spans="1:82" ht="15.75" customHeight="1">
      <c r="A437" s="29"/>
      <c r="B437" s="29"/>
      <c r="C437" s="820"/>
      <c r="D437" s="29"/>
      <c r="E437" s="29"/>
      <c r="F437" s="29"/>
      <c r="G437" s="30"/>
      <c r="H437" s="30"/>
      <c r="I437" s="29"/>
      <c r="J437" s="29"/>
      <c r="K437" s="29"/>
      <c r="L437" s="30"/>
      <c r="M437" s="30"/>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29"/>
      <c r="CC437" s="29"/>
      <c r="CD437" s="29"/>
    </row>
    <row r="438" spans="1:82" ht="15.75" customHeight="1">
      <c r="A438" s="29"/>
      <c r="B438" s="29"/>
      <c r="C438" s="820"/>
      <c r="D438" s="29"/>
      <c r="E438" s="29"/>
      <c r="F438" s="29"/>
      <c r="G438" s="30"/>
      <c r="H438" s="30"/>
      <c r="I438" s="29"/>
      <c r="J438" s="29"/>
      <c r="K438" s="29"/>
      <c r="L438" s="30"/>
      <c r="M438" s="30"/>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29"/>
      <c r="CC438" s="29"/>
      <c r="CD438" s="29"/>
    </row>
    <row r="439" spans="1:82" ht="15.75" customHeight="1">
      <c r="A439" s="29"/>
      <c r="B439" s="29"/>
      <c r="C439" s="820"/>
      <c r="D439" s="29"/>
      <c r="E439" s="29"/>
      <c r="F439" s="29"/>
      <c r="G439" s="30"/>
      <c r="H439" s="30"/>
      <c r="I439" s="29"/>
      <c r="J439" s="29"/>
      <c r="K439" s="29"/>
      <c r="L439" s="30"/>
      <c r="M439" s="30"/>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29"/>
      <c r="CC439" s="29"/>
      <c r="CD439" s="29"/>
    </row>
    <row r="440" spans="1:82" ht="15.75" customHeight="1">
      <c r="A440" s="29"/>
      <c r="B440" s="29"/>
      <c r="C440" s="820"/>
      <c r="D440" s="29"/>
      <c r="E440" s="29"/>
      <c r="F440" s="29"/>
      <c r="G440" s="30"/>
      <c r="H440" s="30"/>
      <c r="I440" s="29"/>
      <c r="J440" s="29"/>
      <c r="K440" s="29"/>
      <c r="L440" s="30"/>
      <c r="M440" s="30"/>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29"/>
      <c r="CC440" s="29"/>
      <c r="CD440" s="29"/>
    </row>
    <row r="441" spans="1:82" ht="15.75" customHeight="1">
      <c r="A441" s="29"/>
      <c r="B441" s="29"/>
      <c r="C441" s="820"/>
      <c r="D441" s="29"/>
      <c r="E441" s="29"/>
      <c r="F441" s="29"/>
      <c r="G441" s="30"/>
      <c r="H441" s="30"/>
      <c r="I441" s="29"/>
      <c r="J441" s="29"/>
      <c r="K441" s="29"/>
      <c r="L441" s="30"/>
      <c r="M441" s="30"/>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29"/>
      <c r="CC441" s="29"/>
      <c r="CD441" s="29"/>
    </row>
    <row r="442" spans="1:82" ht="15.75" customHeight="1">
      <c r="A442" s="29"/>
      <c r="B442" s="29"/>
      <c r="C442" s="820"/>
      <c r="D442" s="29"/>
      <c r="E442" s="29"/>
      <c r="F442" s="29"/>
      <c r="G442" s="30"/>
      <c r="H442" s="30"/>
      <c r="I442" s="29"/>
      <c r="J442" s="29"/>
      <c r="K442" s="29"/>
      <c r="L442" s="30"/>
      <c r="M442" s="30"/>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29"/>
      <c r="CC442" s="29"/>
      <c r="CD442" s="29"/>
    </row>
    <row r="443" spans="1:82" ht="15.75" customHeight="1">
      <c r="A443" s="29"/>
      <c r="B443" s="29"/>
      <c r="C443" s="820"/>
      <c r="D443" s="29"/>
      <c r="E443" s="29"/>
      <c r="F443" s="29"/>
      <c r="G443" s="30"/>
      <c r="H443" s="30"/>
      <c r="I443" s="29"/>
      <c r="J443" s="29"/>
      <c r="K443" s="29"/>
      <c r="L443" s="30"/>
      <c r="M443" s="30"/>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29"/>
      <c r="CC443" s="29"/>
      <c r="CD443" s="29"/>
    </row>
    <row r="444" spans="1:82" ht="15.75" customHeight="1">
      <c r="A444" s="29"/>
      <c r="B444" s="29"/>
      <c r="C444" s="820"/>
      <c r="D444" s="29"/>
      <c r="E444" s="29"/>
      <c r="F444" s="29"/>
      <c r="G444" s="30"/>
      <c r="H444" s="30"/>
      <c r="I444" s="29"/>
      <c r="J444" s="29"/>
      <c r="K444" s="29"/>
      <c r="L444" s="30"/>
      <c r="M444" s="30"/>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29"/>
      <c r="CC444" s="29"/>
      <c r="CD444" s="29"/>
    </row>
    <row r="445" spans="1:82" ht="15.75" customHeight="1">
      <c r="A445" s="29"/>
      <c r="B445" s="29"/>
      <c r="C445" s="820"/>
      <c r="D445" s="29"/>
      <c r="E445" s="29"/>
      <c r="F445" s="29"/>
      <c r="G445" s="30"/>
      <c r="H445" s="30"/>
      <c r="I445" s="29"/>
      <c r="J445" s="29"/>
      <c r="K445" s="29"/>
      <c r="L445" s="30"/>
      <c r="M445" s="30"/>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29"/>
      <c r="CC445" s="29"/>
      <c r="CD445" s="29"/>
    </row>
    <row r="446" spans="1:82" ht="15.75" customHeight="1">
      <c r="A446" s="29"/>
      <c r="B446" s="29"/>
      <c r="C446" s="820"/>
      <c r="D446" s="29"/>
      <c r="E446" s="29"/>
      <c r="F446" s="29"/>
      <c r="G446" s="30"/>
      <c r="H446" s="30"/>
      <c r="I446" s="29"/>
      <c r="J446" s="29"/>
      <c r="K446" s="29"/>
      <c r="L446" s="30"/>
      <c r="M446" s="30"/>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row>
    <row r="447" spans="1:82" ht="15.75" customHeight="1">
      <c r="A447" s="29"/>
      <c r="B447" s="29"/>
      <c r="C447" s="820"/>
      <c r="D447" s="29"/>
      <c r="E447" s="29"/>
      <c r="F447" s="29"/>
      <c r="G447" s="30"/>
      <c r="H447" s="30"/>
      <c r="I447" s="29"/>
      <c r="J447" s="29"/>
      <c r="K447" s="29"/>
      <c r="L447" s="30"/>
      <c r="M447" s="30"/>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29"/>
      <c r="CC447" s="29"/>
      <c r="CD447" s="29"/>
    </row>
    <row r="448" spans="1:82" ht="15.75" customHeight="1">
      <c r="A448" s="29"/>
      <c r="B448" s="29"/>
      <c r="C448" s="820"/>
      <c r="D448" s="29"/>
      <c r="E448" s="29"/>
      <c r="F448" s="29"/>
      <c r="G448" s="30"/>
      <c r="H448" s="30"/>
      <c r="I448" s="29"/>
      <c r="J448" s="29"/>
      <c r="K448" s="29"/>
      <c r="L448" s="30"/>
      <c r="M448" s="30"/>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29"/>
      <c r="CC448" s="29"/>
      <c r="CD448" s="29"/>
    </row>
    <row r="449" spans="1:82" ht="15.75" customHeight="1">
      <c r="A449" s="29"/>
      <c r="B449" s="29"/>
      <c r="C449" s="820"/>
      <c r="D449" s="29"/>
      <c r="E449" s="29"/>
      <c r="F449" s="29"/>
      <c r="G449" s="30"/>
      <c r="H449" s="30"/>
      <c r="I449" s="29"/>
      <c r="J449" s="29"/>
      <c r="K449" s="29"/>
      <c r="L449" s="30"/>
      <c r="M449" s="30"/>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29"/>
      <c r="CC449" s="29"/>
      <c r="CD449" s="29"/>
    </row>
    <row r="450" spans="1:82" ht="15.75" customHeight="1">
      <c r="A450" s="29"/>
      <c r="B450" s="29"/>
      <c r="C450" s="820"/>
      <c r="D450" s="29"/>
      <c r="E450" s="29"/>
      <c r="F450" s="29"/>
      <c r="G450" s="30"/>
      <c r="H450" s="30"/>
      <c r="I450" s="29"/>
      <c r="J450" s="29"/>
      <c r="K450" s="29"/>
      <c r="L450" s="30"/>
      <c r="M450" s="30"/>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29"/>
      <c r="CC450" s="29"/>
      <c r="CD450" s="29"/>
    </row>
    <row r="451" spans="1:82" ht="15.75" customHeight="1">
      <c r="A451" s="29"/>
      <c r="B451" s="29"/>
      <c r="C451" s="820"/>
      <c r="D451" s="29"/>
      <c r="E451" s="29"/>
      <c r="F451" s="29"/>
      <c r="G451" s="30"/>
      <c r="H451" s="30"/>
      <c r="I451" s="29"/>
      <c r="J451" s="29"/>
      <c r="K451" s="29"/>
      <c r="L451" s="30"/>
      <c r="M451" s="30"/>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29"/>
      <c r="CC451" s="29"/>
      <c r="CD451" s="29"/>
    </row>
    <row r="452" spans="1:82" ht="15.75" customHeight="1">
      <c r="A452" s="29"/>
      <c r="B452" s="29"/>
      <c r="C452" s="820"/>
      <c r="D452" s="29"/>
      <c r="E452" s="29"/>
      <c r="F452" s="29"/>
      <c r="G452" s="30"/>
      <c r="H452" s="30"/>
      <c r="I452" s="29"/>
      <c r="J452" s="29"/>
      <c r="K452" s="29"/>
      <c r="L452" s="30"/>
      <c r="M452" s="30"/>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29"/>
      <c r="CC452" s="29"/>
      <c r="CD452" s="29"/>
    </row>
    <row r="453" spans="1:82" ht="15.75" customHeight="1">
      <c r="C453" s="549"/>
    </row>
    <row r="454" spans="1:82" ht="15.75" customHeight="1">
      <c r="C454" s="549"/>
    </row>
    <row r="455" spans="1:82" ht="15.75" customHeight="1">
      <c r="C455" s="549"/>
    </row>
    <row r="456" spans="1:82" ht="15.75" customHeight="1">
      <c r="C456" s="549"/>
    </row>
    <row r="457" spans="1:82" ht="15.75" customHeight="1">
      <c r="C457" s="549"/>
    </row>
    <row r="458" spans="1:82" ht="15.75" customHeight="1">
      <c r="C458" s="549"/>
    </row>
    <row r="459" spans="1:82" ht="15.75" customHeight="1">
      <c r="C459" s="549"/>
    </row>
    <row r="460" spans="1:82" ht="15.75" customHeight="1">
      <c r="C460" s="549"/>
    </row>
    <row r="461" spans="1:82" ht="15.75" customHeight="1">
      <c r="C461" s="549"/>
    </row>
    <row r="462" spans="1:82" ht="15.75" customHeight="1">
      <c r="C462" s="549"/>
    </row>
    <row r="463" spans="1:82" ht="15.75" customHeight="1">
      <c r="C463" s="549"/>
    </row>
    <row r="464" spans="1:82" ht="15.75" customHeight="1">
      <c r="C464" s="549"/>
    </row>
    <row r="465" spans="3:3" ht="15.75" customHeight="1">
      <c r="C465" s="549"/>
    </row>
    <row r="466" spans="3:3" ht="15.75" customHeight="1">
      <c r="C466" s="549"/>
    </row>
    <row r="467" spans="3:3" ht="15.75" customHeight="1">
      <c r="C467" s="549"/>
    </row>
    <row r="468" spans="3:3" ht="15.75" customHeight="1">
      <c r="C468" s="549"/>
    </row>
    <row r="469" spans="3:3" ht="15.75" customHeight="1">
      <c r="C469" s="549"/>
    </row>
    <row r="470" spans="3:3" ht="15.75" customHeight="1">
      <c r="C470" s="549"/>
    </row>
    <row r="471" spans="3:3" ht="15.75" customHeight="1">
      <c r="C471" s="549"/>
    </row>
    <row r="472" spans="3:3" ht="15.75" customHeight="1">
      <c r="C472" s="549"/>
    </row>
    <row r="473" spans="3:3" ht="15.75" customHeight="1">
      <c r="C473" s="549"/>
    </row>
    <row r="474" spans="3:3" ht="15.75" customHeight="1">
      <c r="C474" s="549"/>
    </row>
    <row r="475" spans="3:3" ht="15.75" customHeight="1">
      <c r="C475" s="549"/>
    </row>
    <row r="476" spans="3:3" ht="15.75" customHeight="1">
      <c r="C476" s="549"/>
    </row>
    <row r="477" spans="3:3" ht="15.75" customHeight="1">
      <c r="C477" s="549"/>
    </row>
    <row r="478" spans="3:3" ht="15.75" customHeight="1">
      <c r="C478" s="549"/>
    </row>
    <row r="479" spans="3:3" ht="15.75" customHeight="1">
      <c r="C479" s="549"/>
    </row>
    <row r="480" spans="3:3" ht="15.75" customHeight="1">
      <c r="C480" s="549"/>
    </row>
    <row r="481" spans="3:3" ht="15.75" customHeight="1">
      <c r="C481" s="549"/>
    </row>
    <row r="482" spans="3:3" ht="15.75" customHeight="1">
      <c r="C482" s="549"/>
    </row>
    <row r="483" spans="3:3" ht="15.75" customHeight="1">
      <c r="C483" s="549"/>
    </row>
    <row r="484" spans="3:3" ht="15.75" customHeight="1">
      <c r="C484" s="549"/>
    </row>
    <row r="485" spans="3:3" ht="15.75" customHeight="1">
      <c r="C485" s="549"/>
    </row>
    <row r="486" spans="3:3" ht="15.75" customHeight="1">
      <c r="C486" s="549"/>
    </row>
    <row r="487" spans="3:3" ht="15.75" customHeight="1">
      <c r="C487" s="549"/>
    </row>
    <row r="488" spans="3:3" ht="15.75" customHeight="1">
      <c r="C488" s="549"/>
    </row>
    <row r="489" spans="3:3" ht="15.75" customHeight="1">
      <c r="C489" s="549"/>
    </row>
    <row r="490" spans="3:3" ht="15.75" customHeight="1">
      <c r="C490" s="549"/>
    </row>
    <row r="491" spans="3:3" ht="15.75" customHeight="1">
      <c r="C491" s="549"/>
    </row>
    <row r="492" spans="3:3" ht="15.75" customHeight="1">
      <c r="C492" s="549"/>
    </row>
    <row r="493" spans="3:3" ht="15.75" customHeight="1">
      <c r="C493" s="549"/>
    </row>
    <row r="494" spans="3:3" ht="15.75" customHeight="1">
      <c r="C494" s="549"/>
    </row>
    <row r="495" spans="3:3" ht="15.75" customHeight="1">
      <c r="C495" s="549"/>
    </row>
    <row r="496" spans="3:3" ht="15.75" customHeight="1">
      <c r="C496" s="549"/>
    </row>
    <row r="497" spans="3:3" ht="15.75" customHeight="1">
      <c r="C497" s="549"/>
    </row>
    <row r="498" spans="3:3" ht="15.75" customHeight="1">
      <c r="C498" s="549"/>
    </row>
    <row r="499" spans="3:3" ht="15.75" customHeight="1">
      <c r="C499" s="549"/>
    </row>
    <row r="500" spans="3:3" ht="15.75" customHeight="1">
      <c r="C500" s="549"/>
    </row>
    <row r="501" spans="3:3" ht="15.75" customHeight="1">
      <c r="C501" s="549"/>
    </row>
    <row r="502" spans="3:3" ht="15.75" customHeight="1">
      <c r="C502" s="549"/>
    </row>
    <row r="503" spans="3:3" ht="15.75" customHeight="1">
      <c r="C503" s="549"/>
    </row>
    <row r="504" spans="3:3" ht="15.75" customHeight="1">
      <c r="C504" s="549"/>
    </row>
    <row r="505" spans="3:3" ht="15.75" customHeight="1">
      <c r="C505" s="549"/>
    </row>
    <row r="506" spans="3:3" ht="15.75" customHeight="1">
      <c r="C506" s="549"/>
    </row>
    <row r="507" spans="3:3" ht="15.75" customHeight="1">
      <c r="C507" s="549"/>
    </row>
    <row r="508" spans="3:3" ht="15.75" customHeight="1">
      <c r="C508" s="549"/>
    </row>
    <row r="509" spans="3:3" ht="15.75" customHeight="1">
      <c r="C509" s="549"/>
    </row>
    <row r="510" spans="3:3" ht="15.75" customHeight="1">
      <c r="C510" s="549"/>
    </row>
    <row r="511" spans="3:3" ht="15.75" customHeight="1">
      <c r="C511" s="549"/>
    </row>
    <row r="512" spans="3:3" ht="15.75" customHeight="1">
      <c r="C512" s="549"/>
    </row>
    <row r="513" spans="3:3" ht="15.75" customHeight="1">
      <c r="C513" s="549"/>
    </row>
    <row r="514" spans="3:3" ht="15.75" customHeight="1">
      <c r="C514" s="549"/>
    </row>
    <row r="515" spans="3:3" ht="15.75" customHeight="1">
      <c r="C515" s="549"/>
    </row>
    <row r="516" spans="3:3" ht="15.75" customHeight="1">
      <c r="C516" s="549"/>
    </row>
    <row r="517" spans="3:3" ht="15.75" customHeight="1">
      <c r="C517" s="549"/>
    </row>
    <row r="518" spans="3:3" ht="15.75" customHeight="1">
      <c r="C518" s="549"/>
    </row>
    <row r="519" spans="3:3" ht="15.75" customHeight="1">
      <c r="C519" s="549"/>
    </row>
    <row r="520" spans="3:3" ht="15.75" customHeight="1">
      <c r="C520" s="549"/>
    </row>
    <row r="521" spans="3:3" ht="15.75" customHeight="1">
      <c r="C521" s="549"/>
    </row>
    <row r="522" spans="3:3" ht="15.75" customHeight="1">
      <c r="C522" s="549"/>
    </row>
    <row r="523" spans="3:3" ht="15.75" customHeight="1">
      <c r="C523" s="549"/>
    </row>
    <row r="524" spans="3:3" ht="15.75" customHeight="1">
      <c r="C524" s="549"/>
    </row>
    <row r="525" spans="3:3" ht="15.75" customHeight="1">
      <c r="C525" s="549"/>
    </row>
    <row r="526" spans="3:3" ht="15.75" customHeight="1">
      <c r="C526" s="549"/>
    </row>
    <row r="527" spans="3:3" ht="15.75" customHeight="1">
      <c r="C527" s="549"/>
    </row>
    <row r="528" spans="3:3" ht="15.75" customHeight="1">
      <c r="C528" s="549"/>
    </row>
    <row r="529" spans="3:3" ht="15.75" customHeight="1">
      <c r="C529" s="549"/>
    </row>
    <row r="530" spans="3:3" ht="15.75" customHeight="1">
      <c r="C530" s="549"/>
    </row>
    <row r="531" spans="3:3" ht="15.75" customHeight="1">
      <c r="C531" s="549"/>
    </row>
    <row r="532" spans="3:3" ht="15.75" customHeight="1">
      <c r="C532" s="549"/>
    </row>
    <row r="533" spans="3:3" ht="15.75" customHeight="1">
      <c r="C533" s="549"/>
    </row>
    <row r="534" spans="3:3" ht="15.75" customHeight="1">
      <c r="C534" s="549"/>
    </row>
    <row r="535" spans="3:3" ht="15.75" customHeight="1">
      <c r="C535" s="549"/>
    </row>
    <row r="536" spans="3:3" ht="15.75" customHeight="1">
      <c r="C536" s="549"/>
    </row>
    <row r="537" spans="3:3" ht="15.75" customHeight="1">
      <c r="C537" s="549"/>
    </row>
    <row r="538" spans="3:3" ht="15.75" customHeight="1">
      <c r="C538" s="549"/>
    </row>
    <row r="539" spans="3:3" ht="15.75" customHeight="1">
      <c r="C539" s="549"/>
    </row>
    <row r="540" spans="3:3" ht="15.75" customHeight="1">
      <c r="C540" s="549"/>
    </row>
    <row r="541" spans="3:3" ht="15.75" customHeight="1">
      <c r="C541" s="549"/>
    </row>
    <row r="542" spans="3:3" ht="15.75" customHeight="1">
      <c r="C542" s="549"/>
    </row>
    <row r="543" spans="3:3" ht="15.75" customHeight="1">
      <c r="C543" s="549"/>
    </row>
    <row r="544" spans="3:3" ht="15.75" customHeight="1">
      <c r="C544" s="549"/>
    </row>
    <row r="545" spans="3:3" ht="15.75" customHeight="1">
      <c r="C545" s="549"/>
    </row>
    <row r="546" spans="3:3" ht="15.75" customHeight="1">
      <c r="C546" s="549"/>
    </row>
    <row r="547" spans="3:3" ht="15.75" customHeight="1">
      <c r="C547" s="549"/>
    </row>
    <row r="548" spans="3:3" ht="15.75" customHeight="1">
      <c r="C548" s="549"/>
    </row>
    <row r="549" spans="3:3" ht="15.75" customHeight="1">
      <c r="C549" s="549"/>
    </row>
    <row r="550" spans="3:3" ht="15.75" customHeight="1">
      <c r="C550" s="549"/>
    </row>
    <row r="551" spans="3:3" ht="15.75" customHeight="1">
      <c r="C551" s="549"/>
    </row>
    <row r="552" spans="3:3" ht="15.75" customHeight="1">
      <c r="C552" s="549"/>
    </row>
    <row r="553" spans="3:3" ht="15.75" customHeight="1">
      <c r="C553" s="549"/>
    </row>
    <row r="554" spans="3:3" ht="15.75" customHeight="1">
      <c r="C554" s="549"/>
    </row>
    <row r="555" spans="3:3" ht="15.75" customHeight="1">
      <c r="C555" s="549"/>
    </row>
    <row r="556" spans="3:3" ht="15.75" customHeight="1">
      <c r="C556" s="549"/>
    </row>
    <row r="557" spans="3:3" ht="15.75" customHeight="1">
      <c r="C557" s="549"/>
    </row>
    <row r="558" spans="3:3" ht="15.75" customHeight="1">
      <c r="C558" s="549"/>
    </row>
    <row r="559" spans="3:3" ht="15.75" customHeight="1">
      <c r="C559" s="549"/>
    </row>
    <row r="560" spans="3:3" ht="15.75" customHeight="1">
      <c r="C560" s="549"/>
    </row>
    <row r="561" spans="3:3" ht="15.75" customHeight="1">
      <c r="C561" s="549"/>
    </row>
    <row r="562" spans="3:3" ht="15.75" customHeight="1">
      <c r="C562" s="549"/>
    </row>
    <row r="563" spans="3:3" ht="15.75" customHeight="1">
      <c r="C563" s="549"/>
    </row>
    <row r="564" spans="3:3" ht="15.75" customHeight="1">
      <c r="C564" s="549"/>
    </row>
    <row r="565" spans="3:3" ht="15.75" customHeight="1">
      <c r="C565" s="549"/>
    </row>
    <row r="566" spans="3:3" ht="15.75" customHeight="1">
      <c r="C566" s="549"/>
    </row>
    <row r="567" spans="3:3" ht="15.75" customHeight="1">
      <c r="C567" s="549"/>
    </row>
    <row r="568" spans="3:3" ht="15.75" customHeight="1">
      <c r="C568" s="549"/>
    </row>
    <row r="569" spans="3:3" ht="15.75" customHeight="1">
      <c r="C569" s="549"/>
    </row>
    <row r="570" spans="3:3" ht="15.75" customHeight="1">
      <c r="C570" s="549"/>
    </row>
    <row r="571" spans="3:3" ht="15.75" customHeight="1">
      <c r="C571" s="549"/>
    </row>
    <row r="572" spans="3:3" ht="15.75" customHeight="1">
      <c r="C572" s="549"/>
    </row>
    <row r="573" spans="3:3" ht="15.75" customHeight="1">
      <c r="C573" s="549"/>
    </row>
    <row r="574" spans="3:3" ht="15.75" customHeight="1">
      <c r="C574" s="549"/>
    </row>
    <row r="575" spans="3:3" ht="15.75" customHeight="1">
      <c r="C575" s="549"/>
    </row>
    <row r="576" spans="3:3" ht="15.75" customHeight="1">
      <c r="C576" s="549"/>
    </row>
    <row r="577" spans="3:3" ht="15.75" customHeight="1">
      <c r="C577" s="549"/>
    </row>
    <row r="578" spans="3:3" ht="15.75" customHeight="1">
      <c r="C578" s="549"/>
    </row>
    <row r="579" spans="3:3" ht="15.75" customHeight="1">
      <c r="C579" s="549"/>
    </row>
    <row r="580" spans="3:3" ht="15.75" customHeight="1">
      <c r="C580" s="549"/>
    </row>
    <row r="581" spans="3:3" ht="15.75" customHeight="1">
      <c r="C581" s="549"/>
    </row>
    <row r="582" spans="3:3" ht="15.75" customHeight="1">
      <c r="C582" s="549"/>
    </row>
    <row r="583" spans="3:3" ht="15.75" customHeight="1">
      <c r="C583" s="549"/>
    </row>
    <row r="584" spans="3:3" ht="15.75" customHeight="1">
      <c r="C584" s="549"/>
    </row>
    <row r="585" spans="3:3" ht="15.75" customHeight="1">
      <c r="C585" s="549"/>
    </row>
    <row r="586" spans="3:3" ht="15.75" customHeight="1">
      <c r="C586" s="549"/>
    </row>
    <row r="587" spans="3:3" ht="15.75" customHeight="1">
      <c r="C587" s="549"/>
    </row>
    <row r="588" spans="3:3" ht="15.75" customHeight="1">
      <c r="C588" s="549"/>
    </row>
    <row r="589" spans="3:3" ht="15.75" customHeight="1">
      <c r="C589" s="549"/>
    </row>
    <row r="590" spans="3:3" ht="15.75" customHeight="1">
      <c r="C590" s="549"/>
    </row>
    <row r="591" spans="3:3" ht="15.75" customHeight="1">
      <c r="C591" s="549"/>
    </row>
    <row r="592" spans="3:3" ht="15.75" customHeight="1">
      <c r="C592" s="549"/>
    </row>
    <row r="593" spans="3:3" ht="15.75" customHeight="1">
      <c r="C593" s="549"/>
    </row>
    <row r="594" spans="3:3" ht="15.75" customHeight="1">
      <c r="C594" s="549"/>
    </row>
    <row r="595" spans="3:3" ht="15.75" customHeight="1">
      <c r="C595" s="549"/>
    </row>
    <row r="596" spans="3:3" ht="15.75" customHeight="1">
      <c r="C596" s="549"/>
    </row>
    <row r="597" spans="3:3" ht="15.75" customHeight="1">
      <c r="C597" s="549"/>
    </row>
    <row r="598" spans="3:3" ht="15.75" customHeight="1">
      <c r="C598" s="549"/>
    </row>
    <row r="599" spans="3:3" ht="15.75" customHeight="1">
      <c r="C599" s="549"/>
    </row>
    <row r="600" spans="3:3" ht="15.75" customHeight="1">
      <c r="C600" s="549"/>
    </row>
    <row r="601" spans="3:3" ht="15.75" customHeight="1">
      <c r="C601" s="549"/>
    </row>
    <row r="602" spans="3:3" ht="15.75" customHeight="1">
      <c r="C602" s="549"/>
    </row>
    <row r="603" spans="3:3" ht="15.75" customHeight="1">
      <c r="C603" s="549"/>
    </row>
    <row r="604" spans="3:3" ht="15.75" customHeight="1">
      <c r="C604" s="549"/>
    </row>
    <row r="605" spans="3:3" ht="15.75" customHeight="1">
      <c r="C605" s="549"/>
    </row>
    <row r="606" spans="3:3" ht="15.75" customHeight="1">
      <c r="C606" s="549"/>
    </row>
    <row r="607" spans="3:3" ht="15.75" customHeight="1">
      <c r="C607" s="549"/>
    </row>
    <row r="608" spans="3:3" ht="15.75" customHeight="1">
      <c r="C608" s="549"/>
    </row>
    <row r="609" spans="3:3" ht="15.75" customHeight="1">
      <c r="C609" s="549"/>
    </row>
    <row r="610" spans="3:3" ht="15.75" customHeight="1">
      <c r="C610" s="549"/>
    </row>
    <row r="611" spans="3:3" ht="15.75" customHeight="1">
      <c r="C611" s="549"/>
    </row>
    <row r="612" spans="3:3" ht="15.75" customHeight="1">
      <c r="C612" s="549"/>
    </row>
    <row r="613" spans="3:3" ht="15.75" customHeight="1">
      <c r="C613" s="549"/>
    </row>
    <row r="614" spans="3:3" ht="15.75" customHeight="1">
      <c r="C614" s="549"/>
    </row>
    <row r="615" spans="3:3" ht="15.75" customHeight="1">
      <c r="C615" s="549"/>
    </row>
    <row r="616" spans="3:3" ht="15.75" customHeight="1">
      <c r="C616" s="549"/>
    </row>
    <row r="617" spans="3:3" ht="15.75" customHeight="1">
      <c r="C617" s="549"/>
    </row>
    <row r="618" spans="3:3" ht="15.75" customHeight="1">
      <c r="C618" s="549"/>
    </row>
    <row r="619" spans="3:3" ht="15.75" customHeight="1">
      <c r="C619" s="549"/>
    </row>
    <row r="620" spans="3:3" ht="15.75" customHeight="1">
      <c r="C620" s="549"/>
    </row>
    <row r="621" spans="3:3" ht="15.75" customHeight="1">
      <c r="C621" s="549"/>
    </row>
    <row r="622" spans="3:3" ht="15.75" customHeight="1">
      <c r="C622" s="549"/>
    </row>
    <row r="623" spans="3:3" ht="15.75" customHeight="1">
      <c r="C623" s="549"/>
    </row>
    <row r="624" spans="3:3" ht="15.75" customHeight="1">
      <c r="C624" s="549"/>
    </row>
    <row r="625" spans="3:3" ht="15.75" customHeight="1">
      <c r="C625" s="549"/>
    </row>
    <row r="626" spans="3:3" ht="15.75" customHeight="1">
      <c r="C626" s="549"/>
    </row>
    <row r="627" spans="3:3" ht="15.75" customHeight="1">
      <c r="C627" s="549"/>
    </row>
    <row r="628" spans="3:3" ht="15.75" customHeight="1">
      <c r="C628" s="549"/>
    </row>
    <row r="629" spans="3:3" ht="15.75" customHeight="1">
      <c r="C629" s="549"/>
    </row>
    <row r="630" spans="3:3" ht="15.75" customHeight="1">
      <c r="C630" s="549"/>
    </row>
    <row r="631" spans="3:3" ht="15.75" customHeight="1">
      <c r="C631" s="549"/>
    </row>
    <row r="632" spans="3:3" ht="15.75" customHeight="1">
      <c r="C632" s="549"/>
    </row>
    <row r="633" spans="3:3" ht="15.75" customHeight="1">
      <c r="C633" s="549"/>
    </row>
    <row r="634" spans="3:3" ht="15.75" customHeight="1">
      <c r="C634" s="549"/>
    </row>
    <row r="635" spans="3:3" ht="15.75" customHeight="1">
      <c r="C635" s="549"/>
    </row>
    <row r="636" spans="3:3" ht="15.75" customHeight="1">
      <c r="C636" s="549"/>
    </row>
    <row r="637" spans="3:3" ht="15.75" customHeight="1">
      <c r="C637" s="549"/>
    </row>
    <row r="638" spans="3:3" ht="15.75" customHeight="1">
      <c r="C638" s="549"/>
    </row>
    <row r="639" spans="3:3" ht="15.75" customHeight="1">
      <c r="C639" s="549"/>
    </row>
    <row r="640" spans="3:3" ht="15.75" customHeight="1">
      <c r="C640" s="549"/>
    </row>
    <row r="641" spans="3:3" ht="15.75" customHeight="1">
      <c r="C641" s="549"/>
    </row>
    <row r="642" spans="3:3" ht="15.75" customHeight="1">
      <c r="C642" s="549"/>
    </row>
    <row r="643" spans="3:3" ht="15.75" customHeight="1">
      <c r="C643" s="549"/>
    </row>
    <row r="644" spans="3:3" ht="15.75" customHeight="1">
      <c r="C644" s="549"/>
    </row>
    <row r="645" spans="3:3" ht="15.75" customHeight="1">
      <c r="C645" s="549"/>
    </row>
    <row r="646" spans="3:3" ht="15.75" customHeight="1">
      <c r="C646" s="549"/>
    </row>
    <row r="647" spans="3:3" ht="15.75" customHeight="1">
      <c r="C647" s="549"/>
    </row>
    <row r="648" spans="3:3" ht="15.75" customHeight="1">
      <c r="C648" s="549"/>
    </row>
    <row r="649" spans="3:3" ht="15.75" customHeight="1">
      <c r="C649" s="549"/>
    </row>
    <row r="650" spans="3:3" ht="15.75" customHeight="1">
      <c r="C650" s="549"/>
    </row>
    <row r="651" spans="3:3" ht="15.75" customHeight="1">
      <c r="C651" s="549"/>
    </row>
    <row r="652" spans="3:3" ht="15.75" customHeight="1">
      <c r="C652" s="549"/>
    </row>
    <row r="653" spans="3:3" ht="15.75" customHeight="1">
      <c r="C653" s="549"/>
    </row>
    <row r="654" spans="3:3" ht="15.75" customHeight="1">
      <c r="C654" s="549"/>
    </row>
    <row r="655" spans="3:3" ht="15.75" customHeight="1">
      <c r="C655" s="549"/>
    </row>
    <row r="656" spans="3:3" ht="15.75" customHeight="1">
      <c r="C656" s="549"/>
    </row>
    <row r="657" spans="3:3" ht="15.75" customHeight="1">
      <c r="C657" s="549"/>
    </row>
    <row r="658" spans="3:3" ht="15.75" customHeight="1">
      <c r="C658" s="549"/>
    </row>
    <row r="659" spans="3:3" ht="15.75" customHeight="1">
      <c r="C659" s="549"/>
    </row>
    <row r="660" spans="3:3" ht="15.75" customHeight="1">
      <c r="C660" s="549"/>
    </row>
    <row r="661" spans="3:3" ht="15.75" customHeight="1">
      <c r="C661" s="549"/>
    </row>
    <row r="662" spans="3:3" ht="15.75" customHeight="1">
      <c r="C662" s="549"/>
    </row>
    <row r="663" spans="3:3" ht="15.75" customHeight="1">
      <c r="C663" s="549"/>
    </row>
    <row r="664" spans="3:3" ht="15.75" customHeight="1">
      <c r="C664" s="549"/>
    </row>
    <row r="665" spans="3:3" ht="15.75" customHeight="1">
      <c r="C665" s="549"/>
    </row>
    <row r="666" spans="3:3" ht="15.75" customHeight="1">
      <c r="C666" s="549"/>
    </row>
    <row r="667" spans="3:3" ht="15.75" customHeight="1">
      <c r="C667" s="549"/>
    </row>
    <row r="668" spans="3:3" ht="15.75" customHeight="1">
      <c r="C668" s="549"/>
    </row>
    <row r="669" spans="3:3" ht="15.75" customHeight="1">
      <c r="C669" s="549"/>
    </row>
    <row r="670" spans="3:3" ht="15.75" customHeight="1">
      <c r="C670" s="549"/>
    </row>
    <row r="671" spans="3:3" ht="15.75" customHeight="1">
      <c r="C671" s="549"/>
    </row>
    <row r="672" spans="3:3" ht="15.75" customHeight="1">
      <c r="C672" s="549"/>
    </row>
    <row r="673" spans="3:3" ht="15.75" customHeight="1">
      <c r="C673" s="549"/>
    </row>
    <row r="674" spans="3:3" ht="15.75" customHeight="1">
      <c r="C674" s="549"/>
    </row>
    <row r="675" spans="3:3" ht="15.75" customHeight="1">
      <c r="C675" s="549"/>
    </row>
    <row r="676" spans="3:3" ht="15.75" customHeight="1">
      <c r="C676" s="549"/>
    </row>
    <row r="677" spans="3:3" ht="15.75" customHeight="1">
      <c r="C677" s="549"/>
    </row>
    <row r="678" spans="3:3" ht="15.75" customHeight="1">
      <c r="C678" s="549"/>
    </row>
    <row r="679" spans="3:3" ht="15.75" customHeight="1">
      <c r="C679" s="549"/>
    </row>
    <row r="680" spans="3:3" ht="15.75" customHeight="1">
      <c r="C680" s="549"/>
    </row>
    <row r="681" spans="3:3" ht="15.75" customHeight="1">
      <c r="C681" s="549"/>
    </row>
    <row r="682" spans="3:3" ht="15.75" customHeight="1">
      <c r="C682" s="549"/>
    </row>
    <row r="683" spans="3:3" ht="15.75" customHeight="1">
      <c r="C683" s="549"/>
    </row>
    <row r="684" spans="3:3" ht="15.75" customHeight="1">
      <c r="C684" s="549"/>
    </row>
    <row r="685" spans="3:3" ht="15.75" customHeight="1">
      <c r="C685" s="549"/>
    </row>
    <row r="686" spans="3:3" ht="15.75" customHeight="1">
      <c r="C686" s="549"/>
    </row>
    <row r="687" spans="3:3" ht="15.75" customHeight="1">
      <c r="C687" s="549"/>
    </row>
    <row r="688" spans="3:3" ht="15.75" customHeight="1">
      <c r="C688" s="549"/>
    </row>
    <row r="689" spans="3:3" ht="15.75" customHeight="1">
      <c r="C689" s="549"/>
    </row>
    <row r="690" spans="3:3" ht="15.75" customHeight="1">
      <c r="C690" s="549"/>
    </row>
    <row r="691" spans="3:3" ht="15.75" customHeight="1">
      <c r="C691" s="549"/>
    </row>
    <row r="692" spans="3:3" ht="15.75" customHeight="1">
      <c r="C692" s="549"/>
    </row>
    <row r="693" spans="3:3" ht="15.75" customHeight="1">
      <c r="C693" s="549"/>
    </row>
    <row r="694" spans="3:3" ht="15.75" customHeight="1">
      <c r="C694" s="549"/>
    </row>
    <row r="695" spans="3:3" ht="15.75" customHeight="1">
      <c r="C695" s="549"/>
    </row>
    <row r="696" spans="3:3" ht="15.75" customHeight="1">
      <c r="C696" s="549"/>
    </row>
    <row r="697" spans="3:3" ht="15.75" customHeight="1">
      <c r="C697" s="549"/>
    </row>
    <row r="698" spans="3:3" ht="15.75" customHeight="1">
      <c r="C698" s="549"/>
    </row>
    <row r="699" spans="3:3" ht="15.75" customHeight="1">
      <c r="C699" s="549"/>
    </row>
    <row r="700" spans="3:3" ht="15.75" customHeight="1">
      <c r="C700" s="549"/>
    </row>
    <row r="701" spans="3:3" ht="15.75" customHeight="1">
      <c r="C701" s="549"/>
    </row>
    <row r="702" spans="3:3" ht="15.75" customHeight="1">
      <c r="C702" s="549"/>
    </row>
    <row r="703" spans="3:3" ht="15.75" customHeight="1">
      <c r="C703" s="549"/>
    </row>
    <row r="704" spans="3:3" ht="15.75" customHeight="1">
      <c r="C704" s="549"/>
    </row>
    <row r="705" spans="3:3" ht="15.75" customHeight="1">
      <c r="C705" s="549"/>
    </row>
    <row r="706" spans="3:3" ht="15.75" customHeight="1">
      <c r="C706" s="549"/>
    </row>
    <row r="707" spans="3:3" ht="15.75" customHeight="1">
      <c r="C707" s="549"/>
    </row>
    <row r="708" spans="3:3" ht="15.75" customHeight="1">
      <c r="C708" s="549"/>
    </row>
    <row r="709" spans="3:3" ht="15.75" customHeight="1">
      <c r="C709" s="549"/>
    </row>
    <row r="710" spans="3:3" ht="15.75" customHeight="1">
      <c r="C710" s="549"/>
    </row>
    <row r="711" spans="3:3" ht="15.75" customHeight="1">
      <c r="C711" s="549"/>
    </row>
    <row r="712" spans="3:3" ht="15.75" customHeight="1">
      <c r="C712" s="549"/>
    </row>
    <row r="713" spans="3:3" ht="15.75" customHeight="1">
      <c r="C713" s="549"/>
    </row>
    <row r="714" spans="3:3" ht="15.75" customHeight="1">
      <c r="C714" s="549"/>
    </row>
    <row r="715" spans="3:3" ht="15.75" customHeight="1">
      <c r="C715" s="549"/>
    </row>
    <row r="716" spans="3:3" ht="15.75" customHeight="1">
      <c r="C716" s="549"/>
    </row>
    <row r="717" spans="3:3" ht="15.75" customHeight="1">
      <c r="C717" s="549"/>
    </row>
    <row r="718" spans="3:3" ht="15.75" customHeight="1">
      <c r="C718" s="549"/>
    </row>
    <row r="719" spans="3:3" ht="15.75" customHeight="1">
      <c r="C719" s="549"/>
    </row>
    <row r="720" spans="3:3" ht="15.75" customHeight="1">
      <c r="C720" s="549"/>
    </row>
    <row r="721" spans="3:3" ht="15.75" customHeight="1">
      <c r="C721" s="549"/>
    </row>
    <row r="722" spans="3:3" ht="15.75" customHeight="1">
      <c r="C722" s="549"/>
    </row>
    <row r="723" spans="3:3" ht="15.75" customHeight="1">
      <c r="C723" s="549"/>
    </row>
    <row r="724" spans="3:3" ht="15.75" customHeight="1">
      <c r="C724" s="549"/>
    </row>
    <row r="725" spans="3:3" ht="15.75" customHeight="1">
      <c r="C725" s="549"/>
    </row>
    <row r="726" spans="3:3" ht="15.75" customHeight="1">
      <c r="C726" s="549"/>
    </row>
    <row r="727" spans="3:3" ht="15.75" customHeight="1">
      <c r="C727" s="549"/>
    </row>
    <row r="728" spans="3:3" ht="15.75" customHeight="1">
      <c r="C728" s="549"/>
    </row>
    <row r="729" spans="3:3" ht="15.75" customHeight="1">
      <c r="C729" s="549"/>
    </row>
    <row r="730" spans="3:3" ht="15.75" customHeight="1">
      <c r="C730" s="549"/>
    </row>
    <row r="731" spans="3:3" ht="15.75" customHeight="1">
      <c r="C731" s="549"/>
    </row>
    <row r="732" spans="3:3" ht="15.75" customHeight="1">
      <c r="C732" s="549"/>
    </row>
    <row r="733" spans="3:3" ht="15.75" customHeight="1">
      <c r="C733" s="549"/>
    </row>
    <row r="734" spans="3:3" ht="15.75" customHeight="1">
      <c r="C734" s="549"/>
    </row>
    <row r="735" spans="3:3" ht="15.75" customHeight="1">
      <c r="C735" s="549"/>
    </row>
    <row r="736" spans="3:3" ht="15.75" customHeight="1">
      <c r="C736" s="549"/>
    </row>
    <row r="737" spans="3:3" ht="15.75" customHeight="1">
      <c r="C737" s="549"/>
    </row>
    <row r="738" spans="3:3" ht="15.75" customHeight="1">
      <c r="C738" s="549"/>
    </row>
    <row r="739" spans="3:3" ht="15.75" customHeight="1">
      <c r="C739" s="549"/>
    </row>
    <row r="740" spans="3:3" ht="15.75" customHeight="1">
      <c r="C740" s="549"/>
    </row>
    <row r="741" spans="3:3" ht="15.75" customHeight="1">
      <c r="C741" s="549"/>
    </row>
    <row r="742" spans="3:3" ht="15.75" customHeight="1">
      <c r="C742" s="549"/>
    </row>
    <row r="743" spans="3:3" ht="15.75" customHeight="1">
      <c r="C743" s="549"/>
    </row>
    <row r="744" spans="3:3" ht="15.75" customHeight="1">
      <c r="C744" s="549"/>
    </row>
    <row r="745" spans="3:3" ht="15.75" customHeight="1">
      <c r="C745" s="549"/>
    </row>
    <row r="746" spans="3:3" ht="15.75" customHeight="1">
      <c r="C746" s="549"/>
    </row>
    <row r="747" spans="3:3" ht="15.75" customHeight="1">
      <c r="C747" s="549"/>
    </row>
    <row r="748" spans="3:3" ht="15.75" customHeight="1">
      <c r="C748" s="549"/>
    </row>
    <row r="749" spans="3:3" ht="15.75" customHeight="1">
      <c r="C749" s="549"/>
    </row>
    <row r="750" spans="3:3" ht="15.75" customHeight="1">
      <c r="C750" s="549"/>
    </row>
    <row r="751" spans="3:3" ht="15.75" customHeight="1">
      <c r="C751" s="549"/>
    </row>
    <row r="752" spans="3:3" ht="15.75" customHeight="1">
      <c r="C752" s="549"/>
    </row>
    <row r="753" spans="3:3" ht="15.75" customHeight="1">
      <c r="C753" s="549"/>
    </row>
    <row r="754" spans="3:3" ht="15.75" customHeight="1">
      <c r="C754" s="549"/>
    </row>
    <row r="755" spans="3:3" ht="15.75" customHeight="1">
      <c r="C755" s="549"/>
    </row>
    <row r="756" spans="3:3" ht="15.75" customHeight="1">
      <c r="C756" s="549"/>
    </row>
    <row r="757" spans="3:3" ht="15.75" customHeight="1">
      <c r="C757" s="549"/>
    </row>
    <row r="758" spans="3:3" ht="15.75" customHeight="1">
      <c r="C758" s="549"/>
    </row>
    <row r="759" spans="3:3" ht="15.75" customHeight="1">
      <c r="C759" s="549"/>
    </row>
    <row r="760" spans="3:3" ht="15.75" customHeight="1">
      <c r="C760" s="549"/>
    </row>
    <row r="761" spans="3:3" ht="15.75" customHeight="1">
      <c r="C761" s="549"/>
    </row>
    <row r="762" spans="3:3" ht="15.75" customHeight="1">
      <c r="C762" s="549"/>
    </row>
    <row r="763" spans="3:3" ht="15.75" customHeight="1">
      <c r="C763" s="549"/>
    </row>
    <row r="764" spans="3:3" ht="15.75" customHeight="1">
      <c r="C764" s="549"/>
    </row>
    <row r="765" spans="3:3" ht="15.75" customHeight="1">
      <c r="C765" s="549"/>
    </row>
    <row r="766" spans="3:3" ht="15.75" customHeight="1">
      <c r="C766" s="549"/>
    </row>
    <row r="767" spans="3:3" ht="15.75" customHeight="1">
      <c r="C767" s="549"/>
    </row>
    <row r="768" spans="3:3" ht="15.75" customHeight="1">
      <c r="C768" s="549"/>
    </row>
    <row r="769" spans="3:3" ht="15.75" customHeight="1">
      <c r="C769" s="549"/>
    </row>
    <row r="770" spans="3:3" ht="15.75" customHeight="1">
      <c r="C770" s="549"/>
    </row>
    <row r="771" spans="3:3" ht="15.75" customHeight="1">
      <c r="C771" s="549"/>
    </row>
    <row r="772" spans="3:3" ht="15.75" customHeight="1">
      <c r="C772" s="549"/>
    </row>
    <row r="773" spans="3:3" ht="15.75" customHeight="1">
      <c r="C773" s="549"/>
    </row>
    <row r="774" spans="3:3" ht="15.75" customHeight="1">
      <c r="C774" s="549"/>
    </row>
    <row r="775" spans="3:3" ht="15.75" customHeight="1">
      <c r="C775" s="549"/>
    </row>
    <row r="776" spans="3:3" ht="15.75" customHeight="1">
      <c r="C776" s="549"/>
    </row>
    <row r="777" spans="3:3" ht="15.75" customHeight="1">
      <c r="C777" s="549"/>
    </row>
    <row r="778" spans="3:3" ht="15.75" customHeight="1">
      <c r="C778" s="549"/>
    </row>
    <row r="779" spans="3:3" ht="15.75" customHeight="1">
      <c r="C779" s="549"/>
    </row>
    <row r="780" spans="3:3" ht="15.75" customHeight="1">
      <c r="C780" s="549"/>
    </row>
    <row r="781" spans="3:3" ht="15.75" customHeight="1">
      <c r="C781" s="549"/>
    </row>
    <row r="782" spans="3:3" ht="15.75" customHeight="1">
      <c r="C782" s="549"/>
    </row>
    <row r="783" spans="3:3" ht="15.75" customHeight="1">
      <c r="C783" s="549"/>
    </row>
    <row r="784" spans="3:3" ht="15.75" customHeight="1">
      <c r="C784" s="549"/>
    </row>
    <row r="785" spans="3:3" ht="15.75" customHeight="1">
      <c r="C785" s="549"/>
    </row>
    <row r="786" spans="3:3" ht="15.75" customHeight="1">
      <c r="C786" s="549"/>
    </row>
    <row r="787" spans="3:3" ht="15.75" customHeight="1">
      <c r="C787" s="549"/>
    </row>
    <row r="788" spans="3:3" ht="15.75" customHeight="1">
      <c r="C788" s="549"/>
    </row>
    <row r="789" spans="3:3" ht="15.75" customHeight="1">
      <c r="C789" s="549"/>
    </row>
    <row r="790" spans="3:3" ht="15.75" customHeight="1">
      <c r="C790" s="549"/>
    </row>
    <row r="791" spans="3:3" ht="15.75" customHeight="1">
      <c r="C791" s="549"/>
    </row>
    <row r="792" spans="3:3" ht="15.75" customHeight="1">
      <c r="C792" s="549"/>
    </row>
    <row r="793" spans="3:3" ht="15.75" customHeight="1">
      <c r="C793" s="549"/>
    </row>
    <row r="794" spans="3:3" ht="15.75" customHeight="1">
      <c r="C794" s="549"/>
    </row>
    <row r="795" spans="3:3" ht="15.75" customHeight="1">
      <c r="C795" s="549"/>
    </row>
    <row r="796" spans="3:3" ht="15.75" customHeight="1">
      <c r="C796" s="549"/>
    </row>
    <row r="797" spans="3:3" ht="15.75" customHeight="1">
      <c r="C797" s="549"/>
    </row>
    <row r="798" spans="3:3" ht="15.75" customHeight="1">
      <c r="C798" s="549"/>
    </row>
    <row r="799" spans="3:3" ht="15.75" customHeight="1">
      <c r="C799" s="549"/>
    </row>
    <row r="800" spans="3:3" ht="15.75" customHeight="1">
      <c r="C800" s="549"/>
    </row>
    <row r="801" spans="3:3" ht="15.75" customHeight="1">
      <c r="C801" s="549"/>
    </row>
    <row r="802" spans="3:3" ht="15.75" customHeight="1">
      <c r="C802" s="549"/>
    </row>
    <row r="803" spans="3:3" ht="15.75" customHeight="1">
      <c r="C803" s="549"/>
    </row>
    <row r="804" spans="3:3" ht="15.75" customHeight="1">
      <c r="C804" s="549"/>
    </row>
    <row r="805" spans="3:3" ht="15.75" customHeight="1">
      <c r="C805" s="549"/>
    </row>
    <row r="806" spans="3:3" ht="15.75" customHeight="1">
      <c r="C806" s="549"/>
    </row>
    <row r="807" spans="3:3" ht="15.75" customHeight="1">
      <c r="C807" s="549"/>
    </row>
    <row r="808" spans="3:3" ht="15.75" customHeight="1">
      <c r="C808" s="549"/>
    </row>
    <row r="809" spans="3:3" ht="15.75" customHeight="1">
      <c r="C809" s="549"/>
    </row>
    <row r="810" spans="3:3" ht="15.75" customHeight="1">
      <c r="C810" s="549"/>
    </row>
    <row r="811" spans="3:3" ht="15.75" customHeight="1">
      <c r="C811" s="549"/>
    </row>
    <row r="812" spans="3:3" ht="15.75" customHeight="1">
      <c r="C812" s="549"/>
    </row>
    <row r="813" spans="3:3" ht="15.75" customHeight="1">
      <c r="C813" s="549"/>
    </row>
    <row r="814" spans="3:3" ht="15.75" customHeight="1">
      <c r="C814" s="549"/>
    </row>
    <row r="815" spans="3:3" ht="15.75" customHeight="1">
      <c r="C815" s="549"/>
    </row>
    <row r="816" spans="3:3" ht="15.75" customHeight="1">
      <c r="C816" s="549"/>
    </row>
    <row r="817" spans="3:3" ht="15.75" customHeight="1">
      <c r="C817" s="549"/>
    </row>
    <row r="818" spans="3:3" ht="15.75" customHeight="1">
      <c r="C818" s="549"/>
    </row>
    <row r="819" spans="3:3" ht="15.75" customHeight="1">
      <c r="C819" s="549"/>
    </row>
    <row r="820" spans="3:3" ht="15.75" customHeight="1">
      <c r="C820" s="549"/>
    </row>
    <row r="821" spans="3:3" ht="15.75" customHeight="1">
      <c r="C821" s="549"/>
    </row>
    <row r="822" spans="3:3" ht="15.75" customHeight="1">
      <c r="C822" s="549"/>
    </row>
    <row r="823" spans="3:3" ht="15.75" customHeight="1">
      <c r="C823" s="549"/>
    </row>
    <row r="824" spans="3:3" ht="15.75" customHeight="1">
      <c r="C824" s="549"/>
    </row>
    <row r="825" spans="3:3" ht="15.75" customHeight="1">
      <c r="C825" s="549"/>
    </row>
    <row r="826" spans="3:3" ht="15.75" customHeight="1">
      <c r="C826" s="549"/>
    </row>
    <row r="827" spans="3:3" ht="15.75" customHeight="1">
      <c r="C827" s="549"/>
    </row>
    <row r="828" spans="3:3" ht="15.75" customHeight="1">
      <c r="C828" s="549"/>
    </row>
    <row r="829" spans="3:3" ht="15.75" customHeight="1">
      <c r="C829" s="549"/>
    </row>
    <row r="830" spans="3:3" ht="15.75" customHeight="1">
      <c r="C830" s="549"/>
    </row>
    <row r="831" spans="3:3" ht="15.75" customHeight="1">
      <c r="C831" s="549"/>
    </row>
    <row r="832" spans="3:3" ht="15.75" customHeight="1">
      <c r="C832" s="549"/>
    </row>
    <row r="833" spans="3:3" ht="15.75" customHeight="1">
      <c r="C833" s="549"/>
    </row>
    <row r="834" spans="3:3" ht="15.75" customHeight="1">
      <c r="C834" s="549"/>
    </row>
    <row r="835" spans="3:3" ht="15.75" customHeight="1">
      <c r="C835" s="549"/>
    </row>
    <row r="836" spans="3:3" ht="15.75" customHeight="1">
      <c r="C836" s="549"/>
    </row>
    <row r="837" spans="3:3" ht="15.75" customHeight="1">
      <c r="C837" s="549"/>
    </row>
    <row r="838" spans="3:3" ht="15.75" customHeight="1">
      <c r="C838" s="549"/>
    </row>
    <row r="839" spans="3:3" ht="15.75" customHeight="1">
      <c r="C839" s="549"/>
    </row>
    <row r="840" spans="3:3" ht="15.75" customHeight="1">
      <c r="C840" s="549"/>
    </row>
    <row r="841" spans="3:3" ht="15.75" customHeight="1">
      <c r="C841" s="549"/>
    </row>
    <row r="842" spans="3:3" ht="15.75" customHeight="1">
      <c r="C842" s="549"/>
    </row>
    <row r="843" spans="3:3" ht="15.75" customHeight="1">
      <c r="C843" s="549"/>
    </row>
    <row r="844" spans="3:3" ht="15.75" customHeight="1">
      <c r="C844" s="549"/>
    </row>
    <row r="845" spans="3:3" ht="15.75" customHeight="1">
      <c r="C845" s="549"/>
    </row>
    <row r="846" spans="3:3" ht="15.75" customHeight="1">
      <c r="C846" s="549"/>
    </row>
    <row r="847" spans="3:3" ht="15.75" customHeight="1">
      <c r="C847" s="549"/>
    </row>
    <row r="848" spans="3:3" ht="15.75" customHeight="1">
      <c r="C848" s="549"/>
    </row>
    <row r="849" spans="3:3" ht="15.75" customHeight="1">
      <c r="C849" s="549"/>
    </row>
    <row r="850" spans="3:3" ht="15.75" customHeight="1">
      <c r="C850" s="549"/>
    </row>
    <row r="851" spans="3:3" ht="15.75" customHeight="1">
      <c r="C851" s="549"/>
    </row>
    <row r="852" spans="3:3" ht="15.75" customHeight="1">
      <c r="C852" s="549"/>
    </row>
    <row r="853" spans="3:3" ht="15.75" customHeight="1">
      <c r="C853" s="549"/>
    </row>
    <row r="854" spans="3:3" ht="15.75" customHeight="1">
      <c r="C854" s="549"/>
    </row>
    <row r="855" spans="3:3" ht="15.75" customHeight="1">
      <c r="C855" s="549"/>
    </row>
    <row r="856" spans="3:3" ht="15.75" customHeight="1">
      <c r="C856" s="549"/>
    </row>
    <row r="857" spans="3:3" ht="15.75" customHeight="1">
      <c r="C857" s="549"/>
    </row>
    <row r="858" spans="3:3" ht="15.75" customHeight="1">
      <c r="C858" s="549"/>
    </row>
    <row r="859" spans="3:3" ht="15.75" customHeight="1">
      <c r="C859" s="549"/>
    </row>
    <row r="860" spans="3:3" ht="15.75" customHeight="1">
      <c r="C860" s="549"/>
    </row>
    <row r="861" spans="3:3" ht="15.75" customHeight="1">
      <c r="C861" s="549"/>
    </row>
    <row r="862" spans="3:3" ht="15.75" customHeight="1">
      <c r="C862" s="549"/>
    </row>
    <row r="863" spans="3:3" ht="15.75" customHeight="1">
      <c r="C863" s="549"/>
    </row>
    <row r="864" spans="3:3" ht="15.75" customHeight="1">
      <c r="C864" s="549"/>
    </row>
    <row r="865" spans="3:3" ht="15.75" customHeight="1">
      <c r="C865" s="549"/>
    </row>
    <row r="866" spans="3:3" ht="15.75" customHeight="1">
      <c r="C866" s="549"/>
    </row>
    <row r="867" spans="3:3" ht="15.75" customHeight="1">
      <c r="C867" s="549"/>
    </row>
    <row r="868" spans="3:3" ht="15.75" customHeight="1">
      <c r="C868" s="549"/>
    </row>
    <row r="869" spans="3:3" ht="15.75" customHeight="1">
      <c r="C869" s="549"/>
    </row>
    <row r="870" spans="3:3" ht="15.75" customHeight="1">
      <c r="C870" s="549"/>
    </row>
    <row r="871" spans="3:3" ht="15.75" customHeight="1">
      <c r="C871" s="549"/>
    </row>
    <row r="872" spans="3:3" ht="15.75" customHeight="1">
      <c r="C872" s="549"/>
    </row>
    <row r="873" spans="3:3" ht="15.75" customHeight="1">
      <c r="C873" s="549"/>
    </row>
    <row r="874" spans="3:3" ht="15.75" customHeight="1">
      <c r="C874" s="549"/>
    </row>
    <row r="875" spans="3:3" ht="15.75" customHeight="1">
      <c r="C875" s="549"/>
    </row>
    <row r="876" spans="3:3" ht="15.75" customHeight="1">
      <c r="C876" s="549"/>
    </row>
    <row r="877" spans="3:3" ht="15.75" customHeight="1">
      <c r="C877" s="549"/>
    </row>
    <row r="878" spans="3:3" ht="15.75" customHeight="1">
      <c r="C878" s="549"/>
    </row>
    <row r="879" spans="3:3" ht="15.75" customHeight="1">
      <c r="C879" s="549"/>
    </row>
    <row r="880" spans="3:3" ht="15.75" customHeight="1">
      <c r="C880" s="549"/>
    </row>
    <row r="881" spans="3:3" ht="15.75" customHeight="1">
      <c r="C881" s="549"/>
    </row>
    <row r="882" spans="3:3" ht="15.75" customHeight="1">
      <c r="C882" s="549"/>
    </row>
    <row r="883" spans="3:3" ht="15.75" customHeight="1">
      <c r="C883" s="549"/>
    </row>
    <row r="884" spans="3:3" ht="15.75" customHeight="1">
      <c r="C884" s="549"/>
    </row>
    <row r="885" spans="3:3" ht="15.75" customHeight="1">
      <c r="C885" s="549"/>
    </row>
    <row r="886" spans="3:3" ht="15.75" customHeight="1">
      <c r="C886" s="549"/>
    </row>
    <row r="887" spans="3:3" ht="15.75" customHeight="1">
      <c r="C887" s="549"/>
    </row>
    <row r="888" spans="3:3" ht="15.75" customHeight="1">
      <c r="C888" s="549"/>
    </row>
    <row r="889" spans="3:3" ht="15.75" customHeight="1">
      <c r="C889" s="549"/>
    </row>
    <row r="890" spans="3:3" ht="15.75" customHeight="1">
      <c r="C890" s="549"/>
    </row>
    <row r="891" spans="3:3" ht="15.75" customHeight="1">
      <c r="C891" s="549"/>
    </row>
    <row r="892" spans="3:3" ht="15.75" customHeight="1">
      <c r="C892" s="549"/>
    </row>
    <row r="893" spans="3:3" ht="15.75" customHeight="1">
      <c r="C893" s="549"/>
    </row>
    <row r="894" spans="3:3" ht="15.75" customHeight="1">
      <c r="C894" s="549"/>
    </row>
    <row r="895" spans="3:3" ht="15.75" customHeight="1">
      <c r="C895" s="549"/>
    </row>
    <row r="896" spans="3:3" ht="15.75" customHeight="1">
      <c r="C896" s="549"/>
    </row>
    <row r="897" spans="3:3" ht="15.75" customHeight="1">
      <c r="C897" s="549"/>
    </row>
    <row r="898" spans="3:3" ht="15.75" customHeight="1">
      <c r="C898" s="549"/>
    </row>
    <row r="899" spans="3:3" ht="15.75" customHeight="1">
      <c r="C899" s="549"/>
    </row>
    <row r="900" spans="3:3" ht="15.75" customHeight="1">
      <c r="C900" s="549"/>
    </row>
    <row r="901" spans="3:3" ht="15.75" customHeight="1">
      <c r="C901" s="549"/>
    </row>
    <row r="902" spans="3:3" ht="15.75" customHeight="1">
      <c r="C902" s="549"/>
    </row>
    <row r="903" spans="3:3" ht="15.75" customHeight="1">
      <c r="C903" s="549"/>
    </row>
    <row r="904" spans="3:3" ht="15.75" customHeight="1">
      <c r="C904" s="549"/>
    </row>
    <row r="905" spans="3:3" ht="15.75" customHeight="1">
      <c r="C905" s="549"/>
    </row>
    <row r="906" spans="3:3" ht="15.75" customHeight="1">
      <c r="C906" s="549"/>
    </row>
    <row r="907" spans="3:3" ht="15.75" customHeight="1">
      <c r="C907" s="549"/>
    </row>
    <row r="908" spans="3:3" ht="15.75" customHeight="1">
      <c r="C908" s="549"/>
    </row>
    <row r="909" spans="3:3" ht="15.75" customHeight="1">
      <c r="C909" s="549"/>
    </row>
    <row r="910" spans="3:3" ht="15.75" customHeight="1">
      <c r="C910" s="549"/>
    </row>
    <row r="911" spans="3:3" ht="15.75" customHeight="1">
      <c r="C911" s="549"/>
    </row>
    <row r="912" spans="3:3" ht="15.75" customHeight="1">
      <c r="C912" s="549"/>
    </row>
    <row r="913" spans="3:3" ht="15.75" customHeight="1">
      <c r="C913" s="549"/>
    </row>
    <row r="914" spans="3:3" ht="15.75" customHeight="1">
      <c r="C914" s="549"/>
    </row>
    <row r="915" spans="3:3" ht="15.75" customHeight="1">
      <c r="C915" s="549"/>
    </row>
    <row r="916" spans="3:3" ht="15.75" customHeight="1">
      <c r="C916" s="549"/>
    </row>
    <row r="917" spans="3:3" ht="15.75" customHeight="1">
      <c r="C917" s="549"/>
    </row>
    <row r="918" spans="3:3" ht="15.75" customHeight="1">
      <c r="C918" s="549"/>
    </row>
    <row r="919" spans="3:3" ht="15.75" customHeight="1">
      <c r="C919" s="549"/>
    </row>
    <row r="920" spans="3:3" ht="15.75" customHeight="1">
      <c r="C920" s="549"/>
    </row>
    <row r="921" spans="3:3" ht="15.75" customHeight="1">
      <c r="C921" s="549"/>
    </row>
    <row r="922" spans="3:3" ht="15.75" customHeight="1">
      <c r="C922" s="549"/>
    </row>
    <row r="923" spans="3:3" ht="15.75" customHeight="1">
      <c r="C923" s="549"/>
    </row>
    <row r="924" spans="3:3" ht="15.75" customHeight="1">
      <c r="C924" s="549"/>
    </row>
    <row r="925" spans="3:3" ht="15.75" customHeight="1">
      <c r="C925" s="549"/>
    </row>
    <row r="926" spans="3:3" ht="15.75" customHeight="1">
      <c r="C926" s="549"/>
    </row>
    <row r="927" spans="3:3" ht="15.75" customHeight="1">
      <c r="C927" s="549"/>
    </row>
    <row r="928" spans="3:3" ht="15.75" customHeight="1">
      <c r="C928" s="549"/>
    </row>
    <row r="929" spans="3:3" ht="15.75" customHeight="1">
      <c r="C929" s="549"/>
    </row>
    <row r="930" spans="3:3" ht="15.75" customHeight="1">
      <c r="C930" s="549"/>
    </row>
    <row r="931" spans="3:3" ht="15.75" customHeight="1">
      <c r="C931" s="549"/>
    </row>
    <row r="932" spans="3:3" ht="15.75" customHeight="1">
      <c r="C932" s="549"/>
    </row>
    <row r="933" spans="3:3" ht="15.75" customHeight="1">
      <c r="C933" s="549"/>
    </row>
    <row r="934" spans="3:3" ht="15.75" customHeight="1">
      <c r="C934" s="549"/>
    </row>
    <row r="935" spans="3:3" ht="15.75" customHeight="1">
      <c r="C935" s="549"/>
    </row>
    <row r="936" spans="3:3" ht="15.75" customHeight="1">
      <c r="C936" s="549"/>
    </row>
    <row r="937" spans="3:3" ht="15.75" customHeight="1">
      <c r="C937" s="549"/>
    </row>
    <row r="938" spans="3:3" ht="15.75" customHeight="1">
      <c r="C938" s="549"/>
    </row>
    <row r="939" spans="3:3" ht="15.75" customHeight="1">
      <c r="C939" s="549"/>
    </row>
    <row r="940" spans="3:3" ht="15.75" customHeight="1">
      <c r="C940" s="549"/>
    </row>
    <row r="941" spans="3:3" ht="15.75" customHeight="1">
      <c r="C941" s="549"/>
    </row>
    <row r="942" spans="3:3" ht="15.75" customHeight="1">
      <c r="C942" s="549"/>
    </row>
    <row r="943" spans="3:3" ht="15.75" customHeight="1">
      <c r="C943" s="549"/>
    </row>
    <row r="944" spans="3:3" ht="15.75" customHeight="1">
      <c r="C944" s="549"/>
    </row>
    <row r="945" spans="3:3" ht="15.75" customHeight="1">
      <c r="C945" s="549"/>
    </row>
    <row r="946" spans="3:3" ht="15.75" customHeight="1">
      <c r="C946" s="549"/>
    </row>
    <row r="947" spans="3:3" ht="15.75" customHeight="1">
      <c r="C947" s="549"/>
    </row>
    <row r="948" spans="3:3" ht="15.75" customHeight="1">
      <c r="C948" s="549"/>
    </row>
    <row r="949" spans="3:3" ht="15.75" customHeight="1">
      <c r="C949" s="549"/>
    </row>
    <row r="950" spans="3:3" ht="15.75" customHeight="1">
      <c r="C950" s="549"/>
    </row>
    <row r="951" spans="3:3" ht="15.75" customHeight="1">
      <c r="C951" s="549"/>
    </row>
    <row r="952" spans="3:3" ht="15.75" customHeight="1">
      <c r="C952" s="549"/>
    </row>
    <row r="953" spans="3:3" ht="15.75" customHeight="1">
      <c r="C953" s="549"/>
    </row>
    <row r="954" spans="3:3" ht="15.75" customHeight="1">
      <c r="C954" s="549"/>
    </row>
    <row r="955" spans="3:3" ht="15.75" customHeight="1">
      <c r="C955" s="549"/>
    </row>
    <row r="956" spans="3:3" ht="15.75" customHeight="1">
      <c r="C956" s="549"/>
    </row>
    <row r="957" spans="3:3" ht="15.75" customHeight="1">
      <c r="C957" s="549"/>
    </row>
    <row r="958" spans="3:3" ht="15.75" customHeight="1">
      <c r="C958" s="549"/>
    </row>
    <row r="959" spans="3:3" ht="15.75" customHeight="1">
      <c r="C959" s="549"/>
    </row>
    <row r="960" spans="3:3" ht="15.75" customHeight="1">
      <c r="C960" s="549"/>
    </row>
    <row r="961" spans="3:3" ht="15.75" customHeight="1">
      <c r="C961" s="549"/>
    </row>
    <row r="962" spans="3:3" ht="15.75" customHeight="1">
      <c r="C962" s="549"/>
    </row>
    <row r="963" spans="3:3" ht="15.75" customHeight="1">
      <c r="C963" s="549"/>
    </row>
    <row r="964" spans="3:3" ht="15.75" customHeight="1">
      <c r="C964" s="549"/>
    </row>
    <row r="965" spans="3:3" ht="15.75" customHeight="1">
      <c r="C965" s="549"/>
    </row>
    <row r="966" spans="3:3" ht="15.75" customHeight="1">
      <c r="C966" s="549"/>
    </row>
    <row r="967" spans="3:3" ht="15.75" customHeight="1">
      <c r="C967" s="549"/>
    </row>
    <row r="968" spans="3:3" ht="15.75" customHeight="1">
      <c r="C968" s="549"/>
    </row>
    <row r="969" spans="3:3" ht="15.75" customHeight="1">
      <c r="C969" s="549"/>
    </row>
    <row r="970" spans="3:3" ht="15.75" customHeight="1">
      <c r="C970" s="549"/>
    </row>
    <row r="971" spans="3:3" ht="15.75" customHeight="1">
      <c r="C971" s="549"/>
    </row>
    <row r="972" spans="3:3" ht="15.75" customHeight="1">
      <c r="C972" s="549"/>
    </row>
    <row r="973" spans="3:3" ht="15.75" customHeight="1">
      <c r="C973" s="549"/>
    </row>
    <row r="974" spans="3:3" ht="15.75" customHeight="1">
      <c r="C974" s="549"/>
    </row>
    <row r="975" spans="3:3" ht="15.75" customHeight="1">
      <c r="C975" s="549"/>
    </row>
    <row r="976" spans="3:3" ht="15.75" customHeight="1">
      <c r="C976" s="549"/>
    </row>
    <row r="977" spans="3:3" ht="15.75" customHeight="1">
      <c r="C977" s="549"/>
    </row>
    <row r="978" spans="3:3" ht="15.75" customHeight="1">
      <c r="C978" s="549"/>
    </row>
    <row r="979" spans="3:3" ht="15.75" customHeight="1">
      <c r="C979" s="549"/>
    </row>
    <row r="980" spans="3:3" ht="15.75" customHeight="1">
      <c r="C980" s="549"/>
    </row>
    <row r="981" spans="3:3" ht="15.75" customHeight="1">
      <c r="C981" s="549"/>
    </row>
    <row r="982" spans="3:3" ht="15.75" customHeight="1">
      <c r="C982" s="549"/>
    </row>
    <row r="983" spans="3:3" ht="15.75" customHeight="1">
      <c r="C983" s="549"/>
    </row>
    <row r="984" spans="3:3" ht="15.75" customHeight="1">
      <c r="C984" s="549"/>
    </row>
    <row r="985" spans="3:3" ht="15.75" customHeight="1">
      <c r="C985" s="549"/>
    </row>
    <row r="986" spans="3:3" ht="15.75" customHeight="1">
      <c r="C986" s="549"/>
    </row>
    <row r="987" spans="3:3" ht="15.75" customHeight="1">
      <c r="C987" s="549"/>
    </row>
    <row r="988" spans="3:3" ht="15.75" customHeight="1">
      <c r="C988" s="549"/>
    </row>
    <row r="989" spans="3:3" ht="15.75" customHeight="1">
      <c r="C989" s="549"/>
    </row>
    <row r="990" spans="3:3" ht="15.75" customHeight="1">
      <c r="C990" s="549"/>
    </row>
    <row r="991" spans="3:3" ht="15.75" customHeight="1">
      <c r="C991" s="549"/>
    </row>
    <row r="992" spans="3:3" ht="15.75" customHeight="1">
      <c r="C992" s="549"/>
    </row>
    <row r="993" spans="3:3" ht="15.75" customHeight="1">
      <c r="C993" s="549"/>
    </row>
    <row r="994" spans="3:3" ht="15.75" customHeight="1">
      <c r="C994" s="549"/>
    </row>
    <row r="995" spans="3:3" ht="15.75" customHeight="1">
      <c r="C995" s="549"/>
    </row>
    <row r="996" spans="3:3" ht="15.75" customHeight="1">
      <c r="C996" s="549"/>
    </row>
    <row r="997" spans="3:3" ht="15.75" customHeight="1">
      <c r="C997" s="549"/>
    </row>
    <row r="998" spans="3:3" ht="15.75" customHeight="1">
      <c r="C998" s="549"/>
    </row>
    <row r="999" spans="3:3" ht="15.75" customHeight="1">
      <c r="C999" s="549"/>
    </row>
    <row r="1000" spans="3:3" ht="15.75" customHeight="1">
      <c r="C1000" s="549"/>
    </row>
    <row r="1001" spans="3:3" ht="15.75" customHeight="1">
      <c r="C1001" s="549"/>
    </row>
    <row r="1002" spans="3:3" ht="15.75" customHeight="1">
      <c r="C1002" s="549"/>
    </row>
    <row r="1003" spans="3:3" ht="15.75" customHeight="1">
      <c r="C1003" s="549"/>
    </row>
    <row r="1004" spans="3:3" ht="15.75" customHeight="1">
      <c r="C1004" s="549"/>
    </row>
    <row r="1005" spans="3:3" ht="15.75" customHeight="1">
      <c r="C1005" s="549"/>
    </row>
    <row r="1006" spans="3:3" ht="15.75" customHeight="1">
      <c r="C1006" s="549"/>
    </row>
    <row r="1007" spans="3:3" ht="15.75" customHeight="1">
      <c r="C1007" s="549"/>
    </row>
    <row r="1008" spans="3:3" ht="15.75" customHeight="1">
      <c r="C1008" s="549"/>
    </row>
    <row r="1009" spans="3:3" ht="15.75" customHeight="1">
      <c r="C1009" s="549"/>
    </row>
    <row r="1010" spans="3:3" ht="15.75" customHeight="1">
      <c r="C1010" s="549"/>
    </row>
    <row r="1011" spans="3:3" ht="15.75" customHeight="1">
      <c r="C1011" s="549"/>
    </row>
    <row r="1012" spans="3:3" ht="15.75" customHeight="1">
      <c r="C1012" s="549"/>
    </row>
    <row r="1013" spans="3:3" ht="15.75" customHeight="1">
      <c r="C1013" s="549"/>
    </row>
    <row r="1014" spans="3:3" ht="15.75" customHeight="1">
      <c r="C1014" s="549"/>
    </row>
    <row r="1015" spans="3:3" ht="15.75" customHeight="1">
      <c r="C1015" s="549"/>
    </row>
    <row r="1016" spans="3:3" ht="15.75" customHeight="1">
      <c r="C1016" s="549"/>
    </row>
    <row r="1017" spans="3:3" ht="15.75" customHeight="1">
      <c r="C1017" s="549"/>
    </row>
    <row r="1018" spans="3:3" ht="15.75" customHeight="1">
      <c r="C1018" s="549"/>
    </row>
    <row r="1019" spans="3:3" ht="15.75" customHeight="1">
      <c r="C1019" s="549"/>
    </row>
    <row r="1020" spans="3:3" ht="15.75" customHeight="1">
      <c r="C1020" s="549"/>
    </row>
    <row r="1021" spans="3:3" ht="15.75" customHeight="1">
      <c r="C1021" s="549"/>
    </row>
    <row r="1022" spans="3:3" ht="15.75" customHeight="1">
      <c r="C1022" s="549"/>
    </row>
    <row r="1023" spans="3:3" ht="15.75" customHeight="1">
      <c r="C1023" s="549"/>
    </row>
    <row r="1024" spans="3:3" ht="15.75" customHeight="1">
      <c r="C1024" s="549"/>
    </row>
    <row r="1025" spans="3:3" ht="15.75" customHeight="1">
      <c r="C1025" s="549"/>
    </row>
    <row r="1026" spans="3:3" ht="15.75" customHeight="1">
      <c r="C1026" s="549"/>
    </row>
    <row r="1027" spans="3:3" ht="15.75" customHeight="1">
      <c r="C1027" s="549"/>
    </row>
    <row r="1028" spans="3:3" ht="15.75" customHeight="1">
      <c r="C1028" s="549"/>
    </row>
    <row r="1029" spans="3:3" ht="15.75" customHeight="1">
      <c r="C1029" s="549"/>
    </row>
    <row r="1030" spans="3:3" ht="15.75" customHeight="1">
      <c r="C1030" s="549"/>
    </row>
    <row r="1031" spans="3:3" ht="15.75" customHeight="1">
      <c r="C1031" s="549"/>
    </row>
    <row r="1032" spans="3:3" ht="15.75" customHeight="1">
      <c r="C1032" s="549"/>
    </row>
    <row r="1033" spans="3:3" ht="15.75" customHeight="1">
      <c r="C1033" s="549"/>
    </row>
    <row r="1034" spans="3:3" ht="15.75" customHeight="1">
      <c r="C1034" s="549"/>
    </row>
    <row r="1035" spans="3:3" ht="15.75" customHeight="1">
      <c r="C1035" s="549"/>
    </row>
    <row r="1036" spans="3:3" ht="15.75" customHeight="1">
      <c r="C1036" s="549"/>
    </row>
    <row r="1037" spans="3:3" ht="15.75" customHeight="1">
      <c r="C1037" s="549"/>
    </row>
    <row r="1038" spans="3:3" ht="15.75" customHeight="1">
      <c r="C1038" s="549"/>
    </row>
    <row r="1039" spans="3:3" ht="15.75" customHeight="1">
      <c r="C1039" s="549"/>
    </row>
    <row r="1040" spans="3:3" ht="15.75" customHeight="1">
      <c r="C1040" s="549"/>
    </row>
    <row r="1041" spans="3:3" ht="15.75" customHeight="1">
      <c r="C1041" s="549"/>
    </row>
    <row r="1042" spans="3:3" ht="15.75" customHeight="1">
      <c r="C1042" s="549"/>
    </row>
    <row r="1043" spans="3:3" ht="15.75" customHeight="1">
      <c r="C1043" s="549"/>
    </row>
    <row r="1044" spans="3:3" ht="15.75" customHeight="1">
      <c r="C1044" s="549"/>
    </row>
    <row r="1045" spans="3:3" ht="15.75" customHeight="1">
      <c r="C1045" s="549"/>
    </row>
    <row r="1046" spans="3:3" ht="15.75" customHeight="1">
      <c r="C1046" s="549"/>
    </row>
    <row r="1047" spans="3:3" ht="15.75" customHeight="1">
      <c r="C1047" s="549"/>
    </row>
    <row r="1048" spans="3:3" ht="15.75" customHeight="1">
      <c r="C1048" s="549"/>
    </row>
    <row r="1049" spans="3:3" ht="15.75" customHeight="1">
      <c r="C1049" s="549"/>
    </row>
    <row r="1050" spans="3:3" ht="15.75" customHeight="1">
      <c r="C1050" s="549"/>
    </row>
    <row r="1051" spans="3:3" ht="15.75" customHeight="1">
      <c r="C1051" s="549"/>
    </row>
    <row r="1052" spans="3:3" ht="15.75" customHeight="1">
      <c r="C1052" s="549"/>
    </row>
    <row r="1053" spans="3:3" ht="15.75" customHeight="1">
      <c r="C1053" s="549"/>
    </row>
    <row r="1054" spans="3:3" ht="15.75" customHeight="1">
      <c r="C1054" s="549"/>
    </row>
    <row r="1055" spans="3:3" ht="15.75" customHeight="1">
      <c r="C1055" s="549"/>
    </row>
    <row r="1056" spans="3:3" ht="15.75" customHeight="1">
      <c r="C1056" s="549"/>
    </row>
    <row r="1057" spans="3:3" ht="15.75" customHeight="1">
      <c r="C1057" s="549"/>
    </row>
    <row r="1058" spans="3:3" ht="15.75" customHeight="1">
      <c r="C1058" s="549"/>
    </row>
    <row r="1059" spans="3:3" ht="15.75" customHeight="1">
      <c r="C1059" s="549"/>
    </row>
    <row r="1060" spans="3:3" ht="15.75" customHeight="1">
      <c r="C1060" s="549"/>
    </row>
    <row r="1061" spans="3:3" ht="15.75" customHeight="1">
      <c r="C1061" s="549"/>
    </row>
    <row r="1062" spans="3:3" ht="15.75" customHeight="1">
      <c r="C1062" s="549"/>
    </row>
    <row r="1063" spans="3:3" ht="15.75" customHeight="1">
      <c r="C1063" s="549"/>
    </row>
    <row r="1064" spans="3:3" ht="15.75" customHeight="1">
      <c r="C1064" s="549"/>
    </row>
    <row r="1065" spans="3:3" ht="15.75" customHeight="1">
      <c r="C1065" s="549"/>
    </row>
    <row r="1066" spans="3:3" ht="15.75" customHeight="1">
      <c r="C1066" s="549"/>
    </row>
    <row r="1067" spans="3:3" ht="15.75" customHeight="1">
      <c r="C1067" s="549"/>
    </row>
    <row r="1068" spans="3:3" ht="15.75" customHeight="1">
      <c r="C1068" s="549"/>
    </row>
    <row r="1069" spans="3:3" ht="15.75" customHeight="1">
      <c r="C1069" s="549"/>
    </row>
    <row r="1070" spans="3:3" ht="15.75" customHeight="1">
      <c r="C1070" s="549"/>
    </row>
    <row r="1071" spans="3:3" ht="15.75" customHeight="1">
      <c r="C1071" s="549"/>
    </row>
    <row r="1072" spans="3:3" ht="15.75" customHeight="1">
      <c r="C1072" s="549"/>
    </row>
    <row r="1073" spans="3:3" ht="15.75" customHeight="1">
      <c r="C1073" s="549"/>
    </row>
    <row r="1074" spans="3:3" ht="15.75" customHeight="1">
      <c r="C1074" s="549"/>
    </row>
    <row r="1075" spans="3:3" ht="15.75" customHeight="1">
      <c r="C1075" s="549"/>
    </row>
    <row r="1076" spans="3:3" ht="15.75" customHeight="1">
      <c r="C1076" s="549"/>
    </row>
    <row r="1077" spans="3:3" ht="15.75" customHeight="1">
      <c r="C1077" s="549"/>
    </row>
    <row r="1078" spans="3:3" ht="15.75" customHeight="1">
      <c r="C1078" s="549"/>
    </row>
    <row r="1079" spans="3:3" ht="15.75" customHeight="1">
      <c r="C1079" s="549"/>
    </row>
    <row r="1080" spans="3:3" ht="15.75" customHeight="1">
      <c r="C1080" s="549"/>
    </row>
    <row r="1081" spans="3:3" ht="15.75" customHeight="1">
      <c r="C1081" s="549"/>
    </row>
    <row r="1082" spans="3:3" ht="15.75" customHeight="1">
      <c r="C1082" s="549"/>
    </row>
    <row r="1083" spans="3:3" ht="15.75" customHeight="1">
      <c r="C1083" s="549"/>
    </row>
    <row r="1084" spans="3:3" ht="15.75" customHeight="1">
      <c r="C1084" s="549"/>
    </row>
    <row r="1085" spans="3:3" ht="15.75" customHeight="1">
      <c r="C1085" s="549"/>
    </row>
    <row r="1086" spans="3:3" ht="15.75" customHeight="1">
      <c r="C1086" s="549"/>
    </row>
    <row r="1087" spans="3:3" ht="15.75" customHeight="1">
      <c r="C1087" s="549"/>
    </row>
    <row r="1088" spans="3:3" ht="15.75" customHeight="1">
      <c r="C1088" s="549"/>
    </row>
    <row r="1089" spans="3:3" ht="15.75" customHeight="1">
      <c r="C1089" s="549"/>
    </row>
    <row r="1090" spans="3:3" ht="15.75" customHeight="1">
      <c r="C1090" s="549"/>
    </row>
    <row r="1091" spans="3:3" ht="15.75" customHeight="1">
      <c r="C1091" s="549"/>
    </row>
    <row r="1092" spans="3:3" ht="15.75" customHeight="1">
      <c r="C1092" s="549"/>
    </row>
    <row r="1093" spans="3:3" ht="15.75" customHeight="1">
      <c r="C1093" s="549"/>
    </row>
    <row r="1094" spans="3:3" ht="15.75" customHeight="1">
      <c r="C1094" s="549"/>
    </row>
    <row r="1095" spans="3:3" ht="15.75" customHeight="1">
      <c r="C1095" s="549"/>
    </row>
    <row r="1096" spans="3:3" ht="15.75" customHeight="1">
      <c r="C1096" s="549"/>
    </row>
    <row r="1097" spans="3:3" ht="15.75" customHeight="1">
      <c r="C1097" s="549"/>
    </row>
    <row r="1098" spans="3:3" ht="15.75" customHeight="1">
      <c r="C1098" s="549"/>
    </row>
    <row r="1099" spans="3:3" ht="15.75" customHeight="1">
      <c r="C1099" s="549"/>
    </row>
    <row r="1100" spans="3:3" ht="15.75" customHeight="1">
      <c r="C1100" s="549"/>
    </row>
    <row r="1101" spans="3:3" ht="15.75" customHeight="1">
      <c r="C1101" s="549"/>
    </row>
    <row r="1102" spans="3:3" ht="15.75" customHeight="1">
      <c r="C1102" s="549"/>
    </row>
    <row r="1103" spans="3:3" ht="15.75" customHeight="1">
      <c r="C1103" s="549"/>
    </row>
    <row r="1104" spans="3:3" ht="15.75" customHeight="1">
      <c r="C1104" s="549"/>
    </row>
    <row r="1105" spans="3:3" ht="15.75" customHeight="1">
      <c r="C1105" s="549"/>
    </row>
    <row r="1106" spans="3:3" ht="15.75" customHeight="1">
      <c r="C1106" s="549"/>
    </row>
    <row r="1107" spans="3:3" ht="15.75" customHeight="1">
      <c r="C1107" s="549"/>
    </row>
    <row r="1108" spans="3:3" ht="15.75" customHeight="1">
      <c r="C1108" s="549"/>
    </row>
    <row r="1109" spans="3:3" ht="15.75" customHeight="1">
      <c r="C1109" s="549"/>
    </row>
    <row r="1110" spans="3:3" ht="15.75" customHeight="1">
      <c r="C1110" s="549"/>
    </row>
    <row r="1111" spans="3:3" ht="15.75" customHeight="1">
      <c r="C1111" s="549"/>
    </row>
    <row r="1112" spans="3:3" ht="15.75" customHeight="1">
      <c r="C1112" s="549"/>
    </row>
    <row r="1113" spans="3:3" ht="15.75" customHeight="1">
      <c r="C1113" s="549"/>
    </row>
    <row r="1114" spans="3:3" ht="15.75" customHeight="1">
      <c r="C1114" s="549"/>
    </row>
    <row r="1115" spans="3:3" ht="15.75" customHeight="1">
      <c r="C1115" s="549"/>
    </row>
    <row r="1116" spans="3:3" ht="15.75" customHeight="1">
      <c r="C1116" s="549"/>
    </row>
    <row r="1117" spans="3:3" ht="15.75" customHeight="1">
      <c r="C1117" s="549"/>
    </row>
    <row r="1118" spans="3:3" ht="15.75" customHeight="1">
      <c r="C1118" s="549"/>
    </row>
    <row r="1119" spans="3:3" ht="15.75" customHeight="1">
      <c r="C1119" s="549"/>
    </row>
    <row r="1120" spans="3:3" ht="15.75" customHeight="1">
      <c r="C1120" s="549"/>
    </row>
    <row r="1121" spans="3:3" ht="15.75" customHeight="1">
      <c r="C1121" s="549"/>
    </row>
    <row r="1122" spans="3:3" ht="15.75" customHeight="1">
      <c r="C1122" s="549"/>
    </row>
    <row r="1123" spans="3:3" ht="15.75" customHeight="1">
      <c r="C1123" s="549"/>
    </row>
    <row r="1124" spans="3:3" ht="15.75" customHeight="1">
      <c r="C1124" s="549"/>
    </row>
    <row r="1125" spans="3:3" ht="15.75" customHeight="1">
      <c r="C1125" s="549"/>
    </row>
    <row r="1126" spans="3:3" ht="15.75" customHeight="1">
      <c r="C1126" s="549"/>
    </row>
    <row r="1127" spans="3:3" ht="15.75" customHeight="1">
      <c r="C1127" s="549"/>
    </row>
    <row r="1128" spans="3:3" ht="15.75" customHeight="1">
      <c r="C1128" s="549"/>
    </row>
    <row r="1129" spans="3:3" ht="15.75" customHeight="1">
      <c r="C1129" s="549"/>
    </row>
    <row r="1130" spans="3:3" ht="15.75" customHeight="1">
      <c r="C1130" s="549"/>
    </row>
    <row r="1131" spans="3:3" ht="15.75" customHeight="1">
      <c r="C1131" s="549"/>
    </row>
    <row r="1132" spans="3:3" ht="15.75" customHeight="1">
      <c r="C1132" s="549"/>
    </row>
    <row r="1133" spans="3:3" ht="15.75" customHeight="1">
      <c r="C1133" s="549"/>
    </row>
    <row r="1134" spans="3:3" ht="15.75" customHeight="1">
      <c r="C1134" s="549"/>
    </row>
    <row r="1135" spans="3:3" ht="15.75" customHeight="1">
      <c r="C1135" s="549"/>
    </row>
    <row r="1136" spans="3:3" ht="15.75" customHeight="1">
      <c r="C1136" s="549"/>
    </row>
    <row r="1137" spans="3:3" ht="15.75" customHeight="1">
      <c r="C1137" s="549"/>
    </row>
    <row r="1138" spans="3:3" ht="15.75" customHeight="1">
      <c r="C1138" s="549"/>
    </row>
    <row r="1139" spans="3:3" ht="15.75" customHeight="1">
      <c r="C1139" s="549"/>
    </row>
    <row r="1140" spans="3:3" ht="15.75" customHeight="1">
      <c r="C1140" s="549"/>
    </row>
    <row r="1141" spans="3:3" ht="15.75" customHeight="1">
      <c r="C1141" s="549"/>
    </row>
    <row r="1142" spans="3:3" ht="15.75" customHeight="1">
      <c r="C1142" s="549"/>
    </row>
    <row r="1143" spans="3:3" ht="15.75" customHeight="1">
      <c r="C1143" s="549"/>
    </row>
    <row r="1144" spans="3:3" ht="15.75" customHeight="1">
      <c r="C1144" s="549"/>
    </row>
    <row r="1145" spans="3:3" ht="15.75" customHeight="1">
      <c r="C1145" s="549"/>
    </row>
    <row r="1146" spans="3:3" ht="15.75" customHeight="1">
      <c r="C1146" s="549"/>
    </row>
    <row r="1147" spans="3:3" ht="15.75" customHeight="1">
      <c r="C1147" s="549"/>
    </row>
    <row r="1148" spans="3:3" ht="15.75" customHeight="1">
      <c r="C1148" s="549"/>
    </row>
    <row r="1149" spans="3:3" ht="15.75" customHeight="1">
      <c r="C1149" s="549"/>
    </row>
    <row r="1150" spans="3:3" ht="15.75" customHeight="1">
      <c r="C1150" s="549"/>
    </row>
    <row r="1151" spans="3:3" ht="15.75" customHeight="1">
      <c r="C1151" s="549"/>
    </row>
    <row r="1152" spans="3:3" ht="15.75" customHeight="1">
      <c r="C1152" s="549"/>
    </row>
    <row r="1153" spans="3:3" ht="15.75" customHeight="1">
      <c r="C1153" s="549"/>
    </row>
    <row r="1154" spans="3:3" ht="15.75" customHeight="1">
      <c r="C1154" s="549"/>
    </row>
    <row r="1155" spans="3:3" ht="15.75" customHeight="1">
      <c r="C1155" s="549"/>
    </row>
    <row r="1156" spans="3:3" ht="15.75" customHeight="1">
      <c r="C1156" s="549"/>
    </row>
    <row r="1157" spans="3:3" ht="15.75" customHeight="1">
      <c r="C1157" s="549"/>
    </row>
    <row r="1158" spans="3:3" ht="15.75" customHeight="1">
      <c r="C1158" s="549"/>
    </row>
    <row r="1159" spans="3:3" ht="15.75" customHeight="1">
      <c r="C1159" s="549"/>
    </row>
    <row r="1160" spans="3:3" ht="15.75" customHeight="1">
      <c r="C1160" s="549"/>
    </row>
    <row r="1161" spans="3:3" ht="15.75" customHeight="1">
      <c r="C1161" s="549"/>
    </row>
    <row r="1162" spans="3:3" ht="15.75" customHeight="1">
      <c r="C1162" s="549"/>
    </row>
    <row r="1163" spans="3:3" ht="15.75" customHeight="1">
      <c r="C1163" s="549"/>
    </row>
    <row r="1164" spans="3:3" ht="15.75" customHeight="1">
      <c r="C1164" s="549"/>
    </row>
    <row r="1165" spans="3:3" ht="15.75" customHeight="1">
      <c r="C1165" s="549"/>
    </row>
    <row r="1166" spans="3:3" ht="15.75" customHeight="1">
      <c r="C1166" s="549"/>
    </row>
    <row r="1167" spans="3:3" ht="15.75" customHeight="1">
      <c r="C1167" s="549"/>
    </row>
    <row r="1168" spans="3:3" ht="15.75" customHeight="1">
      <c r="C1168" s="549"/>
    </row>
    <row r="1169" spans="3:3" ht="15.75" customHeight="1">
      <c r="C1169" s="549"/>
    </row>
    <row r="1170" spans="3:3" ht="15.75" customHeight="1">
      <c r="C1170" s="549"/>
    </row>
    <row r="1171" spans="3:3" ht="15.75" customHeight="1">
      <c r="C1171" s="549"/>
    </row>
    <row r="1172" spans="3:3" ht="15.75" customHeight="1">
      <c r="C1172" s="549"/>
    </row>
    <row r="1173" spans="3:3" ht="15.75" customHeight="1">
      <c r="C1173" s="549"/>
    </row>
    <row r="1174" spans="3:3" ht="15.75" customHeight="1">
      <c r="C1174" s="549"/>
    </row>
    <row r="1175" spans="3:3" ht="15.75" customHeight="1">
      <c r="C1175" s="549"/>
    </row>
    <row r="1176" spans="3:3" ht="15.75" customHeight="1">
      <c r="C1176" s="549"/>
    </row>
    <row r="1177" spans="3:3" ht="15.75" customHeight="1">
      <c r="C1177" s="549"/>
    </row>
    <row r="1178" spans="3:3" ht="15.75" customHeight="1">
      <c r="C1178" s="549"/>
    </row>
    <row r="1179" spans="3:3" ht="15.75" customHeight="1">
      <c r="C1179" s="549"/>
    </row>
    <row r="1180" spans="3:3" ht="15.75" customHeight="1">
      <c r="C1180" s="549"/>
    </row>
    <row r="1181" spans="3:3" ht="15.75" customHeight="1">
      <c r="C1181" s="549"/>
    </row>
    <row r="1182" spans="3:3" ht="15.75" customHeight="1">
      <c r="C1182" s="549"/>
    </row>
  </sheetData>
  <mergeCells count="10">
    <mergeCell ref="AA1:AC1"/>
    <mergeCell ref="C76:G76"/>
    <mergeCell ref="AH82:AL82"/>
    <mergeCell ref="H100:W100"/>
    <mergeCell ref="C100:G100"/>
    <mergeCell ref="C218:G218"/>
    <mergeCell ref="H218:W218"/>
    <mergeCell ref="C1:G1"/>
    <mergeCell ref="H1:T1"/>
    <mergeCell ref="U1:Z1"/>
  </mergeCells>
  <conditionalFormatting sqref="D78:D82 E84:G86">
    <cfRule type="cellIs" dxfId="32" priority="6" operator="lessThan">
      <formula>0</formula>
    </cfRule>
    <cfRule type="cellIs" dxfId="31" priority="7" operator="greaterThan">
      <formula>0</formula>
    </cfRule>
  </conditionalFormatting>
  <conditionalFormatting sqref="N4:O65 N69:O72 N102:O115 Q102:Q214 N117:N212 N220:N330">
    <cfRule type="cellIs" dxfId="30" priority="11" operator="lessThanOrEqual">
      <formula>0</formula>
    </cfRule>
  </conditionalFormatting>
  <conditionalFormatting sqref="N4:O65 N69:O72 N102:O115 Q102:Q214 N117:O214 N220:O334">
    <cfRule type="cellIs" dxfId="29" priority="25" operator="greaterThan">
      <formula>0</formula>
    </cfRule>
  </conditionalFormatting>
  <conditionalFormatting sqref="N74:O74 N117:O214 N220:O334">
    <cfRule type="cellIs" dxfId="28" priority="26" operator="lessThanOrEqual">
      <formula>0</formula>
    </cfRule>
  </conditionalFormatting>
  <conditionalFormatting sqref="O4:O65 O69:O72 N74:O74 K76:M76 J76:J77 O102:O115 R102:R212 O117:O214 Q156:Q213 S156:S213 R214 O220:O334">
    <cfRule type="cellIs" dxfId="27" priority="9" operator="greaterThan">
      <formula>0</formula>
    </cfRule>
  </conditionalFormatting>
  <conditionalFormatting sqref="O4:O65 O69:O72 O74 K76:M76 J76:J77 O102:O115 R102:R212 O117:O214 Q156:Q213 S156:S213 R214 O220:O334">
    <cfRule type="cellIs" dxfId="26" priority="8" operator="lessThan">
      <formula>0</formula>
    </cfRule>
  </conditionalFormatting>
  <conditionalFormatting sqref="Q102:Q212 N4:N65 N69:N72 N102:N115 N117:N212 N220:N330">
    <cfRule type="cellIs" dxfId="25" priority="10" operator="greaterThan">
      <formula>0</formula>
    </cfRule>
  </conditionalFormatting>
  <conditionalFormatting sqref="R6 R4 R8 R10 R12 R14 R16 R18 R20 R22 R24 R26 R28 R30 R32 R34 R36 R38 R40:R60 R62 R64 R68:R72">
    <cfRule type="colorScale" priority="29">
      <colorScale>
        <cfvo type="min"/>
        <cfvo type="percentile" val="50"/>
        <cfvo type="max"/>
        <color rgb="FF57BB8A"/>
        <color rgb="FFFFFFFF"/>
        <color rgb="FFE67C73"/>
      </colorScale>
    </cfRule>
  </conditionalFormatting>
  <conditionalFormatting sqref="T6 T4 T8 T10 T12 T14 T16 T18 T20 T22 T24 T26 T28 T30 T32 T34 T36 T38 T40:T60 T62 T64 T68:T72">
    <cfRule type="colorScale" priority="30">
      <colorScale>
        <cfvo type="min"/>
        <cfvo type="max"/>
        <color rgb="FFE67C73"/>
        <color rgb="FFFFFFFF"/>
      </colorScale>
    </cfRule>
  </conditionalFormatting>
  <conditionalFormatting sqref="U4:Z4 U6:Z6 U8:Z8 U10:Z10 U12:Z12 U14:Z14 U16:Z16 U18:Z18 U20:Z20 U22:Z22 U24:Z24 U26:Z26 U28:Z28 U30:Z30 U32:Z32 U34:Z34 U36:Z36 U38:Z38 U40:Z60 U62:Z62 U64:Z64 U68:Z72 K76:M76 J76:J77 R102:R212 S156:S213 R214">
    <cfRule type="cellIs" dxfId="24" priority="28" operator="lessThanOrEqual">
      <formula>0</formula>
    </cfRule>
  </conditionalFormatting>
  <conditionalFormatting sqref="U4:Z4 U6:Z6 U8:Z8 U10:Z10 U12:Z12 U14:Z14 U16:Z16 U18:Z18 U20:Z20 U22:Z22 U24:Z24 U26:Z26 U28:Z28 U30:Z30 U32:Z32 U34:Z34 U36:Z36 U38:Z38 U40:Z60 U62:Z62 U64:Z64 U68:Z72">
    <cfRule type="cellIs" dxfId="23" priority="27" operator="greaterThan">
      <formula>0</formula>
    </cfRule>
  </conditionalFormatting>
  <conditionalFormatting sqref="U4:Z4 U6:Z6 U8:Z8 U10:Z10 U12:Z12 U14:Z14 U16:Z16 U18:Z18 U20:Z20 U22:Z22 U24:Z24 U26:Z26 U28:Z28 U30:Z30 U32:Z32 U34:Z34 U36:Z36 U38:Z38 U40:Z60 U62:Z62 U64:Z64 U69:Z69 U71:Z71">
    <cfRule type="cellIs" dxfId="22" priority="1" operator="greaterThan">
      <formula>0</formula>
    </cfRule>
    <cfRule type="cellIs" dxfId="21" priority="2" operator="lessThanOrEqual">
      <formula>0</formula>
    </cfRule>
  </conditionalFormatting>
  <conditionalFormatting sqref="AB4:AB64 U4 U6 U8 U10 U12 U14 U16 U18 U20 U22 U24 U26 U28 U30 U32 U34 U36 U38 U40:U60 U62 U64 AB68:AB69 U69 U71 AB71">
    <cfRule type="colorScale" priority="23">
      <colorScale>
        <cfvo type="min"/>
        <cfvo type="percentile" val="50"/>
        <cfvo type="max"/>
        <color rgb="FFE67C73"/>
        <color rgb="FFFFFFFF"/>
        <color rgb="FF57BB8A"/>
      </colorScale>
    </cfRule>
  </conditionalFormatting>
  <conditionalFormatting sqref="AC4 AB4:AB64 AC6 AC8 AC10 AC12 AC14 AC16 AC18 AC20 AC22 AC24 AC26 AC28 AC30 AC32 AC34 AC36 AC38 AC40:AC60 AC62 AC64 AB68:AC72">
    <cfRule type="cellIs" dxfId="20" priority="12" operator="equal">
      <formula>"Alcista"</formula>
    </cfRule>
    <cfRule type="cellIs" dxfId="19" priority="13" operator="equal">
      <formula>"Neutral"</formula>
    </cfRule>
    <cfRule type="cellIs" dxfId="18" priority="14" operator="equal">
      <formula>"Bajista"</formula>
    </cfRule>
  </conditionalFormatting>
  <conditionalFormatting sqref="AC6 AC4 AC8 AC10 AC12 AC14 AC16 AC18 AC20 AC22 AC24 AC26 AC28 AC30 AC32 AC34 AC36 AC38 AC40:AC60 AC62 AC64 AC68:AC69 AC71">
    <cfRule type="colorScale" priority="24">
      <colorScale>
        <cfvo type="min"/>
        <cfvo type="percentile" val="50"/>
        <cfvo type="max"/>
        <color rgb="FF57BB8A"/>
        <color rgb="FFFFFFFF"/>
        <color rgb="FFE67C73"/>
      </colorScale>
    </cfRule>
  </conditionalFormatting>
  <conditionalFormatting sqref="AD4 AD6 AD8 AD10 AD12 AD14 AD16 AD18 AD20 AD22 AD24 AD26 AD28 AD30 AD32 AD34 AD36 AD38 AD40:AD60 AD62 AD64 AD68:AD72">
    <cfRule type="cellIs" dxfId="17" priority="15" operator="equal">
      <formula>"Baja"</formula>
    </cfRule>
    <cfRule type="cellIs" dxfId="16" priority="16" operator="equal">
      <formula>"Media"</formula>
    </cfRule>
    <cfRule type="cellIs" dxfId="15" priority="17" operator="equal">
      <formula>"Alta"</formula>
    </cfRule>
  </conditionalFormatting>
  <conditionalFormatting sqref="AD4:AE4 AD6:AE6 AD8:AE8 AD10:AE10 AD12:AE12 AD14:AE14 AD16:AE16 AD18:AE18 AD20:AE20 AD22:AE22 AD24:AE24 AD26:AE26 AD28:AE28 AD30:AE30 AD32:AE32 AD34:AE34 AD36:AE36 AD38:AE38 AD40:AE60 AD62:AE62 AD64:AE64 AD68:AE72 AA4:AB64 AB68:AB69 AA68:AA73 AB71">
    <cfRule type="cellIs" dxfId="14" priority="20" operator="equal">
      <formula>"Atractivo"</formula>
    </cfRule>
    <cfRule type="cellIs" dxfId="13" priority="21" operator="equal">
      <formula>"Neutral"</formula>
    </cfRule>
    <cfRule type="cellIs" dxfId="12" priority="22" operator="equal">
      <formula>"Esperar"</formula>
    </cfRule>
  </conditionalFormatting>
  <conditionalFormatting sqref="AE4 AE6 AE8 AE10 AE12 AE14 AE16 AE18 AE20 AE22 AE24 AE26 AE28 AE30 AE32 AE34 AE36 AE38 AE40:AE60 AE62 AE64 AE69 AE71">
    <cfRule type="containsText" dxfId="11" priority="3" operator="containsText" text="Alta">
      <formula>NOT(ISERROR(SEARCH(("Alta"),(AE4))))</formula>
    </cfRule>
    <cfRule type="containsText" dxfId="10" priority="4" operator="containsText" text="Media">
      <formula>NOT(ISERROR(SEARCH(("Media"),(AE4))))</formula>
    </cfRule>
    <cfRule type="containsText" dxfId="9" priority="5" operator="containsText" text="Baja">
      <formula>NOT(ISERROR(SEARCH(("Baja"),(AE4))))</formula>
    </cfRule>
  </conditionalFormatting>
  <conditionalFormatting sqref="AE69:AE72 AD4 AD6 AD8 AD10 AD12 AD14 AD16 AD18 AD20 AD22 AD24 AD26 AD28 AD30 AD32 AD34 AD36 AD38 AD40:AD60 AD62 AD64 AD68:AD72 AA69:AA73">
    <cfRule type="cellIs" dxfId="8" priority="18" operator="equal">
      <formula>"Core"</formula>
    </cfRule>
    <cfRule type="cellIs" dxfId="7" priority="19" operator="equal">
      <formula>"Satellite"</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BI85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12.6640625" defaultRowHeight="15" customHeight="1"/>
  <cols>
    <col min="1" max="1" width="4.109375" customWidth="1"/>
    <col min="2" max="2" width="10.109375" customWidth="1"/>
    <col min="3" max="3" width="23.6640625" customWidth="1"/>
    <col min="4" max="4" width="8.77734375" customWidth="1"/>
    <col min="5" max="5" width="15.109375" customWidth="1"/>
    <col min="6" max="6" width="17.109375" customWidth="1"/>
    <col min="7" max="7" width="7.88671875" customWidth="1"/>
    <col min="8" max="8" width="8.88671875" customWidth="1"/>
    <col min="9" max="11" width="7.6640625" customWidth="1"/>
    <col min="12" max="12" width="6.88671875" customWidth="1"/>
    <col min="13" max="13" width="8.109375" customWidth="1"/>
    <col min="14" max="14" width="10.109375" customWidth="1"/>
    <col min="15" max="17" width="9" customWidth="1"/>
    <col min="18" max="18" width="6.33203125" customWidth="1"/>
    <col min="19" max="19" width="8" customWidth="1"/>
    <col min="20" max="20" width="14.44140625" customWidth="1"/>
    <col min="21" max="46" width="8" customWidth="1"/>
  </cols>
  <sheetData>
    <row r="1" spans="1:61" ht="15.75" customHeight="1">
      <c r="A1" s="29"/>
      <c r="B1" s="29"/>
      <c r="C1" s="864" t="s">
        <v>45</v>
      </c>
      <c r="D1" s="862"/>
      <c r="E1" s="862"/>
      <c r="F1" s="863"/>
      <c r="G1" s="871"/>
      <c r="H1" s="862"/>
      <c r="I1" s="862"/>
      <c r="J1" s="862"/>
      <c r="K1" s="863"/>
      <c r="L1" s="864" t="s">
        <v>47</v>
      </c>
      <c r="M1" s="862"/>
      <c r="N1" s="862"/>
      <c r="O1" s="862"/>
      <c r="P1" s="862"/>
      <c r="Q1" s="863"/>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row>
    <row r="2" spans="1:61" ht="48">
      <c r="A2" s="36"/>
      <c r="B2" s="37" t="s">
        <v>0</v>
      </c>
      <c r="C2" s="38" t="s">
        <v>1</v>
      </c>
      <c r="D2" s="37" t="s">
        <v>50</v>
      </c>
      <c r="E2" s="37" t="s">
        <v>2</v>
      </c>
      <c r="F2" s="37" t="s">
        <v>51</v>
      </c>
      <c r="G2" s="39" t="s">
        <v>3</v>
      </c>
      <c r="H2" s="39" t="s">
        <v>603</v>
      </c>
      <c r="I2" s="40" t="s">
        <v>604</v>
      </c>
      <c r="J2" s="40" t="s">
        <v>605</v>
      </c>
      <c r="K2" s="40" t="s">
        <v>606</v>
      </c>
      <c r="L2" s="41" t="s">
        <v>4</v>
      </c>
      <c r="M2" s="37" t="s">
        <v>66</v>
      </c>
      <c r="N2" s="37" t="s">
        <v>67</v>
      </c>
      <c r="O2" s="37" t="s">
        <v>68</v>
      </c>
      <c r="P2" s="37" t="s">
        <v>69</v>
      </c>
      <c r="Q2" s="37" t="s">
        <v>70</v>
      </c>
      <c r="R2" s="44"/>
      <c r="S2" s="44"/>
      <c r="T2" s="44"/>
      <c r="U2" s="44"/>
      <c r="V2" s="44"/>
      <c r="W2" s="44"/>
      <c r="X2" s="44"/>
      <c r="Y2" s="44"/>
      <c r="Z2" s="44"/>
      <c r="AA2" s="44"/>
      <c r="AB2" s="44"/>
      <c r="AC2" s="44"/>
      <c r="AD2" s="44"/>
      <c r="AE2" s="44"/>
      <c r="AF2" s="44"/>
      <c r="AG2" s="44"/>
      <c r="AH2" s="44"/>
      <c r="AI2" s="44"/>
      <c r="AJ2" s="44"/>
      <c r="AK2" s="44"/>
      <c r="AL2" s="44"/>
      <c r="AM2" s="44"/>
      <c r="AN2" s="36"/>
      <c r="AO2" s="36"/>
      <c r="AP2" s="36"/>
      <c r="AQ2" s="36"/>
      <c r="AR2" s="36"/>
      <c r="AS2" s="36"/>
      <c r="AT2" s="36"/>
      <c r="AU2" s="36"/>
      <c r="AV2" s="36"/>
      <c r="AW2" s="36"/>
      <c r="AX2" s="36"/>
      <c r="AY2" s="36"/>
      <c r="AZ2" s="36"/>
    </row>
    <row r="3" spans="1:61" ht="13.2">
      <c r="A3" s="256"/>
      <c r="B3" s="550" t="s">
        <v>607</v>
      </c>
      <c r="C3" s="551"/>
      <c r="D3" s="552"/>
      <c r="E3" s="553"/>
      <c r="F3" s="553"/>
      <c r="G3" s="554"/>
      <c r="H3" s="554"/>
      <c r="I3" s="554"/>
      <c r="J3" s="554"/>
      <c r="K3" s="554"/>
      <c r="L3" s="554"/>
      <c r="M3" s="554"/>
      <c r="N3" s="554"/>
      <c r="O3" s="554"/>
      <c r="P3" s="554"/>
      <c r="Q3" s="554"/>
      <c r="R3" s="242"/>
      <c r="S3" s="242"/>
      <c r="T3" s="242"/>
      <c r="U3" s="242"/>
      <c r="V3" s="29"/>
      <c r="W3" s="242"/>
      <c r="X3" s="29"/>
      <c r="Y3" s="242"/>
      <c r="Z3" s="29"/>
      <c r="AA3" s="242"/>
      <c r="AB3" s="29"/>
      <c r="AC3" s="242"/>
      <c r="AD3" s="29"/>
      <c r="AE3" s="24"/>
      <c r="AF3" s="24"/>
      <c r="AG3" s="24"/>
      <c r="AH3" s="24"/>
      <c r="AK3" s="24"/>
      <c r="AQ3" s="24"/>
      <c r="AR3" s="24"/>
      <c r="AS3" s="24"/>
      <c r="AT3" s="24"/>
      <c r="AU3" s="24"/>
      <c r="AV3" s="24"/>
      <c r="AW3" s="24"/>
      <c r="AX3" s="24"/>
      <c r="AY3" s="24"/>
      <c r="AZ3" s="24"/>
    </row>
    <row r="4" spans="1:61" ht="13.2">
      <c r="A4" s="294">
        <v>1</v>
      </c>
      <c r="B4" s="1" t="s">
        <v>174</v>
      </c>
      <c r="C4" s="233" t="str">
        <f ca="1">IFERROR(__xludf.DUMMYFUNCTION("GoogleFinance(B4,""name"")"),"Transocean LTD")</f>
        <v>Transocean LTD</v>
      </c>
      <c r="D4" s="234">
        <f ca="1">IFERROR(__xludf.DUMMYFUNCTION("GoogleFinance(B4,""marketcap"")/1000000"),3008.568803)</f>
        <v>3008.5688030000001</v>
      </c>
      <c r="E4" s="23" t="s">
        <v>15</v>
      </c>
      <c r="F4" s="23" t="s">
        <v>608</v>
      </c>
      <c r="G4" s="236">
        <f ca="1">IFERROR(__xludf.DUMMYFUNCTION("GOOGLEFINANCE(B4)"),3.19)</f>
        <v>3.19</v>
      </c>
      <c r="H4" s="228">
        <v>2.7</v>
      </c>
      <c r="I4" s="254">
        <f ca="1">H4/G4-1</f>
        <v>-0.1536050156739811</v>
      </c>
      <c r="J4" s="229">
        <v>12</v>
      </c>
      <c r="K4" s="300">
        <f ca="1">J4/G4-1</f>
        <v>2.761755485893417</v>
      </c>
      <c r="L4" s="8">
        <f ca="1">IFERROR(__xludf.DUMMYFUNCTION("GoogleFinance(B4,""changepct"")/100"),0.0095)</f>
        <v>9.4999999999999998E-3</v>
      </c>
      <c r="M4" s="8" t="e">
        <f ca="1">G4/V5-1</f>
        <v>#DIV/0!</v>
      </c>
      <c r="N4" s="8" t="e">
        <f ca="1">G4/X5-1</f>
        <v>#DIV/0!</v>
      </c>
      <c r="O4" s="8" t="e">
        <f ca="1">G4/Z5-1</f>
        <v>#DIV/0!</v>
      </c>
      <c r="P4" s="8" t="e">
        <f ca="1">G4/AB5-1</f>
        <v>#DIV/0!</v>
      </c>
      <c r="Q4" s="8">
        <f ca="1">G4/AD5-1</f>
        <v>-0.14933333333333332</v>
      </c>
      <c r="R4" s="2"/>
      <c r="S4" s="2"/>
      <c r="T4" s="2"/>
      <c r="U4" s="2" t="str">
        <f ca="1">IFERROR(__xludf.DUMMYFUNCTION("GoogleFinance(B4,""price"",today()-7)"),"#N/A")</f>
        <v>#N/A</v>
      </c>
      <c r="V4" s="29"/>
      <c r="W4" s="2" t="str">
        <f ca="1">IFERROR(__xludf.DUMMYFUNCTION("GoogleFinance(B4,""price"",today()-31)"),"#N/A")</f>
        <v>#N/A</v>
      </c>
      <c r="X4" s="29"/>
      <c r="Y4" s="2" t="str">
        <f ca="1">IFERROR(__xludf.DUMMYFUNCTION("GoogleFinance(B4,""price"",today()-91)"),"#N/A")</f>
        <v>#N/A</v>
      </c>
      <c r="Z4" s="29"/>
      <c r="AA4" s="2" t="str">
        <f ca="1">IFERROR(__xludf.DUMMYFUNCTION("GoogleFinance(B4,""price"",today()-182)"),"#N/A")</f>
        <v>#N/A</v>
      </c>
      <c r="AB4" s="29"/>
      <c r="AC4" s="2" t="str">
        <f ca="1">IFERROR(__xludf.DUMMYFUNCTION("GoogleFinance(B4,""price"",DATE(2024,12,31))"),"Date")</f>
        <v>Date</v>
      </c>
      <c r="AD4" s="29" t="str">
        <f ca="1">IFERROR(__xludf.DUMMYFUNCTION("""COMPUTED_VALUE"""),"Close")</f>
        <v>Close</v>
      </c>
      <c r="AE4" s="4"/>
      <c r="AF4" s="4"/>
      <c r="AG4" s="4"/>
      <c r="AH4" s="4"/>
      <c r="AK4" s="4"/>
      <c r="AQ4" s="4"/>
      <c r="AR4" s="4"/>
      <c r="AS4" s="4"/>
      <c r="AT4" s="4"/>
      <c r="AU4" s="4"/>
      <c r="AV4" s="4"/>
      <c r="AW4" s="4"/>
      <c r="AX4" s="4"/>
      <c r="AY4" s="4"/>
      <c r="AZ4" s="4"/>
    </row>
    <row r="5" spans="1:61" ht="13.2" hidden="1">
      <c r="A5" s="294" t="e">
        <f>1+#REF!</f>
        <v>#REF!</v>
      </c>
      <c r="B5" s="579"/>
      <c r="C5" s="580"/>
      <c r="D5" s="579"/>
      <c r="E5" s="579"/>
      <c r="F5" s="579"/>
      <c r="G5" s="581"/>
      <c r="H5" s="581"/>
      <c r="I5" s="583"/>
      <c r="J5" s="583"/>
      <c r="K5" s="583"/>
      <c r="L5" s="584"/>
      <c r="M5" s="584"/>
      <c r="N5" s="584"/>
      <c r="O5" s="584"/>
      <c r="P5" s="584"/>
      <c r="Q5" s="584"/>
      <c r="R5" s="242"/>
      <c r="S5" s="242"/>
      <c r="T5" s="242"/>
      <c r="U5" s="242"/>
      <c r="V5" s="22"/>
      <c r="W5" s="242"/>
      <c r="X5" s="22"/>
      <c r="Y5" s="242"/>
      <c r="Z5" s="22"/>
      <c r="AA5" s="242"/>
      <c r="AB5" s="22"/>
      <c r="AC5" s="242">
        <f ca="1">IFERROR(__xludf.DUMMYFUNCTION("""COMPUTED_VALUE"""),45657.6666666666)</f>
        <v>45657.666666666599</v>
      </c>
      <c r="AD5" s="22">
        <f ca="1">IFERROR(__xludf.DUMMYFUNCTION("""COMPUTED_VALUE"""),3.75)</f>
        <v>3.75</v>
      </c>
      <c r="AE5" s="24"/>
      <c r="AF5" s="24"/>
      <c r="AG5" s="24"/>
      <c r="AH5" s="24"/>
      <c r="AI5" s="587"/>
      <c r="AJ5" s="587"/>
      <c r="AK5" s="24"/>
      <c r="AL5" s="587"/>
      <c r="AM5" s="587"/>
      <c r="AN5" s="587"/>
      <c r="AO5" s="587"/>
      <c r="AP5" s="587"/>
      <c r="AQ5" s="24"/>
      <c r="AR5" s="24"/>
      <c r="AS5" s="24"/>
      <c r="AT5" s="24"/>
      <c r="AU5" s="24"/>
      <c r="AV5" s="24"/>
      <c r="AW5" s="24"/>
      <c r="AX5" s="24"/>
      <c r="AY5" s="24"/>
      <c r="AZ5" s="24"/>
      <c r="BA5" s="587"/>
      <c r="BB5" s="587"/>
      <c r="BC5" s="587"/>
      <c r="BD5" s="587"/>
      <c r="BE5" s="587"/>
      <c r="BF5" s="587"/>
      <c r="BG5" s="587"/>
      <c r="BH5" s="587"/>
      <c r="BI5" s="587"/>
    </row>
    <row r="6" spans="1:61" ht="13.2">
      <c r="A6" s="294">
        <f t="shared" ref="A6:A12" si="0">1+A4</f>
        <v>2</v>
      </c>
      <c r="B6" s="1" t="s">
        <v>297</v>
      </c>
      <c r="C6" s="233" t="str">
        <f ca="1">IFERROR(__xludf.DUMMYFUNCTION("GoogleFinance(B6,""name"")"),"Occidental Petroleum Corp")</f>
        <v>Occidental Petroleum Corp</v>
      </c>
      <c r="D6" s="234">
        <f ca="1">IFERROR(__xludf.DUMMYFUNCTION("GoogleFinance(B6,""marketcap"")/1000000"),46731.349013)</f>
        <v>46731.349012999999</v>
      </c>
      <c r="E6" s="23" t="s">
        <v>15</v>
      </c>
      <c r="F6" s="23" t="s">
        <v>608</v>
      </c>
      <c r="G6" s="236">
        <f ca="1">IFERROR(__xludf.DUMMYFUNCTION("GOOGLEFINANCE(B6)"),47.47)</f>
        <v>47.47</v>
      </c>
      <c r="H6" s="228">
        <v>37</v>
      </c>
      <c r="I6" s="254">
        <f ca="1">H6/G6-1</f>
        <v>-0.22056035390773121</v>
      </c>
      <c r="J6" s="229">
        <v>110</v>
      </c>
      <c r="K6" s="300">
        <f ca="1">J6/G6-1</f>
        <v>1.3172530018959345</v>
      </c>
      <c r="L6" s="8">
        <f ca="1">IFERROR(__xludf.DUMMYFUNCTION("GoogleFinance(B6,""changepct"")/100"),0.0102)</f>
        <v>1.0200000000000001E-2</v>
      </c>
      <c r="M6" s="8" t="e">
        <f ca="1">G6/V7-1</f>
        <v>#DIV/0!</v>
      </c>
      <c r="N6" s="8" t="e">
        <f ca="1">G6/X7-1</f>
        <v>#DIV/0!</v>
      </c>
      <c r="O6" s="8" t="e">
        <f ca="1">G6/Z7-1</f>
        <v>#DIV/0!</v>
      </c>
      <c r="P6" s="8" t="e">
        <f ca="1">G6/AB7-1</f>
        <v>#DIV/0!</v>
      </c>
      <c r="Q6" s="8">
        <f ca="1">G6/AD7-1</f>
        <v>-3.9263307022869842E-2</v>
      </c>
      <c r="R6" s="2"/>
      <c r="S6" s="2"/>
      <c r="T6" s="2"/>
      <c r="U6" s="2" t="str">
        <f ca="1">IFERROR(__xludf.DUMMYFUNCTION("GoogleFinance(B6,""price"",today()-7)"),"#N/A")</f>
        <v>#N/A</v>
      </c>
      <c r="V6" s="29"/>
      <c r="W6" s="2" t="str">
        <f ca="1">IFERROR(__xludf.DUMMYFUNCTION("GoogleFinance(B6,""price"",today()-31)"),"#N/A")</f>
        <v>#N/A</v>
      </c>
      <c r="X6" s="29"/>
      <c r="Y6" s="2" t="str">
        <f ca="1">IFERROR(__xludf.DUMMYFUNCTION("GoogleFinance(B6,""price"",today()-91)"),"#N/A")</f>
        <v>#N/A</v>
      </c>
      <c r="Z6" s="29"/>
      <c r="AA6" s="2" t="str">
        <f ca="1">IFERROR(__xludf.DUMMYFUNCTION("GoogleFinance(B6,""price"",today()-182)"),"#N/A")</f>
        <v>#N/A</v>
      </c>
      <c r="AB6" s="29"/>
      <c r="AC6" s="2" t="str">
        <f ca="1">IFERROR(__xludf.DUMMYFUNCTION("GoogleFinance(B6,""price"",DATE(2024,12,31))"),"Date")</f>
        <v>Date</v>
      </c>
      <c r="AD6" s="29" t="str">
        <f ca="1">IFERROR(__xludf.DUMMYFUNCTION("""COMPUTED_VALUE"""),"Close")</f>
        <v>Close</v>
      </c>
      <c r="AE6" s="4"/>
      <c r="AF6" s="4"/>
      <c r="AG6" s="4"/>
      <c r="AH6" s="4"/>
      <c r="AK6" s="4"/>
      <c r="AQ6" s="4"/>
      <c r="AR6" s="4"/>
      <c r="AS6" s="4"/>
      <c r="AT6" s="4"/>
      <c r="AU6" s="4"/>
      <c r="AV6" s="4"/>
      <c r="AW6" s="4"/>
      <c r="AX6" s="4"/>
      <c r="AY6" s="4"/>
      <c r="AZ6" s="4"/>
    </row>
    <row r="7" spans="1:61" ht="13.2" hidden="1">
      <c r="A7" s="294" t="e">
        <f t="shared" si="0"/>
        <v>#REF!</v>
      </c>
      <c r="B7" s="579"/>
      <c r="C7" s="580"/>
      <c r="D7" s="579"/>
      <c r="E7" s="579"/>
      <c r="F7" s="579"/>
      <c r="G7" s="581"/>
      <c r="H7" s="581"/>
      <c r="I7" s="583"/>
      <c r="J7" s="583"/>
      <c r="K7" s="583"/>
      <c r="L7" s="584"/>
      <c r="M7" s="584"/>
      <c r="N7" s="584"/>
      <c r="O7" s="584"/>
      <c r="P7" s="584"/>
      <c r="Q7" s="584"/>
      <c r="R7" s="242"/>
      <c r="S7" s="242"/>
      <c r="T7" s="242"/>
      <c r="U7" s="242"/>
      <c r="V7" s="22"/>
      <c r="W7" s="242"/>
      <c r="X7" s="22"/>
      <c r="Y7" s="242"/>
      <c r="Z7" s="22"/>
      <c r="AA7" s="242"/>
      <c r="AB7" s="22"/>
      <c r="AC7" s="242">
        <f ca="1">IFERROR(__xludf.DUMMYFUNCTION("""COMPUTED_VALUE"""),45657.6666666666)</f>
        <v>45657.666666666599</v>
      </c>
      <c r="AD7" s="22">
        <f ca="1">IFERROR(__xludf.DUMMYFUNCTION("""COMPUTED_VALUE"""),49.41)</f>
        <v>49.41</v>
      </c>
      <c r="AE7" s="24"/>
      <c r="AF7" s="24"/>
      <c r="AG7" s="24"/>
      <c r="AH7" s="24"/>
      <c r="AI7" s="587"/>
      <c r="AJ7" s="587"/>
      <c r="AK7" s="24"/>
      <c r="AL7" s="587"/>
      <c r="AM7" s="587"/>
      <c r="AN7" s="587"/>
      <c r="AO7" s="587"/>
      <c r="AP7" s="587"/>
      <c r="AQ7" s="24"/>
      <c r="AR7" s="24"/>
      <c r="AS7" s="24"/>
      <c r="AT7" s="24"/>
      <c r="AU7" s="24"/>
      <c r="AV7" s="24"/>
      <c r="AW7" s="24"/>
      <c r="AX7" s="24"/>
      <c r="AY7" s="24"/>
      <c r="AZ7" s="24"/>
      <c r="BA7" s="587"/>
      <c r="BB7" s="587"/>
      <c r="BC7" s="587"/>
      <c r="BD7" s="587"/>
      <c r="BE7" s="587"/>
      <c r="BF7" s="587"/>
      <c r="BG7" s="587"/>
      <c r="BH7" s="587"/>
      <c r="BI7" s="587"/>
    </row>
    <row r="8" spans="1:61" ht="13.2">
      <c r="A8" s="294">
        <f t="shared" si="0"/>
        <v>3</v>
      </c>
      <c r="B8" s="1" t="s">
        <v>275</v>
      </c>
      <c r="C8" s="233" t="str">
        <f ca="1">IFERROR(__xludf.DUMMYFUNCTION("GoogleFinance(B8,""name"")"),"NVIDIA Corp")</f>
        <v>NVIDIA Corp</v>
      </c>
      <c r="D8" s="234">
        <f ca="1">IFERROR(__xludf.DUMMYFUNCTION("GoogleFinance(B8,""marketcap"")/1000000"),4330017.059326)</f>
        <v>4330017.0593259996</v>
      </c>
      <c r="E8" s="23" t="s">
        <v>7</v>
      </c>
      <c r="F8" s="23" t="s">
        <v>23</v>
      </c>
      <c r="G8" s="236">
        <f ca="1">IFERROR(__xludf.DUMMYFUNCTION("GOOGLEFINANCE(B8)"),178.19)</f>
        <v>178.19</v>
      </c>
      <c r="H8" s="228">
        <v>97</v>
      </c>
      <c r="I8" s="254">
        <f ca="1">H8/G8-1</f>
        <v>-0.45563724114709014</v>
      </c>
      <c r="J8" s="229">
        <v>170</v>
      </c>
      <c r="K8" s="300">
        <f ca="1">J8/G8-1</f>
        <v>-4.5962175206240463E-2</v>
      </c>
      <c r="L8" s="8">
        <f ca="1">IFERROR(__xludf.DUMMYFUNCTION("GoogleFinance(B8,""changepct"")/100"),0.0028)</f>
        <v>2.8E-3</v>
      </c>
      <c r="M8" s="8" t="e">
        <f ca="1">G8/V9-1</f>
        <v>#DIV/0!</v>
      </c>
      <c r="N8" s="8" t="e">
        <f ca="1">G8/X9-1</f>
        <v>#DIV/0!</v>
      </c>
      <c r="O8" s="8" t="e">
        <f ca="1">G8/Z9-1</f>
        <v>#DIV/0!</v>
      </c>
      <c r="P8" s="8" t="e">
        <f ca="1">G8/AB9-1</f>
        <v>#DIV/0!</v>
      </c>
      <c r="Q8" s="8">
        <f ca="1">G8/AD9-1</f>
        <v>0.32690446049594168</v>
      </c>
      <c r="R8" s="2"/>
      <c r="S8" s="2"/>
      <c r="T8" s="2"/>
      <c r="U8" s="2" t="str">
        <f ca="1">IFERROR(__xludf.DUMMYFUNCTION("GoogleFinance(B8,""price"",today()-7)"),"#N/A")</f>
        <v>#N/A</v>
      </c>
      <c r="V8" s="29"/>
      <c r="W8" s="2" t="str">
        <f ca="1">IFERROR(__xludf.DUMMYFUNCTION("GoogleFinance(B8,""price"",today()-31)"),"#N/A")</f>
        <v>#N/A</v>
      </c>
      <c r="X8" s="29"/>
      <c r="Y8" s="2" t="str">
        <f ca="1">IFERROR(__xludf.DUMMYFUNCTION("GoogleFinance(B8,""price"",today()-91)"),"#N/A")</f>
        <v>#N/A</v>
      </c>
      <c r="Z8" s="29"/>
      <c r="AA8" s="2" t="str">
        <f ca="1">IFERROR(__xludf.DUMMYFUNCTION("GoogleFinance(B8,""price"",today()-182)"),"#N/A")</f>
        <v>#N/A</v>
      </c>
      <c r="AB8" s="29"/>
      <c r="AC8" s="2" t="str">
        <f ca="1">IFERROR(__xludf.DUMMYFUNCTION("GoogleFinance(B8,""price"",DATE(2024,12,31))"),"Date")</f>
        <v>Date</v>
      </c>
      <c r="AD8" s="29" t="str">
        <f ca="1">IFERROR(__xludf.DUMMYFUNCTION("""COMPUTED_VALUE"""),"Close")</f>
        <v>Close</v>
      </c>
      <c r="AE8" s="4"/>
      <c r="AF8" s="4"/>
      <c r="AG8" s="4"/>
      <c r="AH8" s="4"/>
      <c r="AK8" s="4"/>
      <c r="AQ8" s="4"/>
      <c r="AR8" s="4"/>
      <c r="AS8" s="4"/>
      <c r="AT8" s="4"/>
      <c r="AU8" s="4"/>
      <c r="AV8" s="4"/>
      <c r="AW8" s="4"/>
      <c r="AX8" s="4"/>
      <c r="AY8" s="4"/>
      <c r="AZ8" s="4"/>
    </row>
    <row r="9" spans="1:61" ht="13.2" hidden="1">
      <c r="A9" s="294" t="e">
        <f t="shared" si="0"/>
        <v>#REF!</v>
      </c>
      <c r="B9" s="579"/>
      <c r="C9" s="580"/>
      <c r="D9" s="579"/>
      <c r="E9" s="579"/>
      <c r="F9" s="579"/>
      <c r="G9" s="581"/>
      <c r="H9" s="581"/>
      <c r="I9" s="583"/>
      <c r="J9" s="583"/>
      <c r="K9" s="583"/>
      <c r="L9" s="584"/>
      <c r="M9" s="584"/>
      <c r="N9" s="584"/>
      <c r="O9" s="584"/>
      <c r="P9" s="584"/>
      <c r="Q9" s="584"/>
      <c r="R9" s="242"/>
      <c r="S9" s="242"/>
      <c r="T9" s="242"/>
      <c r="U9" s="242"/>
      <c r="V9" s="22"/>
      <c r="W9" s="242"/>
      <c r="X9" s="22"/>
      <c r="Y9" s="242"/>
      <c r="Z9" s="22"/>
      <c r="AA9" s="242"/>
      <c r="AB9" s="22"/>
      <c r="AC9" s="242">
        <f ca="1">IFERROR(__xludf.DUMMYFUNCTION("""COMPUTED_VALUE"""),45657.6666666666)</f>
        <v>45657.666666666599</v>
      </c>
      <c r="AD9" s="22">
        <f ca="1">IFERROR(__xludf.DUMMYFUNCTION("""COMPUTED_VALUE"""),134.29)</f>
        <v>134.29</v>
      </c>
      <c r="AE9" s="24"/>
      <c r="AF9" s="24"/>
      <c r="AG9" s="24"/>
      <c r="AH9" s="24"/>
      <c r="AI9" s="587"/>
      <c r="AJ9" s="587"/>
      <c r="AK9" s="24"/>
      <c r="AL9" s="587"/>
      <c r="AM9" s="587"/>
      <c r="AN9" s="587"/>
      <c r="AO9" s="587"/>
      <c r="AP9" s="587"/>
      <c r="AQ9" s="24"/>
      <c r="AR9" s="24"/>
      <c r="AS9" s="24"/>
      <c r="AT9" s="24"/>
      <c r="AU9" s="24"/>
      <c r="AV9" s="24"/>
      <c r="AW9" s="24"/>
      <c r="AX9" s="24"/>
      <c r="AY9" s="24"/>
      <c r="AZ9" s="24"/>
      <c r="BA9" s="587"/>
      <c r="BB9" s="587"/>
      <c r="BC9" s="587"/>
      <c r="BD9" s="587"/>
      <c r="BE9" s="587"/>
      <c r="BF9" s="587"/>
      <c r="BG9" s="587"/>
      <c r="BH9" s="587"/>
      <c r="BI9" s="587"/>
    </row>
    <row r="10" spans="1:61" ht="13.2">
      <c r="A10" s="294">
        <f t="shared" si="0"/>
        <v>4</v>
      </c>
      <c r="B10" s="1" t="s">
        <v>16</v>
      </c>
      <c r="C10" s="233" t="str">
        <f ca="1">IFERROR(__xludf.DUMMYFUNCTION("GoogleFinance(B10,""name"")"),"Health Care Select Sector SPDR Fund")</f>
        <v>Health Care Select Sector SPDR Fund</v>
      </c>
      <c r="D10" s="234" t="str">
        <f ca="1">IFERROR(__xludf.DUMMYFUNCTION("GoogleFinance(B10,""marketcap"")/1000000"),"#N/A")</f>
        <v>#N/A</v>
      </c>
      <c r="E10" s="229" t="s">
        <v>17</v>
      </c>
      <c r="F10" s="229" t="s">
        <v>17</v>
      </c>
      <c r="G10" s="236">
        <f ca="1">IFERROR(__xludf.DUMMYFUNCTION("GOOGLEFINANCE(B10)"),135.5)</f>
        <v>135.5</v>
      </c>
      <c r="H10" s="228">
        <v>133</v>
      </c>
      <c r="I10" s="254">
        <f ca="1">H10/G10-1</f>
        <v>-1.8450184501844991E-2</v>
      </c>
      <c r="J10" s="229">
        <v>175</v>
      </c>
      <c r="K10" s="300">
        <f ca="1">J10/G10-1</f>
        <v>0.29151291512915134</v>
      </c>
      <c r="L10" s="8">
        <f ca="1">IFERROR(__xludf.DUMMYFUNCTION("GoogleFinance(B10,""changepct"")/100"),0.0102)</f>
        <v>1.0200000000000001E-2</v>
      </c>
      <c r="M10" s="8" t="e">
        <f ca="1">G10/V11-1</f>
        <v>#DIV/0!</v>
      </c>
      <c r="N10" s="8" t="e">
        <f ca="1">G10/X11-1</f>
        <v>#DIV/0!</v>
      </c>
      <c r="O10" s="8" t="e">
        <f ca="1">G10/Z11-1</f>
        <v>#DIV/0!</v>
      </c>
      <c r="P10" s="8" t="e">
        <f ca="1">G10/AB11-1</f>
        <v>#DIV/0!</v>
      </c>
      <c r="Q10" s="8">
        <f ca="1">G10/AD11-1</f>
        <v>-1.5046885222068762E-2</v>
      </c>
      <c r="R10" s="2"/>
      <c r="S10" s="2"/>
      <c r="T10" s="2"/>
      <c r="U10" s="2" t="str">
        <f ca="1">IFERROR(__xludf.DUMMYFUNCTION("GoogleFinance(B10,""price"",today()-7)"),"#N/A")</f>
        <v>#N/A</v>
      </c>
      <c r="V10" s="22"/>
      <c r="W10" s="2" t="str">
        <f ca="1">IFERROR(__xludf.DUMMYFUNCTION("GoogleFinance(B10,""price"",today()-31)"),"#N/A")</f>
        <v>#N/A</v>
      </c>
      <c r="X10" s="22"/>
      <c r="Y10" s="2" t="str">
        <f ca="1">IFERROR(__xludf.DUMMYFUNCTION("GoogleFinance(B10,""price"",today()-91)"),"#N/A")</f>
        <v>#N/A</v>
      </c>
      <c r="Z10" s="22"/>
      <c r="AA10" s="2" t="str">
        <f ca="1">IFERROR(__xludf.DUMMYFUNCTION("GoogleFinance(B10,""price"",today()-182)"),"#N/A")</f>
        <v>#N/A</v>
      </c>
      <c r="AB10" s="22"/>
      <c r="AC10" s="2" t="str">
        <f ca="1">IFERROR(__xludf.DUMMYFUNCTION("GoogleFinance(B10,""price"",DATE(2024,12,31))"),"Date")</f>
        <v>Date</v>
      </c>
      <c r="AD10" s="22" t="str">
        <f ca="1">IFERROR(__xludf.DUMMYFUNCTION("""COMPUTED_VALUE"""),"Close")</f>
        <v>Close</v>
      </c>
      <c r="AE10" s="4"/>
      <c r="AF10" s="4"/>
      <c r="AG10" s="4"/>
      <c r="AH10" s="4"/>
      <c r="AI10" s="587"/>
      <c r="AJ10" s="587"/>
      <c r="AK10" s="4"/>
      <c r="AL10" s="587"/>
      <c r="AM10" s="587"/>
      <c r="AN10" s="587"/>
      <c r="AO10" s="587"/>
      <c r="AP10" s="587"/>
      <c r="AQ10" s="4"/>
      <c r="AR10" s="4"/>
      <c r="AS10" s="4"/>
      <c r="AT10" s="4"/>
      <c r="AU10" s="4"/>
      <c r="AV10" s="4"/>
      <c r="AW10" s="4"/>
      <c r="AX10" s="4"/>
      <c r="AY10" s="4"/>
      <c r="AZ10" s="4"/>
      <c r="BA10" s="587"/>
      <c r="BB10" s="587"/>
      <c r="BC10" s="587"/>
      <c r="BD10" s="587"/>
      <c r="BE10" s="587"/>
      <c r="BF10" s="587"/>
      <c r="BG10" s="587"/>
      <c r="BH10" s="587"/>
      <c r="BI10" s="587"/>
    </row>
    <row r="11" spans="1:61" ht="13.2" hidden="1">
      <c r="A11" s="294" t="e">
        <f t="shared" si="0"/>
        <v>#REF!</v>
      </c>
      <c r="B11" s="848"/>
      <c r="C11" s="849"/>
      <c r="D11" s="850"/>
      <c r="E11" s="851"/>
      <c r="F11" s="851"/>
      <c r="G11" s="230"/>
      <c r="H11" s="230"/>
      <c r="I11" s="852"/>
      <c r="J11" s="852"/>
      <c r="K11" s="852"/>
      <c r="L11" s="853"/>
      <c r="M11" s="854"/>
      <c r="N11" s="854"/>
      <c r="O11" s="854"/>
      <c r="P11" s="854"/>
      <c r="Q11" s="854"/>
      <c r="R11" s="242"/>
      <c r="S11" s="242"/>
      <c r="T11" s="242"/>
      <c r="U11" s="242"/>
      <c r="V11" s="22"/>
      <c r="W11" s="242"/>
      <c r="X11" s="22"/>
      <c r="Y11" s="242"/>
      <c r="Z11" s="22"/>
      <c r="AA11" s="242"/>
      <c r="AB11" s="22"/>
      <c r="AC11" s="242">
        <f ca="1">IFERROR(__xludf.DUMMYFUNCTION("""COMPUTED_VALUE"""),45657.6666666666)</f>
        <v>45657.666666666599</v>
      </c>
      <c r="AD11" s="22">
        <f ca="1">IFERROR(__xludf.DUMMYFUNCTION("""COMPUTED_VALUE"""),137.57)</f>
        <v>137.57</v>
      </c>
      <c r="AE11" s="24"/>
      <c r="AF11" s="24"/>
      <c r="AG11" s="24"/>
      <c r="AH11" s="24"/>
      <c r="AI11" s="587"/>
      <c r="AJ11" s="587"/>
      <c r="AK11" s="24"/>
      <c r="AL11" s="587"/>
      <c r="AM11" s="587"/>
      <c r="AN11" s="587"/>
      <c r="AO11" s="587"/>
      <c r="AP11" s="587"/>
      <c r="AQ11" s="24"/>
      <c r="AR11" s="24"/>
      <c r="AS11" s="24"/>
      <c r="AT11" s="24"/>
      <c r="AU11" s="24"/>
      <c r="AV11" s="24"/>
      <c r="AW11" s="24"/>
      <c r="AX11" s="24"/>
      <c r="AY11" s="24"/>
      <c r="AZ11" s="24"/>
      <c r="BA11" s="587"/>
      <c r="BB11" s="587"/>
      <c r="BC11" s="587"/>
      <c r="BD11" s="587"/>
      <c r="BE11" s="587"/>
      <c r="BF11" s="587"/>
      <c r="BG11" s="587"/>
      <c r="BH11" s="587"/>
      <c r="BI11" s="587"/>
    </row>
    <row r="12" spans="1:61" ht="13.2">
      <c r="A12" s="294">
        <f t="shared" si="0"/>
        <v>5</v>
      </c>
      <c r="B12" s="1" t="s">
        <v>609</v>
      </c>
      <c r="C12" s="233" t="str">
        <f ca="1">IFERROR(__xludf.DUMMYFUNCTION("GoogleFinance(B12,""name"")"),"Eli Lilly And Co")</f>
        <v>Eli Lilly And Co</v>
      </c>
      <c r="D12" s="234">
        <f ca="1">IFERROR(__xludf.DUMMYFUNCTION("GoogleFinance(B12,""marketcap"")/1000000"),685745.789075)</f>
        <v>685745.78907499998</v>
      </c>
      <c r="E12" s="229" t="s">
        <v>17</v>
      </c>
      <c r="F12" s="229" t="s">
        <v>301</v>
      </c>
      <c r="G12" s="236">
        <f ca="1">IFERROR(__xludf.DUMMYFUNCTION("GOOGLEFINANCE(B12)"),724.54)</f>
        <v>724.54</v>
      </c>
      <c r="H12" s="228">
        <v>825</v>
      </c>
      <c r="I12" s="254">
        <f ca="1">H12/G12-1</f>
        <v>0.13865349049051812</v>
      </c>
      <c r="J12" s="229">
        <v>1150</v>
      </c>
      <c r="K12" s="300">
        <f ca="1">J12/G12-1</f>
        <v>0.58721395644132834</v>
      </c>
      <c r="L12" s="8">
        <f ca="1">IFERROR(__xludf.DUMMYFUNCTION("GoogleFinance(B12,""changepct"")/100"),0.0139)</f>
        <v>1.3899999999999999E-2</v>
      </c>
      <c r="M12" s="8" t="e">
        <f ca="1">G12/V13-1</f>
        <v>#DIV/0!</v>
      </c>
      <c r="N12" s="8" t="e">
        <f ca="1">G12/X13-1</f>
        <v>#DIV/0!</v>
      </c>
      <c r="O12" s="8" t="e">
        <f ca="1">G12/Z13-1</f>
        <v>#DIV/0!</v>
      </c>
      <c r="P12" s="8" t="e">
        <f ca="1">G12/AB13-1</f>
        <v>#DIV/0!</v>
      </c>
      <c r="Q12" s="8">
        <f ca="1">G12/AD13-1</f>
        <v>-6.1476683937823906E-2</v>
      </c>
      <c r="R12" s="2"/>
      <c r="S12" s="2"/>
      <c r="T12" s="2"/>
      <c r="U12" s="2" t="str">
        <f ca="1">IFERROR(__xludf.DUMMYFUNCTION("GoogleFinance(B12,""price"",today()-7)"),"#N/A")</f>
        <v>#N/A</v>
      </c>
      <c r="V12" s="22"/>
      <c r="W12" s="2" t="str">
        <f ca="1">IFERROR(__xludf.DUMMYFUNCTION("GoogleFinance(B12,""price"",today()-31)"),"#N/A")</f>
        <v>#N/A</v>
      </c>
      <c r="X12" s="22"/>
      <c r="Y12" s="2" t="str">
        <f ca="1">IFERROR(__xludf.DUMMYFUNCTION("GoogleFinance(B12,""price"",today()-91)"),"#N/A")</f>
        <v>#N/A</v>
      </c>
      <c r="Z12" s="22"/>
      <c r="AA12" s="2" t="str">
        <f ca="1">IFERROR(__xludf.DUMMYFUNCTION("GoogleFinance(B12,""price"",today()-182)"),"#N/A")</f>
        <v>#N/A</v>
      </c>
      <c r="AB12" s="22"/>
      <c r="AC12" s="2" t="str">
        <f ca="1">IFERROR(__xludf.DUMMYFUNCTION("GoogleFinance(B12,""price"",DATE(2024,12,31))"),"Date")</f>
        <v>Date</v>
      </c>
      <c r="AD12" s="22" t="str">
        <f ca="1">IFERROR(__xludf.DUMMYFUNCTION("""COMPUTED_VALUE"""),"Close")</f>
        <v>Close</v>
      </c>
      <c r="AE12" s="4"/>
      <c r="AF12" s="4"/>
      <c r="AG12" s="4"/>
      <c r="AH12" s="4"/>
      <c r="AI12" s="587"/>
      <c r="AJ12" s="587"/>
      <c r="AK12" s="4"/>
      <c r="AL12" s="587"/>
      <c r="AM12" s="587"/>
      <c r="AN12" s="587"/>
      <c r="AO12" s="587"/>
      <c r="AP12" s="587"/>
      <c r="AQ12" s="4"/>
      <c r="AR12" s="4"/>
      <c r="AS12" s="4"/>
      <c r="AT12" s="4"/>
      <c r="AU12" s="4"/>
      <c r="AV12" s="4"/>
      <c r="AW12" s="4"/>
      <c r="AX12" s="4"/>
      <c r="AY12" s="4"/>
      <c r="AZ12" s="4"/>
      <c r="BA12" s="587"/>
      <c r="BB12" s="587"/>
      <c r="BC12" s="587"/>
      <c r="BD12" s="587"/>
      <c r="BE12" s="587"/>
      <c r="BF12" s="587"/>
      <c r="BG12" s="587"/>
      <c r="BH12" s="587"/>
      <c r="BI12" s="587"/>
    </row>
    <row r="13" spans="1:61" ht="13.2" hidden="1">
      <c r="A13" s="256"/>
      <c r="B13" s="848"/>
      <c r="C13" s="849"/>
      <c r="D13" s="850"/>
      <c r="E13" s="851"/>
      <c r="F13" s="851"/>
      <c r="G13" s="230"/>
      <c r="H13" s="230"/>
      <c r="I13" s="852"/>
      <c r="J13" s="852"/>
      <c r="K13" s="852"/>
      <c r="L13" s="853"/>
      <c r="M13" s="854"/>
      <c r="N13" s="854"/>
      <c r="O13" s="854"/>
      <c r="P13" s="854"/>
      <c r="Q13" s="854"/>
      <c r="R13" s="242"/>
      <c r="S13" s="242"/>
      <c r="T13" s="242"/>
      <c r="U13" s="242"/>
      <c r="V13" s="22"/>
      <c r="W13" s="242"/>
      <c r="X13" s="22"/>
      <c r="Y13" s="242"/>
      <c r="Z13" s="22"/>
      <c r="AA13" s="242"/>
      <c r="AB13" s="22"/>
      <c r="AC13" s="242">
        <f ca="1">IFERROR(__xludf.DUMMYFUNCTION("""COMPUTED_VALUE"""),45657.6666666666)</f>
        <v>45657.666666666599</v>
      </c>
      <c r="AD13" s="22">
        <f ca="1">IFERROR(__xludf.DUMMYFUNCTION("""COMPUTED_VALUE"""),772)</f>
        <v>772</v>
      </c>
      <c r="AE13" s="24"/>
      <c r="AF13" s="24"/>
      <c r="AG13" s="24"/>
      <c r="AH13" s="24"/>
      <c r="AI13" s="587"/>
      <c r="AJ13" s="587"/>
      <c r="AK13" s="24"/>
      <c r="AL13" s="587"/>
      <c r="AM13" s="587"/>
      <c r="AN13" s="587"/>
      <c r="AO13" s="587"/>
      <c r="AP13" s="587"/>
      <c r="AQ13" s="24"/>
      <c r="AR13" s="24"/>
      <c r="AS13" s="24"/>
      <c r="AT13" s="24"/>
      <c r="AU13" s="24"/>
      <c r="AV13" s="24"/>
      <c r="AW13" s="24"/>
      <c r="AX13" s="24"/>
      <c r="AY13" s="24"/>
      <c r="AZ13" s="24"/>
      <c r="BA13" s="587"/>
      <c r="BB13" s="587"/>
      <c r="BC13" s="587"/>
      <c r="BD13" s="587"/>
      <c r="BE13" s="587"/>
      <c r="BF13" s="587"/>
      <c r="BG13" s="587"/>
      <c r="BH13" s="587"/>
      <c r="BI13" s="587"/>
    </row>
    <row r="14" spans="1:61" ht="13.2">
      <c r="A14" s="294">
        <f>1+A12</f>
        <v>6</v>
      </c>
      <c r="B14" s="1" t="s">
        <v>19</v>
      </c>
      <c r="C14" s="233" t="str">
        <f ca="1">IFERROR(__xludf.DUMMYFUNCTION("GoogleFinance(B14,""name"")"),"Utilities Select Sector SPDR Fund")</f>
        <v>Utilities Select Sector SPDR Fund</v>
      </c>
      <c r="D14" s="234">
        <f ca="1">IFERROR(__xludf.DUMMYFUNCTION("GoogleFinance(B14,""marketcap"")/1000000"),14850.942203)</f>
        <v>14850.942203000001</v>
      </c>
      <c r="E14" s="229" t="s">
        <v>20</v>
      </c>
      <c r="F14" s="229" t="s">
        <v>20</v>
      </c>
      <c r="G14" s="236">
        <f ca="1">IFERROR(__xludf.DUMMYFUNCTION("GOOGLEFINANCE(B14)"),86.81)</f>
        <v>86.81</v>
      </c>
      <c r="H14" s="228">
        <v>76</v>
      </c>
      <c r="I14" s="254">
        <f ca="1">H14/G14-1</f>
        <v>-0.12452482432899437</v>
      </c>
      <c r="J14" s="229">
        <v>86</v>
      </c>
      <c r="K14" s="300">
        <f ca="1">J14/G14-1</f>
        <v>-9.3307222670199197E-3</v>
      </c>
      <c r="L14" s="8">
        <f ca="1">IFERROR(__xludf.DUMMYFUNCTION("GoogleFinance(B14,""changepct"")/100"),0.0163)</f>
        <v>1.6299999999999999E-2</v>
      </c>
      <c r="M14" s="8" t="e">
        <f ca="1">G14/V15-1</f>
        <v>#DIV/0!</v>
      </c>
      <c r="N14" s="8" t="e">
        <f ca="1">G14/X15-1</f>
        <v>#DIV/0!</v>
      </c>
      <c r="O14" s="8" t="e">
        <f ca="1">G14/Z15-1</f>
        <v>#DIV/0!</v>
      </c>
      <c r="P14" s="8" t="e">
        <f ca="1">G14/AB15-1</f>
        <v>#DIV/0!</v>
      </c>
      <c r="Q14" s="8">
        <f ca="1">G14/AD15-1</f>
        <v>0.14691504822301504</v>
      </c>
      <c r="R14" s="2"/>
      <c r="S14" s="2"/>
      <c r="T14" s="2"/>
      <c r="U14" s="2" t="str">
        <f ca="1">IFERROR(__xludf.DUMMYFUNCTION("GoogleFinance(B14,""price"",today()-7)"),"#N/A")</f>
        <v>#N/A</v>
      </c>
      <c r="V14" s="22"/>
      <c r="W14" s="2" t="str">
        <f ca="1">IFERROR(__xludf.DUMMYFUNCTION("GoogleFinance(B14,""price"",today()-31)"),"#N/A")</f>
        <v>#N/A</v>
      </c>
      <c r="X14" s="22"/>
      <c r="Y14" s="2" t="str">
        <f ca="1">IFERROR(__xludf.DUMMYFUNCTION("GoogleFinance(B14,""price"",today()-91)"),"#N/A")</f>
        <v>#N/A</v>
      </c>
      <c r="Z14" s="22"/>
      <c r="AA14" s="2" t="str">
        <f ca="1">IFERROR(__xludf.DUMMYFUNCTION("GoogleFinance(B14,""price"",today()-182)"),"#N/A")</f>
        <v>#N/A</v>
      </c>
      <c r="AB14" s="22"/>
      <c r="AC14" s="2" t="str">
        <f ca="1">IFERROR(__xludf.DUMMYFUNCTION("GoogleFinance(B14,""price"",DATE(2024,12,31))"),"Date")</f>
        <v>Date</v>
      </c>
      <c r="AD14" s="22" t="str">
        <f ca="1">IFERROR(__xludf.DUMMYFUNCTION("""COMPUTED_VALUE"""),"Close")</f>
        <v>Close</v>
      </c>
      <c r="AE14" s="4"/>
      <c r="AF14" s="4"/>
      <c r="AG14" s="4"/>
      <c r="AH14" s="4"/>
      <c r="AI14" s="587"/>
      <c r="AJ14" s="587"/>
      <c r="AK14" s="4"/>
      <c r="AL14" s="587"/>
      <c r="AM14" s="587"/>
      <c r="AN14" s="587"/>
      <c r="AO14" s="587"/>
      <c r="AP14" s="587"/>
      <c r="AQ14" s="4"/>
      <c r="AR14" s="4"/>
      <c r="AS14" s="4"/>
      <c r="AT14" s="4"/>
      <c r="AU14" s="4"/>
      <c r="AV14" s="4"/>
      <c r="AW14" s="4"/>
      <c r="AX14" s="4"/>
      <c r="AY14" s="4"/>
      <c r="AZ14" s="4"/>
      <c r="BA14" s="587"/>
      <c r="BB14" s="587"/>
      <c r="BC14" s="587"/>
      <c r="BD14" s="587"/>
      <c r="BE14" s="587"/>
      <c r="BF14" s="587"/>
      <c r="BG14" s="587"/>
      <c r="BH14" s="587"/>
      <c r="BI14" s="587"/>
    </row>
    <row r="15" spans="1:61" ht="13.2" hidden="1">
      <c r="A15" s="256"/>
      <c r="B15" s="848"/>
      <c r="C15" s="849"/>
      <c r="D15" s="850"/>
      <c r="E15" s="851"/>
      <c r="F15" s="851"/>
      <c r="G15" s="230"/>
      <c r="H15" s="230"/>
      <c r="I15" s="852"/>
      <c r="J15" s="852"/>
      <c r="K15" s="852"/>
      <c r="L15" s="853"/>
      <c r="M15" s="854"/>
      <c r="N15" s="854"/>
      <c r="O15" s="854"/>
      <c r="P15" s="854"/>
      <c r="Q15" s="854"/>
      <c r="R15" s="242"/>
      <c r="S15" s="242"/>
      <c r="T15" s="242"/>
      <c r="U15" s="242"/>
      <c r="V15" s="22"/>
      <c r="W15" s="242"/>
      <c r="X15" s="22"/>
      <c r="Y15" s="242"/>
      <c r="Z15" s="22"/>
      <c r="AA15" s="242"/>
      <c r="AB15" s="22"/>
      <c r="AC15" s="242">
        <f ca="1">IFERROR(__xludf.DUMMYFUNCTION("""COMPUTED_VALUE"""),45657.6666666666)</f>
        <v>45657.666666666599</v>
      </c>
      <c r="AD15" s="22">
        <f ca="1">IFERROR(__xludf.DUMMYFUNCTION("""COMPUTED_VALUE"""),75.69)</f>
        <v>75.69</v>
      </c>
      <c r="AE15" s="24"/>
      <c r="AF15" s="24"/>
      <c r="AG15" s="24"/>
      <c r="AH15" s="24"/>
      <c r="AI15" s="587"/>
      <c r="AJ15" s="587"/>
      <c r="AK15" s="24"/>
      <c r="AL15" s="587"/>
      <c r="AM15" s="587"/>
      <c r="AN15" s="587"/>
      <c r="AO15" s="587"/>
      <c r="AP15" s="587"/>
      <c r="AQ15" s="24"/>
      <c r="AR15" s="24"/>
      <c r="AS15" s="24"/>
      <c r="AT15" s="24"/>
      <c r="AU15" s="24"/>
      <c r="AV15" s="24"/>
      <c r="AW15" s="24"/>
      <c r="AX15" s="24"/>
      <c r="AY15" s="24"/>
      <c r="AZ15" s="24"/>
      <c r="BA15" s="587"/>
      <c r="BB15" s="587"/>
      <c r="BC15" s="587"/>
      <c r="BD15" s="587"/>
      <c r="BE15" s="587"/>
      <c r="BF15" s="587"/>
      <c r="BG15" s="587"/>
      <c r="BH15" s="587"/>
      <c r="BI15" s="587"/>
    </row>
    <row r="16" spans="1:61" ht="13.2">
      <c r="A16" s="256"/>
      <c r="B16" s="550" t="s">
        <v>610</v>
      </c>
      <c r="C16" s="551"/>
      <c r="D16" s="552"/>
      <c r="E16" s="553"/>
      <c r="F16" s="553"/>
      <c r="G16" s="554"/>
      <c r="H16" s="554"/>
      <c r="I16" s="554"/>
      <c r="J16" s="554"/>
      <c r="K16" s="554"/>
      <c r="L16" s="554"/>
      <c r="M16" s="554"/>
      <c r="N16" s="554"/>
      <c r="O16" s="554"/>
      <c r="P16" s="554"/>
      <c r="Q16" s="554"/>
      <c r="R16" s="242"/>
      <c r="S16" s="242"/>
      <c r="T16" s="242"/>
      <c r="U16" s="242"/>
      <c r="V16" s="29"/>
      <c r="W16" s="242"/>
      <c r="X16" s="29"/>
      <c r="Y16" s="242"/>
      <c r="Z16" s="29"/>
      <c r="AA16" s="242"/>
      <c r="AB16" s="29"/>
      <c r="AC16" s="242"/>
      <c r="AD16" s="29"/>
      <c r="AE16" s="24"/>
      <c r="AF16" s="24"/>
      <c r="AG16" s="24"/>
      <c r="AH16" s="24"/>
      <c r="AK16" s="24"/>
      <c r="AQ16" s="24"/>
      <c r="AR16" s="24"/>
      <c r="AS16" s="24"/>
      <c r="AT16" s="24"/>
      <c r="AU16" s="24"/>
      <c r="AV16" s="24"/>
      <c r="AW16" s="24"/>
      <c r="AX16" s="24"/>
      <c r="AY16" s="24"/>
      <c r="AZ16" s="24"/>
    </row>
    <row r="17" spans="1:61" ht="13.2">
      <c r="A17" s="294">
        <v>1</v>
      </c>
      <c r="B17" s="1" t="s">
        <v>347</v>
      </c>
      <c r="C17" s="233" t="str">
        <f ca="1">IFERROR(__xludf.DUMMYFUNCTION("GoogleFinance(B17,""name"")"),"Borr Drilling Ltd")</f>
        <v>Borr Drilling Ltd</v>
      </c>
      <c r="D17" s="234">
        <f ca="1">IFERROR(__xludf.DUMMYFUNCTION("GoogleFinance(B17,""marketcap"")/1000000"),838.638683)</f>
        <v>838.63868300000001</v>
      </c>
      <c r="E17" s="229" t="s">
        <v>15</v>
      </c>
      <c r="F17" s="229" t="s">
        <v>348</v>
      </c>
      <c r="G17" s="236">
        <f ca="1">IFERROR(__xludf.DUMMYFUNCTION("GOOGLEFINANCE(B17)"),2.93)</f>
        <v>2.93</v>
      </c>
      <c r="H17" s="228">
        <v>2</v>
      </c>
      <c r="I17" s="254">
        <f ca="1">H17/G17-1</f>
        <v>-0.31740614334470996</v>
      </c>
      <c r="J17" s="229">
        <v>4.5</v>
      </c>
      <c r="K17" s="300">
        <f ca="1">J17/G17-1</f>
        <v>0.53583617747440271</v>
      </c>
      <c r="L17" s="8">
        <f ca="1">IFERROR(__xludf.DUMMYFUNCTION("GoogleFinance(B17,""changepct"")/100"),-0.0168)</f>
        <v>-1.6799999999999999E-2</v>
      </c>
      <c r="M17" s="8" t="e">
        <f ca="1">G17/V18-1</f>
        <v>#DIV/0!</v>
      </c>
      <c r="N17" s="8" t="e">
        <f ca="1">G17/X18-1</f>
        <v>#DIV/0!</v>
      </c>
      <c r="O17" s="8" t="e">
        <f ca="1">G17/Z18-1</f>
        <v>#DIV/0!</v>
      </c>
      <c r="P17" s="8" t="e">
        <f ca="1">G17/AB18-1</f>
        <v>#DIV/0!</v>
      </c>
      <c r="Q17" s="8">
        <f ca="1">G17/AD18-1</f>
        <v>-0.24871794871794861</v>
      </c>
      <c r="R17" s="2"/>
      <c r="S17" s="2"/>
      <c r="T17" s="2"/>
      <c r="U17" s="2" t="str">
        <f ca="1">IFERROR(__xludf.DUMMYFUNCTION("GoogleFinance(B17,""price"",today()-7)"),"#N/A")</f>
        <v>#N/A</v>
      </c>
      <c r="V17" s="29"/>
      <c r="W17" s="2" t="str">
        <f ca="1">IFERROR(__xludf.DUMMYFUNCTION("GoogleFinance(B17,""price"",today()-31)"),"#N/A")</f>
        <v>#N/A</v>
      </c>
      <c r="X17" s="29"/>
      <c r="Y17" s="2" t="str">
        <f ca="1">IFERROR(__xludf.DUMMYFUNCTION("GoogleFinance(B17,""price"",today()-91)"),"#N/A")</f>
        <v>#N/A</v>
      </c>
      <c r="Z17" s="29"/>
      <c r="AA17" s="2" t="str">
        <f ca="1">IFERROR(__xludf.DUMMYFUNCTION("GoogleFinance(B17,""price"",today()-182)"),"#N/A")</f>
        <v>#N/A</v>
      </c>
      <c r="AB17" s="29"/>
      <c r="AC17" s="2" t="str">
        <f ca="1">IFERROR(__xludf.DUMMYFUNCTION("GoogleFinance(B17,""price"",DATE(2024,12,31))"),"Date")</f>
        <v>Date</v>
      </c>
      <c r="AD17" s="29" t="str">
        <f ca="1">IFERROR(__xludf.DUMMYFUNCTION("""COMPUTED_VALUE"""),"Close")</f>
        <v>Close</v>
      </c>
      <c r="AE17" s="4"/>
      <c r="AF17" s="4"/>
      <c r="AG17" s="4"/>
      <c r="AH17" s="4"/>
      <c r="AK17" s="4"/>
      <c r="AQ17" s="4"/>
      <c r="AR17" s="4"/>
      <c r="AS17" s="4"/>
      <c r="AT17" s="4"/>
      <c r="AU17" s="4"/>
      <c r="AV17" s="4"/>
      <c r="AW17" s="4"/>
      <c r="AX17" s="4"/>
      <c r="AY17" s="4"/>
      <c r="AZ17" s="4"/>
    </row>
    <row r="18" spans="1:61" ht="13.2" hidden="1">
      <c r="A18" s="294" t="e">
        <f>1+#REF!</f>
        <v>#REF!</v>
      </c>
      <c r="B18" s="594"/>
      <c r="C18" s="595"/>
      <c r="D18" s="594"/>
      <c r="E18" s="594"/>
      <c r="F18" s="594"/>
      <c r="G18" s="596"/>
      <c r="H18" s="596"/>
      <c r="I18" s="598"/>
      <c r="J18" s="598"/>
      <c r="K18" s="598"/>
      <c r="L18" s="599"/>
      <c r="M18" s="594"/>
      <c r="N18" s="594"/>
      <c r="O18" s="594"/>
      <c r="P18" s="594"/>
      <c r="Q18" s="594"/>
      <c r="R18" s="242"/>
      <c r="S18" s="242"/>
      <c r="T18" s="242"/>
      <c r="U18" s="242"/>
      <c r="V18" s="22"/>
      <c r="W18" s="242"/>
      <c r="X18" s="22"/>
      <c r="Y18" s="242"/>
      <c r="Z18" s="22"/>
      <c r="AA18" s="242"/>
      <c r="AB18" s="22"/>
      <c r="AC18" s="242">
        <f ca="1">IFERROR(__xludf.DUMMYFUNCTION("""COMPUTED_VALUE"""),45657.6666666666)</f>
        <v>45657.666666666599</v>
      </c>
      <c r="AD18" s="22">
        <f ca="1">IFERROR(__xludf.DUMMYFUNCTION("""COMPUTED_VALUE"""),3.9)</f>
        <v>3.9</v>
      </c>
      <c r="AE18" s="24"/>
      <c r="AF18" s="24"/>
      <c r="AG18" s="24"/>
      <c r="AH18" s="24"/>
      <c r="AI18" s="587"/>
      <c r="AJ18" s="587"/>
      <c r="AK18" s="24"/>
      <c r="AL18" s="587"/>
      <c r="AM18" s="587"/>
      <c r="AN18" s="587"/>
      <c r="AO18" s="587"/>
      <c r="AP18" s="587"/>
      <c r="AQ18" s="24"/>
      <c r="AR18" s="24"/>
      <c r="AS18" s="24"/>
      <c r="AT18" s="24"/>
      <c r="AU18" s="24"/>
      <c r="AV18" s="24"/>
      <c r="AW18" s="24"/>
      <c r="AX18" s="24"/>
      <c r="AY18" s="24"/>
      <c r="AZ18" s="24"/>
      <c r="BA18" s="587"/>
      <c r="BB18" s="587"/>
      <c r="BC18" s="587"/>
      <c r="BD18" s="587"/>
      <c r="BE18" s="587"/>
      <c r="BF18" s="587"/>
      <c r="BG18" s="587"/>
      <c r="BH18" s="587"/>
      <c r="BI18" s="587"/>
    </row>
    <row r="19" spans="1:61" ht="13.2">
      <c r="A19" s="294">
        <f t="shared" ref="A19:A26" si="1">1+A17</f>
        <v>2</v>
      </c>
      <c r="B19" s="1" t="s">
        <v>611</v>
      </c>
      <c r="C19" s="233" t="str">
        <f ca="1">IFERROR(__xludf.DUMMYFUNCTION("GoogleFinance(B19,""name"")"),"Helmerich and Payne Inc")</f>
        <v>Helmerich and Payne Inc</v>
      </c>
      <c r="D19" s="234">
        <f ca="1">IFERROR(__xludf.DUMMYFUNCTION("GoogleFinance(B19,""marketcap"")/1000000"),2252.312338)</f>
        <v>2252.3123380000002</v>
      </c>
      <c r="E19" s="229" t="s">
        <v>15</v>
      </c>
      <c r="F19" s="229" t="s">
        <v>348</v>
      </c>
      <c r="G19" s="236">
        <f ca="1">IFERROR(__xludf.DUMMYFUNCTION("GOOGLEFINANCE(B19)"),22.65)</f>
        <v>22.65</v>
      </c>
      <c r="H19" s="228">
        <v>16.5</v>
      </c>
      <c r="I19" s="254">
        <f ca="1">H19/G19-1</f>
        <v>-0.27152317880794696</v>
      </c>
      <c r="J19" s="229">
        <v>35</v>
      </c>
      <c r="K19" s="300">
        <f ca="1">J19/G19-1</f>
        <v>0.54525386313465796</v>
      </c>
      <c r="L19" s="8">
        <f ca="1">IFERROR(__xludf.DUMMYFUNCTION("GoogleFinance(B19,""changepct"")/100"),0.0338)</f>
        <v>3.3799999999999997E-2</v>
      </c>
      <c r="M19" s="8" t="e">
        <f ca="1">G19/V20-1</f>
        <v>#DIV/0!</v>
      </c>
      <c r="N19" s="8" t="e">
        <f ca="1">G19/X20-1</f>
        <v>#DIV/0!</v>
      </c>
      <c r="O19" s="8" t="e">
        <f ca="1">G19/Z20-1</f>
        <v>#DIV/0!</v>
      </c>
      <c r="P19" s="8" t="e">
        <f ca="1">G19/AB20-1</f>
        <v>#DIV/0!</v>
      </c>
      <c r="Q19" s="8">
        <f ca="1">G19/AD20-1</f>
        <v>-0.29262960649594016</v>
      </c>
      <c r="R19" s="2"/>
      <c r="S19" s="2"/>
      <c r="T19" s="2"/>
      <c r="U19" s="2" t="str">
        <f ca="1">IFERROR(__xludf.DUMMYFUNCTION("GoogleFinance(B19,""price"",today()-7)"),"#N/A")</f>
        <v>#N/A</v>
      </c>
      <c r="V19" s="29"/>
      <c r="W19" s="2" t="str">
        <f ca="1">IFERROR(__xludf.DUMMYFUNCTION("GoogleFinance(B19,""price"",today()-31)"),"#N/A")</f>
        <v>#N/A</v>
      </c>
      <c r="X19" s="29"/>
      <c r="Y19" s="2" t="str">
        <f ca="1">IFERROR(__xludf.DUMMYFUNCTION("GoogleFinance(B19,""price"",today()-91)"),"#N/A")</f>
        <v>#N/A</v>
      </c>
      <c r="Z19" s="29"/>
      <c r="AA19" s="2" t="str">
        <f ca="1">IFERROR(__xludf.DUMMYFUNCTION("GoogleFinance(B19,""price"",today()-182)"),"#N/A")</f>
        <v>#N/A</v>
      </c>
      <c r="AB19" s="29"/>
      <c r="AC19" s="2" t="str">
        <f ca="1">IFERROR(__xludf.DUMMYFUNCTION("GoogleFinance(B19,""price"",DATE(2024,12,31))"),"Date")</f>
        <v>Date</v>
      </c>
      <c r="AD19" s="29" t="str">
        <f ca="1">IFERROR(__xludf.DUMMYFUNCTION("""COMPUTED_VALUE"""),"Close")</f>
        <v>Close</v>
      </c>
      <c r="AE19" s="4"/>
      <c r="AF19" s="4"/>
      <c r="AG19" s="4"/>
      <c r="AH19" s="4"/>
      <c r="AK19" s="4"/>
      <c r="AQ19" s="4"/>
      <c r="AR19" s="4"/>
      <c r="AS19" s="4"/>
      <c r="AT19" s="4"/>
      <c r="AU19" s="4"/>
      <c r="AV19" s="4"/>
      <c r="AW19" s="4"/>
      <c r="AX19" s="4"/>
      <c r="AY19" s="4"/>
      <c r="AZ19" s="4"/>
    </row>
    <row r="20" spans="1:61" ht="13.2" hidden="1">
      <c r="A20" s="294" t="e">
        <f t="shared" si="1"/>
        <v>#REF!</v>
      </c>
      <c r="B20" s="579"/>
      <c r="C20" s="580"/>
      <c r="D20" s="579"/>
      <c r="E20" s="579"/>
      <c r="F20" s="579"/>
      <c r="G20" s="581"/>
      <c r="H20" s="581"/>
      <c r="I20" s="583"/>
      <c r="J20" s="583"/>
      <c r="K20" s="583"/>
      <c r="L20" s="584"/>
      <c r="M20" s="579"/>
      <c r="N20" s="579"/>
      <c r="O20" s="579"/>
      <c r="P20" s="579"/>
      <c r="Q20" s="579"/>
      <c r="R20" s="242"/>
      <c r="S20" s="242"/>
      <c r="T20" s="242"/>
      <c r="U20" s="242"/>
      <c r="V20" s="22"/>
      <c r="W20" s="242"/>
      <c r="X20" s="22"/>
      <c r="Y20" s="242"/>
      <c r="Z20" s="22"/>
      <c r="AA20" s="242"/>
      <c r="AB20" s="22"/>
      <c r="AC20" s="242">
        <f ca="1">IFERROR(__xludf.DUMMYFUNCTION("""COMPUTED_VALUE"""),45657.6666666666)</f>
        <v>45657.666666666599</v>
      </c>
      <c r="AD20" s="22">
        <f ca="1">IFERROR(__xludf.DUMMYFUNCTION("""COMPUTED_VALUE"""),32.02)</f>
        <v>32.020000000000003</v>
      </c>
      <c r="AE20" s="24"/>
      <c r="AF20" s="24"/>
      <c r="AG20" s="24"/>
      <c r="AH20" s="24"/>
      <c r="AI20" s="587"/>
      <c r="AJ20" s="587"/>
      <c r="AK20" s="24"/>
      <c r="AL20" s="587"/>
      <c r="AM20" s="587"/>
      <c r="AN20" s="587"/>
      <c r="AO20" s="587"/>
      <c r="AP20" s="587"/>
      <c r="AQ20" s="24"/>
      <c r="AR20" s="24"/>
      <c r="AS20" s="24"/>
      <c r="AT20" s="24"/>
      <c r="AU20" s="24"/>
      <c r="AV20" s="24"/>
      <c r="AW20" s="24"/>
      <c r="AX20" s="24"/>
      <c r="AY20" s="24"/>
      <c r="AZ20" s="24"/>
      <c r="BA20" s="587"/>
      <c r="BB20" s="587"/>
      <c r="BC20" s="587"/>
      <c r="BD20" s="587"/>
      <c r="BE20" s="587"/>
      <c r="BF20" s="587"/>
      <c r="BG20" s="587"/>
      <c r="BH20" s="587"/>
      <c r="BI20" s="587"/>
    </row>
    <row r="21" spans="1:61" ht="13.2">
      <c r="A21" s="294">
        <f t="shared" si="1"/>
        <v>3</v>
      </c>
      <c r="B21" s="1" t="s">
        <v>350</v>
      </c>
      <c r="C21" s="233" t="str">
        <f ca="1">IFERROR(__xludf.DUMMYFUNCTION("GoogleFinance(B21,""name"")"),"Nabors Industries Ltd")</f>
        <v>Nabors Industries Ltd</v>
      </c>
      <c r="D21" s="234">
        <f ca="1">IFERROR(__xludf.DUMMYFUNCTION("GoogleFinance(B21,""marketcap"")/1000000"),655.758677)</f>
        <v>655.75867700000003</v>
      </c>
      <c r="E21" s="229" t="s">
        <v>15</v>
      </c>
      <c r="F21" s="229" t="s">
        <v>348</v>
      </c>
      <c r="G21" s="236">
        <f ca="1">IFERROR(__xludf.DUMMYFUNCTION("GOOGLEFINANCE(B21)"),41.67)</f>
        <v>41.67</v>
      </c>
      <c r="H21" s="228">
        <v>33</v>
      </c>
      <c r="I21" s="254">
        <f ca="1">H21/G21-1</f>
        <v>-0.20806335493160555</v>
      </c>
      <c r="J21" s="229">
        <v>70</v>
      </c>
      <c r="K21" s="300">
        <f ca="1">J21/G21-1</f>
        <v>0.67986561075113983</v>
      </c>
      <c r="L21" s="8">
        <f ca="1">IFERROR(__xludf.DUMMYFUNCTION("GoogleFinance(B21,""changepct"")/100"),0.0417)</f>
        <v>4.1700000000000001E-2</v>
      </c>
      <c r="M21" s="8" t="e">
        <f ca="1">G21/V22-1</f>
        <v>#DIV/0!</v>
      </c>
      <c r="N21" s="8" t="e">
        <f ca="1">G21/X22-1</f>
        <v>#DIV/0!</v>
      </c>
      <c r="O21" s="8" t="e">
        <f ca="1">G21/Z22-1</f>
        <v>#DIV/0!</v>
      </c>
      <c r="P21" s="8" t="e">
        <f ca="1">G21/AB22-1</f>
        <v>#DIV/0!</v>
      </c>
      <c r="Q21" s="8">
        <f ca="1">G21/AD22-1</f>
        <v>-0.27112121742172468</v>
      </c>
      <c r="R21" s="2"/>
      <c r="S21" s="2"/>
      <c r="T21" s="2"/>
      <c r="U21" s="2" t="str">
        <f ca="1">IFERROR(__xludf.DUMMYFUNCTION("GoogleFinance(B21,""price"",today()-7)"),"#N/A")</f>
        <v>#N/A</v>
      </c>
      <c r="V21" s="29"/>
      <c r="W21" s="2" t="str">
        <f ca="1">IFERROR(__xludf.DUMMYFUNCTION("GoogleFinance(B21,""price"",today()-31)"),"#N/A")</f>
        <v>#N/A</v>
      </c>
      <c r="X21" s="29"/>
      <c r="Y21" s="2" t="str">
        <f ca="1">IFERROR(__xludf.DUMMYFUNCTION("GoogleFinance(B21,""price"",today()-91)"),"#N/A")</f>
        <v>#N/A</v>
      </c>
      <c r="Z21" s="29"/>
      <c r="AA21" s="2" t="str">
        <f ca="1">IFERROR(__xludf.DUMMYFUNCTION("GoogleFinance(B21,""price"",today()-182)"),"#N/A")</f>
        <v>#N/A</v>
      </c>
      <c r="AB21" s="29"/>
      <c r="AC21" s="2" t="str">
        <f ca="1">IFERROR(__xludf.DUMMYFUNCTION("GoogleFinance(B21,""price"",DATE(2024,12,31))"),"Date")</f>
        <v>Date</v>
      </c>
      <c r="AD21" s="29" t="str">
        <f ca="1">IFERROR(__xludf.DUMMYFUNCTION("""COMPUTED_VALUE"""),"Close")</f>
        <v>Close</v>
      </c>
      <c r="AE21" s="4"/>
      <c r="AF21" s="4"/>
      <c r="AG21" s="4"/>
      <c r="AH21" s="4"/>
      <c r="AK21" s="4"/>
      <c r="AQ21" s="4"/>
      <c r="AR21" s="4"/>
      <c r="AS21" s="4"/>
      <c r="AT21" s="4"/>
      <c r="AU21" s="4"/>
      <c r="AV21" s="4"/>
      <c r="AW21" s="4"/>
      <c r="AX21" s="4"/>
      <c r="AY21" s="4"/>
      <c r="AZ21" s="4"/>
    </row>
    <row r="22" spans="1:61" ht="13.2" hidden="1">
      <c r="A22" s="294" t="e">
        <f t="shared" si="1"/>
        <v>#REF!</v>
      </c>
      <c r="B22" s="579"/>
      <c r="C22" s="580"/>
      <c r="D22" s="579"/>
      <c r="E22" s="579"/>
      <c r="F22" s="579"/>
      <c r="G22" s="581"/>
      <c r="H22" s="581"/>
      <c r="I22" s="583"/>
      <c r="J22" s="583"/>
      <c r="K22" s="583"/>
      <c r="L22" s="584"/>
      <c r="M22" s="579"/>
      <c r="N22" s="579"/>
      <c r="O22" s="579"/>
      <c r="P22" s="579"/>
      <c r="Q22" s="579"/>
      <c r="R22" s="242"/>
      <c r="S22" s="242"/>
      <c r="T22" s="242"/>
      <c r="U22" s="242"/>
      <c r="V22" s="22"/>
      <c r="W22" s="242"/>
      <c r="X22" s="22"/>
      <c r="Y22" s="242"/>
      <c r="Z22" s="22"/>
      <c r="AA22" s="242"/>
      <c r="AB22" s="22"/>
      <c r="AC22" s="242">
        <f ca="1">IFERROR(__xludf.DUMMYFUNCTION("""COMPUTED_VALUE"""),45657.6666666666)</f>
        <v>45657.666666666599</v>
      </c>
      <c r="AD22" s="22">
        <f ca="1">IFERROR(__xludf.DUMMYFUNCTION("""COMPUTED_VALUE"""),57.17)</f>
        <v>57.17</v>
      </c>
      <c r="AE22" s="24"/>
      <c r="AF22" s="24"/>
      <c r="AG22" s="24"/>
      <c r="AH22" s="24"/>
      <c r="AI22" s="587"/>
      <c r="AJ22" s="587"/>
      <c r="AK22" s="24"/>
      <c r="AL22" s="587"/>
      <c r="AM22" s="587"/>
      <c r="AN22" s="587"/>
      <c r="AO22" s="587"/>
      <c r="AP22" s="587"/>
      <c r="AQ22" s="24"/>
      <c r="AR22" s="24"/>
      <c r="AS22" s="24"/>
      <c r="AT22" s="24"/>
      <c r="AU22" s="24"/>
      <c r="AV22" s="24"/>
      <c r="AW22" s="24"/>
      <c r="AX22" s="24"/>
      <c r="AY22" s="24"/>
      <c r="AZ22" s="24"/>
      <c r="BA22" s="587"/>
      <c r="BB22" s="587"/>
      <c r="BC22" s="587"/>
      <c r="BD22" s="587"/>
      <c r="BE22" s="587"/>
      <c r="BF22" s="587"/>
      <c r="BG22" s="587"/>
      <c r="BH22" s="587"/>
      <c r="BI22" s="587"/>
    </row>
    <row r="23" spans="1:61" ht="13.2">
      <c r="A23" s="294">
        <f t="shared" si="1"/>
        <v>4</v>
      </c>
      <c r="B23" s="1" t="s">
        <v>351</v>
      </c>
      <c r="C23" s="233" t="str">
        <f ca="1">IFERROR(__xludf.DUMMYFUNCTION("GoogleFinance(B23,""name"")"),"Core Natural Resources Inc")</f>
        <v>Core Natural Resources Inc</v>
      </c>
      <c r="D23" s="234">
        <f ca="1">IFERROR(__xludf.DUMMYFUNCTION("GoogleFinance(B23,""marketcap"")/1000000"),4261.841185)</f>
        <v>4261.8411850000002</v>
      </c>
      <c r="E23" s="229" t="s">
        <v>15</v>
      </c>
      <c r="F23" s="229" t="s">
        <v>352</v>
      </c>
      <c r="G23" s="236">
        <f ca="1">IFERROR(__xludf.DUMMYFUNCTION("GOOGLEFINANCE(B23)"),82.8)</f>
        <v>82.8</v>
      </c>
      <c r="H23" s="228">
        <v>70</v>
      </c>
      <c r="I23" s="254">
        <f ca="1">H23/G23-1</f>
        <v>-0.15458937198067635</v>
      </c>
      <c r="J23" s="229">
        <v>100</v>
      </c>
      <c r="K23" s="300">
        <f ca="1">J23/G23-1</f>
        <v>0.20772946859903385</v>
      </c>
      <c r="L23" s="8">
        <f ca="1">IFERROR(__xludf.DUMMYFUNCTION("GoogleFinance(B23,""changepct"")/100"),0.0075)</f>
        <v>7.4999999999999997E-3</v>
      </c>
      <c r="M23" s="8" t="e">
        <f ca="1">G23/V24-1</f>
        <v>#DIV/0!</v>
      </c>
      <c r="N23" s="8" t="e">
        <f ca="1">G23/X24-1</f>
        <v>#DIV/0!</v>
      </c>
      <c r="O23" s="8" t="e">
        <f ca="1">G23/Z24-1</f>
        <v>#DIV/0!</v>
      </c>
      <c r="P23" s="8" t="e">
        <f ca="1">G23/AB24-1</f>
        <v>#DIV/0!</v>
      </c>
      <c r="Q23" s="8">
        <f ca="1">G23/AD24-1</f>
        <v>-0.22384701912260974</v>
      </c>
      <c r="R23" s="2"/>
      <c r="S23" s="2"/>
      <c r="T23" s="2"/>
      <c r="U23" s="2" t="str">
        <f ca="1">IFERROR(__xludf.DUMMYFUNCTION("GoogleFinance(B23,""price"",today()-7)"),"#N/A")</f>
        <v>#N/A</v>
      </c>
      <c r="V23" s="29"/>
      <c r="W23" s="2" t="str">
        <f ca="1">IFERROR(__xludf.DUMMYFUNCTION("GoogleFinance(B23,""price"",today()-31)"),"#N/A")</f>
        <v>#N/A</v>
      </c>
      <c r="X23" s="29"/>
      <c r="Y23" s="2" t="str">
        <f ca="1">IFERROR(__xludf.DUMMYFUNCTION("GoogleFinance(B23,""price"",today()-91)"),"#N/A")</f>
        <v>#N/A</v>
      </c>
      <c r="Z23" s="29"/>
      <c r="AA23" s="2" t="str">
        <f ca="1">IFERROR(__xludf.DUMMYFUNCTION("GoogleFinance(B23,""price"",today()-182)"),"#N/A")</f>
        <v>#N/A</v>
      </c>
      <c r="AB23" s="29"/>
      <c r="AC23" s="2" t="str">
        <f ca="1">IFERROR(__xludf.DUMMYFUNCTION("GoogleFinance(B23,""price"",DATE(2024,12,31))"),"Date")</f>
        <v>Date</v>
      </c>
      <c r="AD23" s="29" t="str">
        <f ca="1">IFERROR(__xludf.DUMMYFUNCTION("""COMPUTED_VALUE"""),"Close")</f>
        <v>Close</v>
      </c>
      <c r="AE23" s="4"/>
      <c r="AF23" s="4"/>
      <c r="AG23" s="4"/>
      <c r="AH23" s="4"/>
      <c r="AK23" s="4"/>
      <c r="AQ23" s="4"/>
      <c r="AR23" s="4"/>
      <c r="AS23" s="4"/>
      <c r="AT23" s="4"/>
      <c r="AU23" s="4"/>
      <c r="AV23" s="4"/>
      <c r="AW23" s="4"/>
      <c r="AX23" s="4"/>
      <c r="AY23" s="4"/>
      <c r="AZ23" s="4"/>
    </row>
    <row r="24" spans="1:61" ht="13.2" hidden="1">
      <c r="A24" s="294" t="e">
        <f t="shared" si="1"/>
        <v>#REF!</v>
      </c>
      <c r="B24" s="579"/>
      <c r="C24" s="580"/>
      <c r="D24" s="579"/>
      <c r="E24" s="579"/>
      <c r="F24" s="579"/>
      <c r="G24" s="581"/>
      <c r="H24" s="581"/>
      <c r="I24" s="583"/>
      <c r="J24" s="583"/>
      <c r="K24" s="583"/>
      <c r="L24" s="584"/>
      <c r="M24" s="579"/>
      <c r="N24" s="579"/>
      <c r="O24" s="579"/>
      <c r="P24" s="579"/>
      <c r="Q24" s="579"/>
      <c r="R24" s="242"/>
      <c r="S24" s="242"/>
      <c r="T24" s="242"/>
      <c r="U24" s="242"/>
      <c r="V24" s="22"/>
      <c r="W24" s="242"/>
      <c r="X24" s="22"/>
      <c r="Y24" s="242"/>
      <c r="Z24" s="22"/>
      <c r="AA24" s="242"/>
      <c r="AB24" s="22"/>
      <c r="AC24" s="242">
        <f ca="1">IFERROR(__xludf.DUMMYFUNCTION("""COMPUTED_VALUE"""),45657.6666666666)</f>
        <v>45657.666666666599</v>
      </c>
      <c r="AD24" s="22">
        <f ca="1">IFERROR(__xludf.DUMMYFUNCTION("""COMPUTED_VALUE"""),106.68)</f>
        <v>106.68</v>
      </c>
      <c r="AE24" s="24"/>
      <c r="AF24" s="24"/>
      <c r="AG24" s="24"/>
      <c r="AH24" s="24"/>
      <c r="AI24" s="587"/>
      <c r="AJ24" s="587"/>
      <c r="AK24" s="24"/>
      <c r="AL24" s="587"/>
      <c r="AM24" s="587"/>
      <c r="AN24" s="587"/>
      <c r="AO24" s="587"/>
      <c r="AP24" s="587"/>
      <c r="AQ24" s="24"/>
      <c r="AR24" s="24"/>
      <c r="AS24" s="24"/>
      <c r="AT24" s="24"/>
      <c r="AU24" s="24"/>
      <c r="AV24" s="24"/>
      <c r="AW24" s="24"/>
      <c r="AX24" s="24"/>
      <c r="AY24" s="24"/>
      <c r="AZ24" s="24"/>
      <c r="BA24" s="587"/>
      <c r="BB24" s="587"/>
      <c r="BC24" s="587"/>
      <c r="BD24" s="587"/>
      <c r="BE24" s="587"/>
      <c r="BF24" s="587"/>
      <c r="BG24" s="587"/>
      <c r="BH24" s="587"/>
      <c r="BI24" s="587"/>
    </row>
    <row r="25" spans="1:61" ht="13.2">
      <c r="A25" s="294">
        <f t="shared" si="1"/>
        <v>5</v>
      </c>
      <c r="B25" s="1" t="s">
        <v>354</v>
      </c>
      <c r="C25" s="233" t="str">
        <f ca="1">IFERROR(__xludf.DUMMYFUNCTION("GoogleFinance(B25,""name"")"),"Alpha Metallurgical Resources Inc")</f>
        <v>Alpha Metallurgical Resources Inc</v>
      </c>
      <c r="D25" s="234">
        <f ca="1">IFERROR(__xludf.DUMMYFUNCTION("GoogleFinance(B25,""marketcap"")/1000000"),2123.203743)</f>
        <v>2123.203743</v>
      </c>
      <c r="E25" s="229" t="s">
        <v>15</v>
      </c>
      <c r="F25" s="229" t="s">
        <v>352</v>
      </c>
      <c r="G25" s="236">
        <f ca="1">IFERROR(__xludf.DUMMYFUNCTION("GOOGLEFINANCE(B25)"),162.65)</f>
        <v>162.65</v>
      </c>
      <c r="H25" s="228">
        <v>140</v>
      </c>
      <c r="I25" s="254">
        <f ca="1">H25/G25-1</f>
        <v>-0.1392560713187827</v>
      </c>
      <c r="J25" s="229">
        <v>300</v>
      </c>
      <c r="K25" s="300">
        <f ca="1">J25/G25-1</f>
        <v>0.84445127574546563</v>
      </c>
      <c r="L25" s="8">
        <f ca="1">IFERROR(__xludf.DUMMYFUNCTION("GoogleFinance(B25,""changepct"")/100"),-0.0081)</f>
        <v>-8.0999999999999996E-3</v>
      </c>
      <c r="M25" s="8" t="e">
        <f ca="1">G25/V26-1</f>
        <v>#DIV/0!</v>
      </c>
      <c r="N25" s="8" t="e">
        <f ca="1">G25/X26-1</f>
        <v>#DIV/0!</v>
      </c>
      <c r="O25" s="8" t="e">
        <f ca="1">G25/Z26-1</f>
        <v>#DIV/0!</v>
      </c>
      <c r="P25" s="8" t="e">
        <f ca="1">G25/AB26-1</f>
        <v>#DIV/0!</v>
      </c>
      <c r="Q25" s="8">
        <f ca="1">G25/AD26-1</f>
        <v>-0.18723765740555665</v>
      </c>
      <c r="R25" s="2"/>
      <c r="S25" s="2"/>
      <c r="T25" s="2"/>
      <c r="U25" s="2" t="str">
        <f ca="1">IFERROR(__xludf.DUMMYFUNCTION("GoogleFinance(B25,""price"",today()-7)"),"#N/A")</f>
        <v>#N/A</v>
      </c>
      <c r="V25" s="29"/>
      <c r="W25" s="2" t="str">
        <f ca="1">IFERROR(__xludf.DUMMYFUNCTION("GoogleFinance(B25,""price"",today()-31)"),"#N/A")</f>
        <v>#N/A</v>
      </c>
      <c r="X25" s="29"/>
      <c r="Y25" s="2" t="str">
        <f ca="1">IFERROR(__xludf.DUMMYFUNCTION("GoogleFinance(B25,""price"",today()-91)"),"#N/A")</f>
        <v>#N/A</v>
      </c>
      <c r="Z25" s="29"/>
      <c r="AA25" s="2" t="str">
        <f ca="1">IFERROR(__xludf.DUMMYFUNCTION("GoogleFinance(B25,""price"",today()-182)"),"#N/A")</f>
        <v>#N/A</v>
      </c>
      <c r="AB25" s="29"/>
      <c r="AC25" s="2" t="str">
        <f ca="1">IFERROR(__xludf.DUMMYFUNCTION("GoogleFinance(B25,""price"",DATE(2024,12,31))"),"Date")</f>
        <v>Date</v>
      </c>
      <c r="AD25" s="29" t="str">
        <f ca="1">IFERROR(__xludf.DUMMYFUNCTION("""COMPUTED_VALUE"""),"Close")</f>
        <v>Close</v>
      </c>
      <c r="AE25" s="4"/>
      <c r="AF25" s="4"/>
      <c r="AG25" s="4"/>
      <c r="AH25" s="4"/>
      <c r="AK25" s="4"/>
      <c r="AQ25" s="4"/>
      <c r="AR25" s="4"/>
      <c r="AS25" s="4"/>
      <c r="AT25" s="4"/>
      <c r="AU25" s="4"/>
      <c r="AV25" s="4"/>
      <c r="AW25" s="4"/>
      <c r="AX25" s="4"/>
      <c r="AY25" s="4"/>
      <c r="AZ25" s="4"/>
    </row>
    <row r="26" spans="1:61" ht="13.2" hidden="1">
      <c r="A26" s="294" t="e">
        <f t="shared" si="1"/>
        <v>#REF!</v>
      </c>
      <c r="B26" s="579"/>
      <c r="C26" s="580"/>
      <c r="D26" s="579"/>
      <c r="E26" s="579"/>
      <c r="F26" s="579"/>
      <c r="G26" s="581"/>
      <c r="H26" s="581"/>
      <c r="I26" s="583"/>
      <c r="J26" s="583"/>
      <c r="K26" s="583"/>
      <c r="L26" s="584"/>
      <c r="M26" s="579"/>
      <c r="N26" s="579"/>
      <c r="O26" s="579"/>
      <c r="P26" s="579"/>
      <c r="Q26" s="579"/>
      <c r="R26" s="242"/>
      <c r="S26" s="242"/>
      <c r="T26" s="242"/>
      <c r="U26" s="242"/>
      <c r="V26" s="22"/>
      <c r="W26" s="242"/>
      <c r="X26" s="22"/>
      <c r="Y26" s="242"/>
      <c r="Z26" s="22"/>
      <c r="AA26" s="242"/>
      <c r="AB26" s="22"/>
      <c r="AC26" s="242">
        <f ca="1">IFERROR(__xludf.DUMMYFUNCTION("""COMPUTED_VALUE"""),45657.6666666666)</f>
        <v>45657.666666666599</v>
      </c>
      <c r="AD26" s="22">
        <f ca="1">IFERROR(__xludf.DUMMYFUNCTION("""COMPUTED_VALUE"""),200.12)</f>
        <v>200.12</v>
      </c>
      <c r="AE26" s="24"/>
      <c r="AF26" s="24"/>
      <c r="AG26" s="24"/>
      <c r="AH26" s="24"/>
      <c r="AI26" s="587"/>
      <c r="AJ26" s="587"/>
      <c r="AK26" s="24"/>
      <c r="AL26" s="587"/>
      <c r="AM26" s="587"/>
      <c r="AN26" s="587"/>
      <c r="AO26" s="587"/>
      <c r="AP26" s="587"/>
      <c r="AQ26" s="24"/>
      <c r="AR26" s="24"/>
      <c r="AS26" s="24"/>
      <c r="AT26" s="24"/>
      <c r="AU26" s="24"/>
      <c r="AV26" s="24"/>
      <c r="AW26" s="24"/>
      <c r="AX26" s="24"/>
      <c r="AY26" s="24"/>
      <c r="AZ26" s="24"/>
      <c r="BA26" s="587"/>
      <c r="BB26" s="587"/>
      <c r="BC26" s="587"/>
      <c r="BD26" s="587"/>
      <c r="BE26" s="587"/>
      <c r="BF26" s="587"/>
      <c r="BG26" s="587"/>
      <c r="BH26" s="587"/>
      <c r="BI26" s="587"/>
    </row>
    <row r="27" spans="1:61" ht="5.25" customHeight="1">
      <c r="A27" s="256"/>
      <c r="B27" s="662"/>
      <c r="C27" s="663"/>
      <c r="D27" s="662"/>
      <c r="E27" s="662"/>
      <c r="F27" s="662"/>
      <c r="G27" s="855"/>
      <c r="H27" s="855"/>
      <c r="I27" s="667"/>
      <c r="J27" s="667"/>
      <c r="K27" s="667"/>
      <c r="L27" s="666"/>
      <c r="M27" s="662"/>
      <c r="N27" s="662"/>
      <c r="O27" s="662"/>
      <c r="P27" s="662"/>
      <c r="Q27" s="662"/>
      <c r="R27" s="242"/>
      <c r="S27" s="242"/>
      <c r="T27" s="242"/>
      <c r="U27" s="242"/>
      <c r="V27" s="29"/>
      <c r="W27" s="242"/>
      <c r="X27" s="29"/>
      <c r="Y27" s="242"/>
      <c r="Z27" s="29"/>
      <c r="AA27" s="242"/>
      <c r="AB27" s="29"/>
      <c r="AC27" s="242"/>
      <c r="AD27" s="29"/>
      <c r="AE27" s="24"/>
      <c r="AF27" s="24"/>
      <c r="AG27" s="24"/>
      <c r="AH27" s="24"/>
      <c r="AK27" s="24"/>
      <c r="AQ27" s="24"/>
      <c r="AR27" s="24"/>
      <c r="AS27" s="24"/>
      <c r="AT27" s="24"/>
      <c r="AU27" s="24"/>
      <c r="AV27" s="24"/>
      <c r="AW27" s="24"/>
      <c r="AX27" s="24"/>
      <c r="AY27" s="24"/>
      <c r="AZ27" s="24"/>
    </row>
    <row r="28" spans="1:61" ht="36">
      <c r="A28" s="256"/>
      <c r="B28" s="37" t="s">
        <v>0</v>
      </c>
      <c r="C28" s="38" t="s">
        <v>1</v>
      </c>
      <c r="D28" s="37" t="s">
        <v>50</v>
      </c>
      <c r="E28" s="37" t="s">
        <v>2</v>
      </c>
      <c r="F28" s="37" t="s">
        <v>51</v>
      </c>
      <c r="G28" s="39" t="s">
        <v>3</v>
      </c>
      <c r="H28" s="39" t="s">
        <v>612</v>
      </c>
      <c r="I28" s="40" t="s">
        <v>613</v>
      </c>
      <c r="J28" s="40" t="s">
        <v>614</v>
      </c>
      <c r="K28" s="40" t="s">
        <v>615</v>
      </c>
      <c r="L28" s="41" t="s">
        <v>4</v>
      </c>
      <c r="M28" s="37" t="s">
        <v>66</v>
      </c>
      <c r="N28" s="37" t="s">
        <v>67</v>
      </c>
      <c r="O28" s="37" t="s">
        <v>68</v>
      </c>
      <c r="P28" s="37" t="s">
        <v>69</v>
      </c>
      <c r="Q28" s="37" t="s">
        <v>70</v>
      </c>
      <c r="R28" s="242"/>
      <c r="S28" s="242"/>
      <c r="T28" s="242"/>
      <c r="U28" s="242"/>
      <c r="V28" s="29"/>
      <c r="W28" s="242"/>
      <c r="X28" s="29"/>
      <c r="Y28" s="242"/>
      <c r="Z28" s="29"/>
      <c r="AA28" s="242"/>
      <c r="AB28" s="29"/>
      <c r="AC28" s="242"/>
      <c r="AD28" s="29"/>
      <c r="AE28" s="24"/>
      <c r="AF28" s="24"/>
      <c r="AG28" s="24"/>
      <c r="AH28" s="24"/>
      <c r="AK28" s="24"/>
      <c r="AQ28" s="24"/>
      <c r="AR28" s="24"/>
      <c r="AS28" s="24"/>
      <c r="AT28" s="24"/>
      <c r="AU28" s="24"/>
      <c r="AV28" s="24"/>
      <c r="AW28" s="24"/>
      <c r="AX28" s="24"/>
      <c r="AY28" s="24"/>
      <c r="AZ28" s="24"/>
    </row>
    <row r="29" spans="1:61" ht="13.2">
      <c r="A29" s="256"/>
      <c r="B29" s="670" t="s">
        <v>616</v>
      </c>
      <c r="C29" s="671"/>
      <c r="D29" s="672"/>
      <c r="E29" s="673"/>
      <c r="F29" s="673"/>
      <c r="G29" s="674"/>
      <c r="H29" s="674"/>
      <c r="I29" s="674"/>
      <c r="J29" s="674"/>
      <c r="K29" s="674"/>
      <c r="L29" s="674"/>
      <c r="M29" s="674"/>
      <c r="N29" s="674"/>
      <c r="O29" s="674"/>
      <c r="P29" s="674"/>
      <c r="Q29" s="674"/>
      <c r="R29" s="242"/>
      <c r="S29" s="242"/>
      <c r="T29" s="242"/>
      <c r="U29" s="242"/>
      <c r="V29" s="29"/>
      <c r="W29" s="242"/>
      <c r="X29" s="29"/>
      <c r="Y29" s="242"/>
      <c r="Z29" s="29"/>
      <c r="AA29" s="242"/>
      <c r="AB29" s="29"/>
      <c r="AC29" s="242"/>
      <c r="AD29" s="29"/>
      <c r="AE29" s="24"/>
      <c r="AF29" s="24"/>
      <c r="AG29" s="24"/>
      <c r="AH29" s="24"/>
      <c r="AK29" s="24"/>
      <c r="AQ29" s="24"/>
      <c r="AR29" s="24"/>
      <c r="AS29" s="24"/>
      <c r="AT29" s="24"/>
      <c r="AU29" s="24"/>
      <c r="AV29" s="24"/>
      <c r="AW29" s="24"/>
      <c r="AX29" s="24"/>
      <c r="AY29" s="24"/>
      <c r="AZ29" s="24"/>
    </row>
    <row r="30" spans="1:61" ht="13.2">
      <c r="A30" s="294">
        <v>1</v>
      </c>
      <c r="B30" s="1" t="s">
        <v>309</v>
      </c>
      <c r="C30" s="233" t="str">
        <f ca="1">IFERROR(__xludf.DUMMYFUNCTION("GoogleFinance(B30,""name"")"),"AbbVie Inc")</f>
        <v>AbbVie Inc</v>
      </c>
      <c r="D30" s="234">
        <f ca="1">IFERROR(__xludf.DUMMYFUNCTION("GoogleFinance(B30,""marketcap"")/1000000"),389720.361458)</f>
        <v>389720.36145800003</v>
      </c>
      <c r="E30" s="229" t="s">
        <v>17</v>
      </c>
      <c r="F30" s="229" t="s">
        <v>263</v>
      </c>
      <c r="G30" s="236">
        <f ca="1">IFERROR(__xludf.DUMMYFUNCTION("GOOGLEFINANCE(B30)"),220.61)</f>
        <v>220.61</v>
      </c>
      <c r="H30" s="228">
        <v>23</v>
      </c>
      <c r="I30" s="856">
        <f ca="1">H30/G30-1</f>
        <v>-0.89574361996283036</v>
      </c>
      <c r="J30" s="23">
        <v>15</v>
      </c>
      <c r="K30" s="857">
        <f>H30/J30-1</f>
        <v>0.53333333333333344</v>
      </c>
      <c r="L30" s="8">
        <f ca="1">IFERROR(__xludf.DUMMYFUNCTION("GoogleFinance(B30,""changepct"")/100"),0.0095)</f>
        <v>9.4999999999999998E-3</v>
      </c>
      <c r="M30" s="8" t="e">
        <f ca="1">G30/V31-1</f>
        <v>#DIV/0!</v>
      </c>
      <c r="N30" s="8" t="e">
        <f ca="1">G30/X31-1</f>
        <v>#DIV/0!</v>
      </c>
      <c r="O30" s="8" t="e">
        <f ca="1">G30/Z31-1</f>
        <v>#DIV/0!</v>
      </c>
      <c r="P30" s="8" t="e">
        <f ca="1">G30/AB31-1</f>
        <v>#DIV/0!</v>
      </c>
      <c r="Q30" s="8">
        <f ca="1">G30/AD31-1</f>
        <v>0.24147439504783352</v>
      </c>
      <c r="R30" s="2"/>
      <c r="S30" s="2"/>
      <c r="T30" s="2"/>
      <c r="U30" s="2" t="str">
        <f ca="1">IFERROR(__xludf.DUMMYFUNCTION("GoogleFinance(B30,""price"",today()-7)"),"#N/A")</f>
        <v>#N/A</v>
      </c>
      <c r="V30" s="29"/>
      <c r="W30" s="2" t="str">
        <f ca="1">IFERROR(__xludf.DUMMYFUNCTION("GoogleFinance(B30,""price"",today()-31)"),"#N/A")</f>
        <v>#N/A</v>
      </c>
      <c r="X30" s="29"/>
      <c r="Y30" s="2" t="str">
        <f ca="1">IFERROR(__xludf.DUMMYFUNCTION("GoogleFinance(B30,""price"",today()-91)"),"#N/A")</f>
        <v>#N/A</v>
      </c>
      <c r="Z30" s="29"/>
      <c r="AA30" s="2" t="str">
        <f ca="1">IFERROR(__xludf.DUMMYFUNCTION("GoogleFinance(B30,""price"",today()-182)"),"#N/A")</f>
        <v>#N/A</v>
      </c>
      <c r="AB30" s="29"/>
      <c r="AC30" s="2" t="str">
        <f ca="1">IFERROR(__xludf.DUMMYFUNCTION("GoogleFinance(B30,""price"",DATE(2024,12,31))"),"Date")</f>
        <v>Date</v>
      </c>
      <c r="AD30" s="29" t="str">
        <f ca="1">IFERROR(__xludf.DUMMYFUNCTION("""COMPUTED_VALUE"""),"Close")</f>
        <v>Close</v>
      </c>
      <c r="AE30" s="4"/>
      <c r="AF30" s="4"/>
      <c r="AG30" s="4"/>
      <c r="AH30" s="4"/>
      <c r="AK30" s="4"/>
      <c r="AQ30" s="4"/>
      <c r="AR30" s="4"/>
      <c r="AS30" s="4"/>
      <c r="AT30" s="4"/>
      <c r="AU30" s="4"/>
      <c r="AV30" s="4"/>
      <c r="AW30" s="4"/>
      <c r="AX30" s="4"/>
      <c r="AY30" s="4"/>
      <c r="AZ30" s="4"/>
    </row>
    <row r="31" spans="1:61" ht="13.2" hidden="1">
      <c r="A31" s="294" t="e">
        <f>1+#REF!</f>
        <v>#REF!</v>
      </c>
      <c r="B31" s="1"/>
      <c r="C31" s="233"/>
      <c r="D31" s="234"/>
      <c r="E31" s="229"/>
      <c r="F31" s="229"/>
      <c r="G31" s="295"/>
      <c r="H31" s="228"/>
      <c r="I31" s="254"/>
      <c r="J31" s="229"/>
      <c r="K31" s="300"/>
      <c r="L31" s="299"/>
      <c r="M31" s="254"/>
      <c r="N31" s="254"/>
      <c r="O31" s="254"/>
      <c r="P31" s="254"/>
      <c r="Q31" s="254"/>
      <c r="R31" s="2"/>
      <c r="S31" s="2"/>
      <c r="T31" s="2"/>
      <c r="U31" s="2"/>
      <c r="V31" s="29"/>
      <c r="W31" s="2"/>
      <c r="X31" s="29"/>
      <c r="Y31" s="2"/>
      <c r="Z31" s="29"/>
      <c r="AA31" s="2"/>
      <c r="AB31" s="29"/>
      <c r="AC31" s="2">
        <f ca="1">IFERROR(__xludf.DUMMYFUNCTION("""COMPUTED_VALUE"""),45657.6666666666)</f>
        <v>45657.666666666599</v>
      </c>
      <c r="AD31" s="29">
        <f ca="1">IFERROR(__xludf.DUMMYFUNCTION("""COMPUTED_VALUE"""),177.7)</f>
        <v>177.7</v>
      </c>
      <c r="AE31" s="4"/>
      <c r="AF31" s="4"/>
      <c r="AG31" s="4" t="s">
        <v>386</v>
      </c>
      <c r="AH31" s="4">
        <v>4.65E-2</v>
      </c>
      <c r="AI31" s="31">
        <v>-1.0200000000000001E-2</v>
      </c>
      <c r="AK31" s="4"/>
      <c r="AQ31" s="4"/>
      <c r="AR31" s="4"/>
      <c r="AS31" s="4"/>
      <c r="AT31" s="4"/>
      <c r="AU31" s="4"/>
      <c r="AV31" s="4"/>
      <c r="AW31" s="4"/>
      <c r="AX31" s="4"/>
      <c r="AY31" s="4"/>
      <c r="AZ31" s="4"/>
    </row>
    <row r="32" spans="1:61" ht="13.2">
      <c r="A32" s="294">
        <f>1+A30</f>
        <v>2</v>
      </c>
      <c r="B32" s="1" t="s">
        <v>617</v>
      </c>
      <c r="C32" s="233" t="str">
        <f ca="1">IFERROR(__xludf.DUMMYFUNCTION("GoogleFinance(B32,""name"")"),"Instacart")</f>
        <v>Instacart</v>
      </c>
      <c r="D32" s="234">
        <f ca="1">IFERROR(__xludf.DUMMYFUNCTION("GoogleFinance(B32,""marketcap"")/1000000"),11148.708775)</f>
        <v>11148.708774999999</v>
      </c>
      <c r="E32" s="229" t="s">
        <v>10</v>
      </c>
      <c r="F32" s="229" t="s">
        <v>478</v>
      </c>
      <c r="G32" s="236">
        <f ca="1">IFERROR(__xludf.DUMMYFUNCTION("GOOGLEFINANCE(B32)"),42.32)</f>
        <v>42.32</v>
      </c>
      <c r="H32" s="228">
        <v>345</v>
      </c>
      <c r="I32" s="856">
        <f ca="1">H32/G32-1</f>
        <v>7.1521739130434785</v>
      </c>
      <c r="J32" s="23">
        <v>280</v>
      </c>
      <c r="K32" s="857">
        <f>H32/J32-1</f>
        <v>0.23214285714285721</v>
      </c>
      <c r="L32" s="8">
        <f ca="1">IFERROR(__xludf.DUMMYFUNCTION("GoogleFinance(B32,""changepct"")/100"),-0.0021)</f>
        <v>-2.0999999999999999E-3</v>
      </c>
      <c r="M32" s="8" t="e">
        <f ca="1">G32/V33-1</f>
        <v>#DIV/0!</v>
      </c>
      <c r="N32" s="8" t="e">
        <f ca="1">G32/X33-1</f>
        <v>#DIV/0!</v>
      </c>
      <c r="O32" s="8" t="e">
        <f ca="1">G32/Z33-1</f>
        <v>#DIV/0!</v>
      </c>
      <c r="P32" s="8" t="e">
        <f ca="1">G32/AB33-1</f>
        <v>#DIV/0!</v>
      </c>
      <c r="Q32" s="8">
        <f ca="1">G32/AD33-1</f>
        <v>2.1728633510381457E-2</v>
      </c>
      <c r="R32" s="2"/>
      <c r="S32" s="2"/>
      <c r="T32" s="2"/>
      <c r="U32" s="2" t="str">
        <f ca="1">IFERROR(__xludf.DUMMYFUNCTION("GoogleFinance(B32,""price"",today()-7)"),"#N/A")</f>
        <v>#N/A</v>
      </c>
      <c r="V32" s="29"/>
      <c r="W32" s="2" t="str">
        <f ca="1">IFERROR(__xludf.DUMMYFUNCTION("GoogleFinance(B32,""price"",today()-31)"),"#N/A")</f>
        <v>#N/A</v>
      </c>
      <c r="X32" s="29"/>
      <c r="Y32" s="2" t="str">
        <f ca="1">IFERROR(__xludf.DUMMYFUNCTION("GoogleFinance(B32,""price"",today()-91)"),"#N/A")</f>
        <v>#N/A</v>
      </c>
      <c r="Z32" s="29"/>
      <c r="AA32" s="2" t="str">
        <f ca="1">IFERROR(__xludf.DUMMYFUNCTION("GoogleFinance(B32,""price"",today()-182)"),"#N/A")</f>
        <v>#N/A</v>
      </c>
      <c r="AB32" s="29"/>
      <c r="AC32" s="2" t="str">
        <f ca="1">IFERROR(__xludf.DUMMYFUNCTION("GoogleFinance(B32,""price"",DATE(2024,12,31))"),"Date")</f>
        <v>Date</v>
      </c>
      <c r="AD32" s="29" t="str">
        <f ca="1">IFERROR(__xludf.DUMMYFUNCTION("""COMPUTED_VALUE"""),"Close")</f>
        <v>Close</v>
      </c>
      <c r="AE32" s="4"/>
      <c r="AF32" s="4"/>
      <c r="AG32" s="4"/>
      <c r="AH32" s="4"/>
      <c r="AK32" s="4"/>
      <c r="AQ32" s="4"/>
      <c r="AR32" s="4"/>
      <c r="AS32" s="4"/>
      <c r="AT32" s="4"/>
      <c r="AU32" s="4"/>
      <c r="AV32" s="4"/>
      <c r="AW32" s="4"/>
      <c r="AX32" s="4"/>
      <c r="AY32" s="4"/>
      <c r="AZ32" s="4"/>
    </row>
    <row r="33" spans="1:61" ht="13.2" hidden="1">
      <c r="A33" s="294" t="e">
        <f>1+#REF!</f>
        <v>#REF!</v>
      </c>
      <c r="B33" s="1"/>
      <c r="C33" s="233"/>
      <c r="D33" s="234"/>
      <c r="E33" s="229"/>
      <c r="F33" s="229"/>
      <c r="G33" s="295"/>
      <c r="H33" s="228"/>
      <c r="I33" s="254"/>
      <c r="J33" s="229"/>
      <c r="K33" s="300"/>
      <c r="L33" s="299"/>
      <c r="M33" s="254"/>
      <c r="N33" s="254"/>
      <c r="O33" s="254"/>
      <c r="P33" s="254"/>
      <c r="Q33" s="254"/>
      <c r="R33" s="2"/>
      <c r="S33" s="2"/>
      <c r="T33" s="2"/>
      <c r="U33" s="2"/>
      <c r="V33" s="29"/>
      <c r="W33" s="2"/>
      <c r="X33" s="29"/>
      <c r="Y33" s="2"/>
      <c r="Z33" s="29"/>
      <c r="AA33" s="2"/>
      <c r="AB33" s="29"/>
      <c r="AC33" s="2">
        <f ca="1">IFERROR(__xludf.DUMMYFUNCTION("""COMPUTED_VALUE"""),45657.6666666666)</f>
        <v>45657.666666666599</v>
      </c>
      <c r="AD33" s="29">
        <f ca="1">IFERROR(__xludf.DUMMYFUNCTION("""COMPUTED_VALUE"""),41.42)</f>
        <v>41.42</v>
      </c>
      <c r="AE33" s="4"/>
      <c r="AF33" s="4"/>
      <c r="AG33" s="4" t="s">
        <v>386</v>
      </c>
      <c r="AH33" s="4">
        <v>4.65E-2</v>
      </c>
      <c r="AI33" s="31">
        <v>-1.0200000000000001E-2</v>
      </c>
      <c r="AK33" s="4"/>
      <c r="AQ33" s="4"/>
      <c r="AR33" s="4"/>
      <c r="AS33" s="4"/>
      <c r="AT33" s="4"/>
      <c r="AU33" s="4"/>
      <c r="AV33" s="4"/>
      <c r="AW33" s="4"/>
      <c r="AX33" s="4"/>
      <c r="AY33" s="4"/>
      <c r="AZ33" s="4"/>
    </row>
    <row r="34" spans="1:61" ht="13.2">
      <c r="A34" s="294">
        <f>1+A32</f>
        <v>3</v>
      </c>
      <c r="B34" s="1" t="s">
        <v>618</v>
      </c>
      <c r="C34" s="233" t="str">
        <f ca="1">IFERROR(__xludf.DUMMYFUNCTION("GoogleFinance(B34,""name"")"),"Bath &amp; Body Works Inc")</f>
        <v>Bath &amp; Body Works Inc</v>
      </c>
      <c r="D34" s="234">
        <f ca="1">IFERROR(__xludf.DUMMYFUNCTION("GoogleFinance(B34,""marketcap"")/1000000"),5496.958718)</f>
        <v>5496.9587179999999</v>
      </c>
      <c r="E34" s="229" t="s">
        <v>10</v>
      </c>
      <c r="F34" s="229" t="s">
        <v>619</v>
      </c>
      <c r="G34" s="236">
        <f ca="1">IFERROR(__xludf.DUMMYFUNCTION("GOOGLEFINANCE(B34)"),26.66)</f>
        <v>26.66</v>
      </c>
      <c r="H34" s="228">
        <v>45</v>
      </c>
      <c r="I34" s="856">
        <f ca="1">H34/G34-1</f>
        <v>0.68792198049512376</v>
      </c>
      <c r="J34" s="23">
        <v>27</v>
      </c>
      <c r="K34" s="857">
        <f>H34/J34-1</f>
        <v>0.66666666666666674</v>
      </c>
      <c r="L34" s="8">
        <f ca="1">IFERROR(__xludf.DUMMYFUNCTION("GoogleFinance(B34,""changepct"")/100"),0.0317)</f>
        <v>3.1699999999999999E-2</v>
      </c>
      <c r="M34" s="8" t="e">
        <f ca="1">G34/V35-1</f>
        <v>#DIV/0!</v>
      </c>
      <c r="N34" s="8" t="e">
        <f ca="1">G34/X35-1</f>
        <v>#DIV/0!</v>
      </c>
      <c r="O34" s="8" t="e">
        <f ca="1">G34/Z35-1</f>
        <v>#DIV/0!</v>
      </c>
      <c r="P34" s="8" t="e">
        <f ca="1">G34/AB35-1</f>
        <v>#DIV/0!</v>
      </c>
      <c r="Q34" s="8">
        <f ca="1">G34/AD35-1</f>
        <v>-0.31235491359298428</v>
      </c>
      <c r="R34" s="2"/>
      <c r="S34" s="2"/>
      <c r="T34" s="2"/>
      <c r="U34" s="2" t="str">
        <f ca="1">IFERROR(__xludf.DUMMYFUNCTION("GoogleFinance(B34,""price"",today()-7)"),"#N/A")</f>
        <v>#N/A</v>
      </c>
      <c r="V34" s="29"/>
      <c r="W34" s="2" t="str">
        <f ca="1">IFERROR(__xludf.DUMMYFUNCTION("GoogleFinance(B34,""price"",today()-31)"),"#N/A")</f>
        <v>#N/A</v>
      </c>
      <c r="X34" s="29"/>
      <c r="Y34" s="2" t="str">
        <f ca="1">IFERROR(__xludf.DUMMYFUNCTION("GoogleFinance(B34,""price"",today()-91)"),"#N/A")</f>
        <v>#N/A</v>
      </c>
      <c r="Z34" s="29"/>
      <c r="AA34" s="2" t="str">
        <f ca="1">IFERROR(__xludf.DUMMYFUNCTION("GoogleFinance(B34,""price"",today()-182)"),"#N/A")</f>
        <v>#N/A</v>
      </c>
      <c r="AB34" s="29"/>
      <c r="AC34" s="2" t="str">
        <f ca="1">IFERROR(__xludf.DUMMYFUNCTION("GoogleFinance(B34,""price"",DATE(2024,12,31))"),"Date")</f>
        <v>Date</v>
      </c>
      <c r="AD34" s="29" t="str">
        <f ca="1">IFERROR(__xludf.DUMMYFUNCTION("""COMPUTED_VALUE"""),"Close")</f>
        <v>Close</v>
      </c>
      <c r="AE34" s="4"/>
      <c r="AF34" s="4"/>
      <c r="AG34" s="4"/>
      <c r="AH34" s="4"/>
      <c r="AK34" s="4"/>
      <c r="AQ34" s="4"/>
      <c r="AR34" s="4"/>
      <c r="AS34" s="4"/>
      <c r="AT34" s="4"/>
      <c r="AU34" s="4"/>
      <c r="AV34" s="4"/>
      <c r="AW34" s="4"/>
      <c r="AX34" s="4"/>
      <c r="AY34" s="4"/>
      <c r="AZ34" s="4"/>
    </row>
    <row r="35" spans="1:61" ht="13.2" hidden="1">
      <c r="A35" s="294"/>
      <c r="B35" s="1"/>
      <c r="C35" s="233"/>
      <c r="D35" s="234"/>
      <c r="E35" s="229"/>
      <c r="F35" s="229"/>
      <c r="G35" s="295"/>
      <c r="H35" s="228"/>
      <c r="I35" s="254"/>
      <c r="J35" s="229"/>
      <c r="K35" s="300"/>
      <c r="L35" s="299"/>
      <c r="M35" s="254"/>
      <c r="N35" s="254"/>
      <c r="O35" s="254"/>
      <c r="P35" s="254"/>
      <c r="Q35" s="254"/>
      <c r="R35" s="2"/>
      <c r="S35" s="2"/>
      <c r="T35" s="2"/>
      <c r="U35" s="2"/>
      <c r="V35" s="29"/>
      <c r="W35" s="2"/>
      <c r="X35" s="29"/>
      <c r="Y35" s="2"/>
      <c r="Z35" s="29"/>
      <c r="AA35" s="2"/>
      <c r="AB35" s="29"/>
      <c r="AC35" s="2">
        <f ca="1">IFERROR(__xludf.DUMMYFUNCTION("""COMPUTED_VALUE"""),45657.6666666666)</f>
        <v>45657.666666666599</v>
      </c>
      <c r="AD35" s="29">
        <f ca="1">IFERROR(__xludf.DUMMYFUNCTION("""COMPUTED_VALUE"""),38.77)</f>
        <v>38.770000000000003</v>
      </c>
      <c r="AE35" s="4"/>
      <c r="AF35" s="4"/>
      <c r="AG35" s="4" t="s">
        <v>386</v>
      </c>
      <c r="AH35" s="4">
        <v>4.65E-2</v>
      </c>
      <c r="AI35" s="31">
        <v>-1.0200000000000001E-2</v>
      </c>
      <c r="AK35" s="4"/>
      <c r="AQ35" s="4"/>
      <c r="AR35" s="4"/>
      <c r="AS35" s="4"/>
      <c r="AT35" s="4"/>
      <c r="AU35" s="4"/>
      <c r="AV35" s="4"/>
      <c r="AW35" s="4"/>
      <c r="AX35" s="4"/>
      <c r="AY35" s="4"/>
      <c r="AZ35" s="4"/>
    </row>
    <row r="36" spans="1:61" ht="13.2">
      <c r="A36" s="294">
        <f>1+A34</f>
        <v>4</v>
      </c>
      <c r="B36" s="1" t="s">
        <v>620</v>
      </c>
      <c r="C36" s="233" t="str">
        <f ca="1">IFERROR(__xludf.DUMMYFUNCTION("GoogleFinance(B36,""name"")"),"Goldman Sachs Group Inc")</f>
        <v>Goldman Sachs Group Inc</v>
      </c>
      <c r="D36" s="234">
        <f ca="1">IFERROR(__xludf.DUMMYFUNCTION("GoogleFinance(B36,""marketcap"")/1000000"),242936.632666)</f>
        <v>242936.63266599999</v>
      </c>
      <c r="E36" s="229" t="s">
        <v>14</v>
      </c>
      <c r="F36" s="229" t="s">
        <v>21</v>
      </c>
      <c r="G36" s="236">
        <f ca="1">IFERROR(__xludf.DUMMYFUNCTION("GOOGLEFINANCE(B36)"),802.51)</f>
        <v>802.51</v>
      </c>
      <c r="H36" s="228">
        <v>505</v>
      </c>
      <c r="I36" s="856">
        <f ca="1">H36/G36-1</f>
        <v>-0.37072435234451906</v>
      </c>
      <c r="J36" s="23">
        <v>420</v>
      </c>
      <c r="K36" s="857">
        <f>H36/J36-1</f>
        <v>0.20238095238095233</v>
      </c>
      <c r="L36" s="8">
        <f ca="1">IFERROR(__xludf.DUMMYFUNCTION("GoogleFinance(B36,""changepct"")/100"),0.0098)</f>
        <v>9.7999999999999997E-3</v>
      </c>
      <c r="M36" s="8" t="e">
        <f ca="1">G36/V37-1</f>
        <v>#DIV/0!</v>
      </c>
      <c r="N36" s="8" t="e">
        <f ca="1">G36/X37-1</f>
        <v>#DIV/0!</v>
      </c>
      <c r="O36" s="8" t="e">
        <f ca="1">G36/Z37-1</f>
        <v>#DIV/0!</v>
      </c>
      <c r="P36" s="8" t="e">
        <f ca="1">G36/AB37-1</f>
        <v>#DIV/0!</v>
      </c>
      <c r="Q36" s="8">
        <f ca="1">G36/AD37-1</f>
        <v>0.4014704341448081</v>
      </c>
      <c r="R36" s="2"/>
      <c r="S36" s="2"/>
      <c r="T36" s="2"/>
      <c r="U36" s="2" t="str">
        <f ca="1">IFERROR(__xludf.DUMMYFUNCTION("GoogleFinance(B36,""price"",today()-7)"),"#N/A")</f>
        <v>#N/A</v>
      </c>
      <c r="V36" s="29"/>
      <c r="W36" s="2" t="str">
        <f ca="1">IFERROR(__xludf.DUMMYFUNCTION("GoogleFinance(B36,""price"",today()-31)"),"#N/A")</f>
        <v>#N/A</v>
      </c>
      <c r="X36" s="29"/>
      <c r="Y36" s="2" t="str">
        <f ca="1">IFERROR(__xludf.DUMMYFUNCTION("GoogleFinance(B36,""price"",today()-91)"),"#N/A")</f>
        <v>#N/A</v>
      </c>
      <c r="Z36" s="29"/>
      <c r="AA36" s="2" t="str">
        <f ca="1">IFERROR(__xludf.DUMMYFUNCTION("GoogleFinance(B36,""price"",today()-182)"),"#N/A")</f>
        <v>#N/A</v>
      </c>
      <c r="AB36" s="29"/>
      <c r="AC36" s="2" t="str">
        <f ca="1">IFERROR(__xludf.DUMMYFUNCTION("GoogleFinance(B36,""price"",DATE(2024,12,31))"),"Date")</f>
        <v>Date</v>
      </c>
      <c r="AD36" s="29" t="str">
        <f ca="1">IFERROR(__xludf.DUMMYFUNCTION("""COMPUTED_VALUE"""),"Close")</f>
        <v>Close</v>
      </c>
      <c r="AE36" s="4"/>
      <c r="AF36" s="4"/>
      <c r="AG36" s="4"/>
      <c r="AH36" s="4"/>
      <c r="AK36" s="4"/>
      <c r="AQ36" s="4"/>
      <c r="AR36" s="4"/>
      <c r="AS36" s="4"/>
      <c r="AT36" s="4"/>
      <c r="AU36" s="4"/>
      <c r="AV36" s="4"/>
      <c r="AW36" s="4"/>
      <c r="AX36" s="4"/>
      <c r="AY36" s="4"/>
      <c r="AZ36" s="4"/>
    </row>
    <row r="37" spans="1:61" ht="13.2" hidden="1">
      <c r="A37" s="294"/>
      <c r="B37" s="1"/>
      <c r="C37" s="233"/>
      <c r="D37" s="234"/>
      <c r="E37" s="229"/>
      <c r="F37" s="229"/>
      <c r="G37" s="295"/>
      <c r="H37" s="228"/>
      <c r="I37" s="254"/>
      <c r="J37" s="229"/>
      <c r="K37" s="300"/>
      <c r="L37" s="299"/>
      <c r="M37" s="254"/>
      <c r="N37" s="254"/>
      <c r="O37" s="254"/>
      <c r="P37" s="254"/>
      <c r="Q37" s="254"/>
      <c r="R37" s="2"/>
      <c r="S37" s="2"/>
      <c r="T37" s="2"/>
      <c r="U37" s="2"/>
      <c r="V37" s="29"/>
      <c r="W37" s="2"/>
      <c r="X37" s="29"/>
      <c r="Y37" s="2"/>
      <c r="Z37" s="29"/>
      <c r="AA37" s="2"/>
      <c r="AB37" s="29"/>
      <c r="AC37" s="2">
        <f ca="1">IFERROR(__xludf.DUMMYFUNCTION("""COMPUTED_VALUE"""),45657.6666666666)</f>
        <v>45657.666666666599</v>
      </c>
      <c r="AD37" s="29">
        <f ca="1">IFERROR(__xludf.DUMMYFUNCTION("""COMPUTED_VALUE"""),572.62)</f>
        <v>572.62</v>
      </c>
      <c r="AE37" s="4"/>
      <c r="AF37" s="4"/>
      <c r="AG37" s="4" t="s">
        <v>386</v>
      </c>
      <c r="AH37" s="4">
        <v>4.65E-2</v>
      </c>
      <c r="AI37" s="31">
        <v>-1.0200000000000001E-2</v>
      </c>
      <c r="AK37" s="4"/>
      <c r="AQ37" s="4"/>
      <c r="AR37" s="4"/>
      <c r="AS37" s="4"/>
      <c r="AT37" s="4"/>
      <c r="AU37" s="4"/>
      <c r="AV37" s="4"/>
      <c r="AW37" s="4"/>
      <c r="AX37" s="4"/>
      <c r="AY37" s="4"/>
      <c r="AZ37" s="4"/>
    </row>
    <row r="38" spans="1:61" ht="13.2">
      <c r="A38" s="294">
        <f>1+A36</f>
        <v>5</v>
      </c>
      <c r="B38" s="1" t="s">
        <v>621</v>
      </c>
      <c r="C38" s="233" t="str">
        <f ca="1">IFERROR(__xludf.DUMMYFUNCTION("GoogleFinance(B38,""name"")"),"SPDR S&amp;P Homebuilders ETF")</f>
        <v>SPDR S&amp;P Homebuilders ETF</v>
      </c>
      <c r="D38" s="234">
        <f ca="1">IFERROR(__xludf.DUMMYFUNCTION("GoogleFinance(B38,""marketcap"")/1000000"),1959.601131)</f>
        <v>1959.6011309999999</v>
      </c>
      <c r="E38" s="229" t="s">
        <v>513</v>
      </c>
      <c r="F38" s="229" t="s">
        <v>622</v>
      </c>
      <c r="G38" s="236">
        <f ca="1">IFERROR(__xludf.DUMMYFUNCTION("GOOGLEFINANCE(B38)"),110.4)</f>
        <v>110.4</v>
      </c>
      <c r="H38" s="228">
        <v>112</v>
      </c>
      <c r="I38" s="856">
        <f ca="1">H38/G38-1</f>
        <v>1.4492753623188248E-2</v>
      </c>
      <c r="J38" s="23">
        <v>97</v>
      </c>
      <c r="K38" s="857">
        <f>H38/J38-1</f>
        <v>0.15463917525773185</v>
      </c>
      <c r="L38" s="8">
        <f ca="1">IFERROR(__xludf.DUMMYFUNCTION("GoogleFinance(B38,""changepct"")/100"),0.0116999999999999)</f>
        <v>1.16999999999999E-2</v>
      </c>
      <c r="M38" s="8" t="e">
        <f ca="1">G38/V39-1</f>
        <v>#DIV/0!</v>
      </c>
      <c r="N38" s="8" t="e">
        <f ca="1">G38/X39-1</f>
        <v>#DIV/0!</v>
      </c>
      <c r="O38" s="8" t="e">
        <f ca="1">G38/Z39-1</f>
        <v>#DIV/0!</v>
      </c>
      <c r="P38" s="8" t="e">
        <f ca="1">G38/AB39-1</f>
        <v>#DIV/0!</v>
      </c>
      <c r="Q38" s="8">
        <f ca="1">G38/AD39-1</f>
        <v>5.6459330143540765E-2</v>
      </c>
      <c r="R38" s="2"/>
      <c r="S38" s="2"/>
      <c r="T38" s="2"/>
      <c r="U38" s="2" t="str">
        <f ca="1">IFERROR(__xludf.DUMMYFUNCTION("GoogleFinance(B38,""price"",today()-7)"),"#N/A")</f>
        <v>#N/A</v>
      </c>
      <c r="V38" s="29"/>
      <c r="W38" s="2" t="str">
        <f ca="1">IFERROR(__xludf.DUMMYFUNCTION("GoogleFinance(B38,""price"",today()-31)"),"#N/A")</f>
        <v>#N/A</v>
      </c>
      <c r="X38" s="29"/>
      <c r="Y38" s="2" t="str">
        <f ca="1">IFERROR(__xludf.DUMMYFUNCTION("GoogleFinance(B38,""price"",today()-91)"),"#N/A")</f>
        <v>#N/A</v>
      </c>
      <c r="Z38" s="29"/>
      <c r="AA38" s="2" t="str">
        <f ca="1">IFERROR(__xludf.DUMMYFUNCTION("GoogleFinance(B38,""price"",today()-182)"),"#N/A")</f>
        <v>#N/A</v>
      </c>
      <c r="AB38" s="29"/>
      <c r="AC38" s="2" t="str">
        <f ca="1">IFERROR(__xludf.DUMMYFUNCTION("GoogleFinance(B38,""price"",DATE(2024,12,31))"),"Date")</f>
        <v>Date</v>
      </c>
      <c r="AD38" s="29" t="str">
        <f ca="1">IFERROR(__xludf.DUMMYFUNCTION("""COMPUTED_VALUE"""),"Close")</f>
        <v>Close</v>
      </c>
      <c r="AE38" s="4"/>
      <c r="AF38" s="4"/>
      <c r="AG38" s="4"/>
      <c r="AH38" s="4"/>
      <c r="AK38" s="4"/>
      <c r="AQ38" s="4"/>
      <c r="AR38" s="4"/>
      <c r="AS38" s="4"/>
      <c r="AT38" s="4"/>
      <c r="AU38" s="4"/>
      <c r="AV38" s="4"/>
      <c r="AW38" s="4"/>
      <c r="AX38" s="4"/>
      <c r="AY38" s="4"/>
      <c r="AZ38" s="4"/>
    </row>
    <row r="39" spans="1:61" ht="13.2" hidden="1">
      <c r="A39" s="294"/>
      <c r="B39" s="1"/>
      <c r="C39" s="233"/>
      <c r="D39" s="234"/>
      <c r="E39" s="229"/>
      <c r="F39" s="229"/>
      <c r="G39" s="295"/>
      <c r="H39" s="228"/>
      <c r="I39" s="254"/>
      <c r="J39" s="229"/>
      <c r="K39" s="300"/>
      <c r="L39" s="299"/>
      <c r="M39" s="254"/>
      <c r="N39" s="254"/>
      <c r="O39" s="254"/>
      <c r="P39" s="254"/>
      <c r="Q39" s="254"/>
      <c r="R39" s="2"/>
      <c r="S39" s="2"/>
      <c r="T39" s="2"/>
      <c r="U39" s="2"/>
      <c r="V39" s="29"/>
      <c r="W39" s="2"/>
      <c r="X39" s="29"/>
      <c r="Y39" s="2"/>
      <c r="Z39" s="29"/>
      <c r="AA39" s="2"/>
      <c r="AB39" s="29"/>
      <c r="AC39" s="2">
        <f ca="1">IFERROR(__xludf.DUMMYFUNCTION("""COMPUTED_VALUE"""),45657.6666666666)</f>
        <v>45657.666666666599</v>
      </c>
      <c r="AD39" s="29">
        <f ca="1">IFERROR(__xludf.DUMMYFUNCTION("""COMPUTED_VALUE"""),104.5)</f>
        <v>104.5</v>
      </c>
      <c r="AE39" s="4"/>
      <c r="AF39" s="4"/>
      <c r="AG39" s="4" t="s">
        <v>386</v>
      </c>
      <c r="AH39" s="4">
        <v>4.65E-2</v>
      </c>
      <c r="AI39" s="31">
        <v>-1.0200000000000001E-2</v>
      </c>
      <c r="AK39" s="4"/>
      <c r="AQ39" s="4"/>
      <c r="AR39" s="4"/>
      <c r="AS39" s="4"/>
      <c r="AT39" s="4"/>
      <c r="AU39" s="4"/>
      <c r="AV39" s="4"/>
      <c r="AW39" s="4"/>
      <c r="AX39" s="4"/>
      <c r="AY39" s="4"/>
      <c r="AZ39" s="4"/>
    </row>
    <row r="40" spans="1:61" ht="15.75" customHeight="1">
      <c r="A40" s="29"/>
      <c r="B40" s="29"/>
      <c r="C40" s="820"/>
      <c r="D40" s="29"/>
      <c r="E40" s="29"/>
      <c r="F40" s="29"/>
      <c r="G40" s="30"/>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row>
    <row r="41" spans="1:61" ht="15.75" customHeight="1">
      <c r="A41" s="29"/>
      <c r="B41" s="29"/>
      <c r="C41" s="820"/>
      <c r="D41" s="29"/>
      <c r="E41" s="29"/>
      <c r="F41" s="29"/>
      <c r="G41" s="30"/>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row>
    <row r="42" spans="1:61" ht="15.75" customHeight="1">
      <c r="A42" s="29"/>
      <c r="B42" s="29"/>
      <c r="C42" s="820"/>
      <c r="D42" s="29"/>
      <c r="E42" s="29"/>
      <c r="F42" s="29"/>
      <c r="G42" s="30"/>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row>
    <row r="43" spans="1:61" ht="15.75" customHeight="1">
      <c r="A43" s="29"/>
      <c r="B43" s="29"/>
      <c r="C43" s="820"/>
      <c r="D43" s="29"/>
      <c r="E43" s="29"/>
      <c r="F43" s="29"/>
      <c r="G43" s="30"/>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row>
    <row r="44" spans="1:61" ht="15.75" customHeight="1">
      <c r="A44" s="29"/>
      <c r="B44" s="29"/>
      <c r="C44" s="820"/>
      <c r="D44" s="29"/>
      <c r="E44" s="29"/>
      <c r="F44" s="29"/>
      <c r="G44" s="30"/>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row>
    <row r="45" spans="1:61" ht="15.75" customHeight="1">
      <c r="A45" s="29"/>
      <c r="B45" s="29"/>
      <c r="C45" s="820"/>
      <c r="D45" s="29"/>
      <c r="E45" s="29"/>
      <c r="F45" s="29"/>
      <c r="G45" s="30"/>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row>
    <row r="46" spans="1:61" ht="15.75" customHeight="1">
      <c r="A46" s="29"/>
      <c r="B46" s="29"/>
      <c r="C46" s="820"/>
      <c r="D46" s="29"/>
      <c r="E46" s="29"/>
      <c r="F46" s="29"/>
      <c r="G46" s="30"/>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row>
    <row r="47" spans="1:61" ht="15.75" customHeight="1">
      <c r="A47" s="29"/>
      <c r="B47" s="29"/>
      <c r="C47" s="820"/>
      <c r="D47" s="29"/>
      <c r="E47" s="29"/>
      <c r="F47" s="29"/>
      <c r="G47" s="30"/>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row>
    <row r="48" spans="1:61" ht="15.75" customHeight="1">
      <c r="A48" s="29"/>
      <c r="B48" s="29"/>
      <c r="C48" s="820"/>
      <c r="D48" s="29"/>
      <c r="E48" s="29"/>
      <c r="F48" s="29"/>
      <c r="G48" s="30"/>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row>
    <row r="49" spans="1:61" ht="15.75" customHeight="1">
      <c r="A49" s="29"/>
      <c r="B49" s="29"/>
      <c r="C49" s="820"/>
      <c r="D49" s="29"/>
      <c r="E49" s="29"/>
      <c r="F49" s="29"/>
      <c r="G49" s="30"/>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row>
    <row r="50" spans="1:61" ht="15.75" customHeight="1">
      <c r="A50" s="29"/>
      <c r="B50" s="29"/>
      <c r="C50" s="820"/>
      <c r="D50" s="29"/>
      <c r="E50" s="29"/>
      <c r="F50" s="29"/>
      <c r="G50" s="30"/>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row>
    <row r="51" spans="1:61" ht="15.75" customHeight="1">
      <c r="A51" s="29"/>
      <c r="B51" s="29"/>
      <c r="C51" s="820"/>
      <c r="D51" s="29"/>
      <c r="E51" s="29"/>
      <c r="F51" s="29"/>
      <c r="G51" s="30"/>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row>
    <row r="52" spans="1:61" ht="15.75" customHeight="1">
      <c r="A52" s="29"/>
      <c r="B52" s="29"/>
      <c r="C52" s="820"/>
      <c r="D52" s="29"/>
      <c r="E52" s="29"/>
      <c r="F52" s="29"/>
      <c r="G52" s="30"/>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row>
    <row r="53" spans="1:61" ht="15.75" customHeight="1">
      <c r="A53" s="29"/>
      <c r="B53" s="29"/>
      <c r="C53" s="820"/>
      <c r="D53" s="29"/>
      <c r="E53" s="29"/>
      <c r="F53" s="29"/>
      <c r="G53" s="30"/>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row>
    <row r="54" spans="1:61" ht="15.75" customHeight="1">
      <c r="A54" s="29"/>
      <c r="B54" s="29"/>
      <c r="C54" s="820"/>
      <c r="D54" s="29"/>
      <c r="E54" s="29"/>
      <c r="F54" s="29"/>
      <c r="G54" s="30"/>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row>
    <row r="55" spans="1:61" ht="15.75" customHeight="1">
      <c r="A55" s="29"/>
      <c r="B55" s="29"/>
      <c r="C55" s="820"/>
      <c r="D55" s="29"/>
      <c r="E55" s="29"/>
      <c r="F55" s="29"/>
      <c r="G55" s="30"/>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row>
    <row r="56" spans="1:61" ht="15.75" customHeight="1">
      <c r="A56" s="29"/>
      <c r="B56" s="29"/>
      <c r="C56" s="820"/>
      <c r="D56" s="29"/>
      <c r="E56" s="29"/>
      <c r="F56" s="29"/>
      <c r="G56" s="30"/>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row>
    <row r="57" spans="1:61" ht="15.75" customHeight="1">
      <c r="A57" s="29"/>
      <c r="B57" s="29"/>
      <c r="C57" s="820"/>
      <c r="D57" s="29"/>
      <c r="E57" s="29"/>
      <c r="F57" s="29"/>
      <c r="G57" s="30"/>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row>
    <row r="58" spans="1:61" ht="15.75" customHeight="1">
      <c r="A58" s="29"/>
      <c r="B58" s="29"/>
      <c r="C58" s="820"/>
      <c r="D58" s="29"/>
      <c r="E58" s="29"/>
      <c r="F58" s="29"/>
      <c r="G58" s="30"/>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row>
    <row r="59" spans="1:61" ht="15.75" customHeight="1">
      <c r="A59" s="29"/>
      <c r="B59" s="29"/>
      <c r="C59" s="820"/>
      <c r="D59" s="29"/>
      <c r="E59" s="29"/>
      <c r="F59" s="29"/>
      <c r="G59" s="30"/>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row>
    <row r="60" spans="1:61" ht="15.75" customHeight="1">
      <c r="A60" s="29"/>
      <c r="B60" s="29"/>
      <c r="C60" s="820"/>
      <c r="D60" s="29"/>
      <c r="E60" s="29"/>
      <c r="F60" s="29"/>
      <c r="G60" s="30"/>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row>
    <row r="61" spans="1:61" ht="15.75" customHeight="1">
      <c r="A61" s="29"/>
      <c r="B61" s="29"/>
      <c r="C61" s="820"/>
      <c r="D61" s="29"/>
      <c r="E61" s="29"/>
      <c r="F61" s="29"/>
      <c r="G61" s="30"/>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row>
    <row r="62" spans="1:61" ht="15.75" customHeight="1">
      <c r="A62" s="29"/>
      <c r="B62" s="29"/>
      <c r="C62" s="820"/>
      <c r="D62" s="29"/>
      <c r="E62" s="29"/>
      <c r="F62" s="29"/>
      <c r="G62" s="30"/>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row>
    <row r="63" spans="1:61" ht="15.75" customHeight="1">
      <c r="A63" s="29"/>
      <c r="B63" s="29"/>
      <c r="C63" s="820"/>
      <c r="D63" s="29"/>
      <c r="E63" s="29"/>
      <c r="F63" s="29"/>
      <c r="G63" s="30"/>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row>
    <row r="64" spans="1:61" ht="15.75" customHeight="1">
      <c r="A64" s="29"/>
      <c r="B64" s="29"/>
      <c r="C64" s="820"/>
      <c r="D64" s="29"/>
      <c r="E64" s="29"/>
      <c r="F64" s="29"/>
      <c r="G64" s="30"/>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row>
    <row r="65" spans="1:61" ht="15.75" customHeight="1">
      <c r="A65" s="29"/>
      <c r="B65" s="29"/>
      <c r="C65" s="820"/>
      <c r="D65" s="29"/>
      <c r="E65" s="29"/>
      <c r="F65" s="29"/>
      <c r="G65" s="30"/>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row>
    <row r="66" spans="1:61" ht="15.75" customHeight="1">
      <c r="A66" s="29"/>
      <c r="B66" s="29"/>
      <c r="C66" s="820"/>
      <c r="D66" s="29"/>
      <c r="E66" s="29"/>
      <c r="F66" s="29"/>
      <c r="G66" s="30"/>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row>
    <row r="67" spans="1:61" ht="15.75" customHeight="1">
      <c r="A67" s="29"/>
      <c r="B67" s="29"/>
      <c r="C67" s="820"/>
      <c r="D67" s="29"/>
      <c r="E67" s="29"/>
      <c r="F67" s="29"/>
      <c r="G67" s="30"/>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row>
    <row r="68" spans="1:61" ht="15.75" customHeight="1">
      <c r="A68" s="29"/>
      <c r="B68" s="29"/>
      <c r="C68" s="820"/>
      <c r="D68" s="29"/>
      <c r="E68" s="29"/>
      <c r="F68" s="29"/>
      <c r="G68" s="30"/>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row>
    <row r="69" spans="1:61" ht="15.75" customHeight="1">
      <c r="A69" s="29"/>
      <c r="B69" s="29"/>
      <c r="C69" s="820"/>
      <c r="D69" s="29"/>
      <c r="E69" s="29"/>
      <c r="F69" s="29"/>
      <c r="G69" s="30"/>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row>
    <row r="70" spans="1:61" ht="15.75" customHeight="1">
      <c r="A70" s="29"/>
      <c r="B70" s="29"/>
      <c r="C70" s="820"/>
      <c r="D70" s="29"/>
      <c r="E70" s="29"/>
      <c r="F70" s="29"/>
      <c r="G70" s="30"/>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row>
    <row r="71" spans="1:61" ht="15.75" customHeight="1">
      <c r="A71" s="29"/>
      <c r="B71" s="29"/>
      <c r="C71" s="820"/>
      <c r="D71" s="29"/>
      <c r="E71" s="29"/>
      <c r="F71" s="29"/>
      <c r="G71" s="30"/>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row>
    <row r="72" spans="1:61" ht="15.75" customHeight="1">
      <c r="A72" s="29"/>
      <c r="B72" s="29"/>
      <c r="C72" s="820"/>
      <c r="D72" s="29"/>
      <c r="E72" s="29"/>
      <c r="F72" s="29"/>
      <c r="G72" s="30"/>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row>
    <row r="73" spans="1:61" ht="15.75" customHeight="1">
      <c r="A73" s="29"/>
      <c r="B73" s="29"/>
      <c r="C73" s="820"/>
      <c r="D73" s="29"/>
      <c r="E73" s="29"/>
      <c r="F73" s="29"/>
      <c r="G73" s="30"/>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row>
    <row r="74" spans="1:61" ht="15.75" customHeight="1">
      <c r="A74" s="29"/>
      <c r="B74" s="29"/>
      <c r="C74" s="820"/>
      <c r="D74" s="29"/>
      <c r="E74" s="29"/>
      <c r="F74" s="29"/>
      <c r="G74" s="30"/>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row>
    <row r="75" spans="1:61" ht="15.75" customHeight="1">
      <c r="A75" s="29"/>
      <c r="B75" s="29"/>
      <c r="C75" s="820"/>
      <c r="D75" s="29"/>
      <c r="E75" s="29"/>
      <c r="F75" s="29"/>
      <c r="G75" s="30"/>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row>
    <row r="76" spans="1:61" ht="15.75" customHeight="1">
      <c r="A76" s="29"/>
      <c r="B76" s="29"/>
      <c r="C76" s="820"/>
      <c r="D76" s="29"/>
      <c r="E76" s="29"/>
      <c r="F76" s="29"/>
      <c r="G76" s="30"/>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row>
    <row r="77" spans="1:61" ht="15.75" customHeight="1">
      <c r="A77" s="29"/>
      <c r="B77" s="29"/>
      <c r="C77" s="820"/>
      <c r="D77" s="29"/>
      <c r="E77" s="29"/>
      <c r="F77" s="29"/>
      <c r="G77" s="30"/>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row>
    <row r="78" spans="1:61" ht="15.75" customHeight="1">
      <c r="A78" s="29"/>
      <c r="B78" s="29"/>
      <c r="C78" s="820"/>
      <c r="D78" s="29"/>
      <c r="E78" s="29"/>
      <c r="F78" s="29"/>
      <c r="G78" s="30"/>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row>
    <row r="79" spans="1:61" ht="15.75" customHeight="1">
      <c r="A79" s="29"/>
      <c r="B79" s="29"/>
      <c r="C79" s="820"/>
      <c r="D79" s="29"/>
      <c r="E79" s="29"/>
      <c r="F79" s="29"/>
      <c r="G79" s="30"/>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row>
    <row r="80" spans="1:61" ht="15.75" customHeight="1">
      <c r="A80" s="29"/>
      <c r="B80" s="29"/>
      <c r="C80" s="820"/>
      <c r="D80" s="29"/>
      <c r="E80" s="29"/>
      <c r="F80" s="29"/>
      <c r="G80" s="30"/>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row>
    <row r="81" spans="1:61" ht="15.75" customHeight="1">
      <c r="A81" s="29"/>
      <c r="B81" s="29"/>
      <c r="C81" s="820"/>
      <c r="D81" s="29"/>
      <c r="E81" s="29"/>
      <c r="F81" s="29"/>
      <c r="G81" s="30"/>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row>
    <row r="82" spans="1:61" ht="15.75" customHeight="1">
      <c r="A82" s="29"/>
      <c r="B82" s="29"/>
      <c r="C82" s="820"/>
      <c r="D82" s="29"/>
      <c r="E82" s="29"/>
      <c r="F82" s="29"/>
      <c r="G82" s="30"/>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row>
    <row r="83" spans="1:61" ht="15.75" customHeight="1">
      <c r="A83" s="29"/>
      <c r="B83" s="29"/>
      <c r="C83" s="820"/>
      <c r="D83" s="29"/>
      <c r="E83" s="29"/>
      <c r="F83" s="29"/>
      <c r="G83" s="30"/>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row>
    <row r="84" spans="1:61" ht="15.75" customHeight="1">
      <c r="A84" s="29"/>
      <c r="B84" s="29"/>
      <c r="C84" s="820"/>
      <c r="D84" s="29"/>
      <c r="E84" s="29"/>
      <c r="F84" s="29"/>
      <c r="G84" s="30"/>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row>
    <row r="85" spans="1:61" ht="15.75" customHeight="1">
      <c r="A85" s="29"/>
      <c r="B85" s="29"/>
      <c r="C85" s="820"/>
      <c r="D85" s="29"/>
      <c r="E85" s="29"/>
      <c r="F85" s="29"/>
      <c r="G85" s="30"/>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row>
    <row r="86" spans="1:61" ht="15.75" customHeight="1">
      <c r="A86" s="29"/>
      <c r="B86" s="29"/>
      <c r="C86" s="820"/>
      <c r="D86" s="29"/>
      <c r="E86" s="29"/>
      <c r="F86" s="29"/>
      <c r="G86" s="30"/>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row>
    <row r="87" spans="1:61" ht="15.75" customHeight="1">
      <c r="A87" s="29"/>
      <c r="B87" s="29"/>
      <c r="C87" s="820"/>
      <c r="D87" s="29"/>
      <c r="E87" s="29"/>
      <c r="F87" s="29"/>
      <c r="G87" s="30"/>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row>
    <row r="88" spans="1:61" ht="15.75" customHeight="1">
      <c r="A88" s="29"/>
      <c r="B88" s="29"/>
      <c r="C88" s="820"/>
      <c r="D88" s="29"/>
      <c r="E88" s="29"/>
      <c r="F88" s="29"/>
      <c r="G88" s="30"/>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row>
    <row r="89" spans="1:61" ht="15.75" customHeight="1">
      <c r="A89" s="29"/>
      <c r="B89" s="29"/>
      <c r="C89" s="820"/>
      <c r="D89" s="29"/>
      <c r="E89" s="29"/>
      <c r="F89" s="29"/>
      <c r="G89" s="30"/>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row>
    <row r="90" spans="1:61" ht="15.75" customHeight="1">
      <c r="A90" s="29"/>
      <c r="B90" s="29"/>
      <c r="C90" s="820"/>
      <c r="D90" s="29"/>
      <c r="E90" s="29"/>
      <c r="F90" s="29"/>
      <c r="G90" s="30"/>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row>
    <row r="91" spans="1:61" ht="15.75" customHeight="1">
      <c r="A91" s="29"/>
      <c r="B91" s="29"/>
      <c r="C91" s="820"/>
      <c r="D91" s="29"/>
      <c r="E91" s="29"/>
      <c r="F91" s="29"/>
      <c r="G91" s="30"/>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row>
    <row r="92" spans="1:61" ht="15.75" customHeight="1">
      <c r="A92" s="29"/>
      <c r="B92" s="29"/>
      <c r="C92" s="820"/>
      <c r="D92" s="29"/>
      <c r="E92" s="29"/>
      <c r="F92" s="29"/>
      <c r="G92" s="30"/>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row>
    <row r="93" spans="1:61" ht="15.75" customHeight="1">
      <c r="A93" s="29"/>
      <c r="B93" s="29"/>
      <c r="C93" s="820"/>
      <c r="D93" s="29"/>
      <c r="E93" s="29"/>
      <c r="F93" s="29"/>
      <c r="G93" s="30"/>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row>
    <row r="94" spans="1:61" ht="15.75" customHeight="1">
      <c r="A94" s="29"/>
      <c r="B94" s="29"/>
      <c r="C94" s="820"/>
      <c r="D94" s="29"/>
      <c r="E94" s="29"/>
      <c r="F94" s="29"/>
      <c r="G94" s="30"/>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row>
    <row r="95" spans="1:61" ht="15.75" customHeight="1">
      <c r="A95" s="29"/>
      <c r="B95" s="29"/>
      <c r="C95" s="820"/>
      <c r="D95" s="29"/>
      <c r="E95" s="29"/>
      <c r="F95" s="29"/>
      <c r="G95" s="30"/>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row>
    <row r="96" spans="1:61" ht="15.75" customHeight="1">
      <c r="A96" s="29"/>
      <c r="B96" s="29"/>
      <c r="C96" s="820"/>
      <c r="D96" s="29"/>
      <c r="E96" s="29"/>
      <c r="F96" s="29"/>
      <c r="G96" s="30"/>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row>
    <row r="97" spans="1:61" ht="15.75" customHeight="1">
      <c r="A97" s="29"/>
      <c r="B97" s="29"/>
      <c r="C97" s="820"/>
      <c r="D97" s="29"/>
      <c r="E97" s="29"/>
      <c r="F97" s="29"/>
      <c r="G97" s="30"/>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row>
    <row r="98" spans="1:61" ht="15.75" customHeight="1">
      <c r="A98" s="29"/>
      <c r="B98" s="29"/>
      <c r="C98" s="820"/>
      <c r="D98" s="29"/>
      <c r="E98" s="29"/>
      <c r="F98" s="29"/>
      <c r="G98" s="30"/>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row>
    <row r="99" spans="1:61" ht="15.75" customHeight="1">
      <c r="A99" s="29"/>
      <c r="B99" s="29"/>
      <c r="C99" s="820"/>
      <c r="D99" s="29"/>
      <c r="E99" s="29"/>
      <c r="F99" s="29"/>
      <c r="G99" s="30"/>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row>
    <row r="100" spans="1:61" ht="15.75" customHeight="1">
      <c r="A100" s="29"/>
      <c r="B100" s="29"/>
      <c r="C100" s="820"/>
      <c r="D100" s="29"/>
      <c r="E100" s="29"/>
      <c r="F100" s="29"/>
      <c r="G100" s="30"/>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row>
    <row r="101" spans="1:61" ht="15.75" customHeight="1">
      <c r="A101" s="29"/>
      <c r="B101" s="29"/>
      <c r="C101" s="820"/>
      <c r="D101" s="29"/>
      <c r="E101" s="29"/>
      <c r="F101" s="29"/>
      <c r="G101" s="30"/>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row>
    <row r="102" spans="1:61" ht="15.75" customHeight="1">
      <c r="A102" s="29"/>
      <c r="B102" s="29"/>
      <c r="C102" s="820"/>
      <c r="D102" s="29"/>
      <c r="E102" s="29"/>
      <c r="F102" s="29"/>
      <c r="G102" s="30"/>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row>
    <row r="103" spans="1:61" ht="15.75" customHeight="1">
      <c r="A103" s="29"/>
      <c r="B103" s="29"/>
      <c r="C103" s="820"/>
      <c r="D103" s="29"/>
      <c r="E103" s="29"/>
      <c r="F103" s="29"/>
      <c r="G103" s="30"/>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row>
    <row r="104" spans="1:61" ht="15.75" customHeight="1">
      <c r="A104" s="29"/>
      <c r="B104" s="29"/>
      <c r="C104" s="820"/>
      <c r="D104" s="29"/>
      <c r="E104" s="29"/>
      <c r="F104" s="29"/>
      <c r="G104" s="30"/>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row>
    <row r="105" spans="1:61" ht="15.75" customHeight="1">
      <c r="A105" s="29"/>
      <c r="B105" s="29"/>
      <c r="C105" s="820"/>
      <c r="D105" s="29"/>
      <c r="E105" s="29"/>
      <c r="F105" s="29"/>
      <c r="G105" s="30"/>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row>
    <row r="106" spans="1:61" ht="15.75" customHeight="1">
      <c r="A106" s="29"/>
      <c r="B106" s="29"/>
      <c r="C106" s="820"/>
      <c r="D106" s="29"/>
      <c r="E106" s="29"/>
      <c r="F106" s="29"/>
      <c r="G106" s="30"/>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row>
    <row r="107" spans="1:61" ht="15.75" customHeight="1">
      <c r="A107" s="29"/>
      <c r="B107" s="29"/>
      <c r="C107" s="820"/>
      <c r="D107" s="29"/>
      <c r="E107" s="29"/>
      <c r="F107" s="29"/>
      <c r="G107" s="30"/>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row>
    <row r="108" spans="1:61" ht="15.75" customHeight="1">
      <c r="A108" s="29"/>
      <c r="B108" s="29"/>
      <c r="C108" s="820"/>
      <c r="D108" s="29"/>
      <c r="E108" s="29"/>
      <c r="F108" s="29"/>
      <c r="G108" s="30"/>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row>
    <row r="109" spans="1:61" ht="15.75" customHeight="1">
      <c r="A109" s="29"/>
      <c r="B109" s="29"/>
      <c r="C109" s="820"/>
      <c r="D109" s="29"/>
      <c r="E109" s="29"/>
      <c r="F109" s="29"/>
      <c r="G109" s="30"/>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row>
    <row r="110" spans="1:61" ht="15.75" customHeight="1">
      <c r="A110" s="29"/>
      <c r="B110" s="29"/>
      <c r="C110" s="820"/>
      <c r="D110" s="29"/>
      <c r="E110" s="29"/>
      <c r="F110" s="29"/>
      <c r="G110" s="30"/>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row>
    <row r="111" spans="1:61" ht="15.75" customHeight="1">
      <c r="A111" s="29"/>
      <c r="B111" s="29"/>
      <c r="C111" s="820"/>
      <c r="D111" s="29"/>
      <c r="E111" s="29"/>
      <c r="F111" s="29"/>
      <c r="G111" s="30"/>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row>
    <row r="112" spans="1:61" ht="15.75" customHeight="1">
      <c r="A112" s="29"/>
      <c r="B112" s="29"/>
      <c r="C112" s="820"/>
      <c r="D112" s="29"/>
      <c r="E112" s="29"/>
      <c r="F112" s="29"/>
      <c r="G112" s="30"/>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row>
    <row r="113" spans="1:61" ht="15.75" customHeight="1">
      <c r="A113" s="29"/>
      <c r="B113" s="29"/>
      <c r="C113" s="820"/>
      <c r="D113" s="29"/>
      <c r="E113" s="29"/>
      <c r="F113" s="29"/>
      <c r="G113" s="30"/>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row>
    <row r="114" spans="1:61" ht="15.75" customHeight="1">
      <c r="A114" s="29"/>
      <c r="B114" s="29"/>
      <c r="C114" s="820"/>
      <c r="D114" s="29"/>
      <c r="E114" s="29"/>
      <c r="F114" s="29"/>
      <c r="G114" s="30"/>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row>
    <row r="115" spans="1:61" ht="15.75" customHeight="1">
      <c r="A115" s="29"/>
      <c r="B115" s="29"/>
      <c r="C115" s="820"/>
      <c r="D115" s="29"/>
      <c r="E115" s="29"/>
      <c r="F115" s="29"/>
      <c r="G115" s="30"/>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row>
    <row r="116" spans="1:61" ht="15.75" customHeight="1">
      <c r="A116" s="29"/>
      <c r="B116" s="29"/>
      <c r="C116" s="820"/>
      <c r="D116" s="29"/>
      <c r="E116" s="29"/>
      <c r="F116" s="29"/>
      <c r="G116" s="30"/>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row>
    <row r="117" spans="1:61" ht="15.75" customHeight="1">
      <c r="A117" s="29"/>
      <c r="B117" s="29"/>
      <c r="C117" s="820"/>
      <c r="D117" s="29"/>
      <c r="E117" s="29"/>
      <c r="F117" s="29"/>
      <c r="G117" s="30"/>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row>
    <row r="118" spans="1:61" ht="15.75" customHeight="1">
      <c r="A118" s="29"/>
      <c r="B118" s="29"/>
      <c r="C118" s="820"/>
      <c r="D118" s="29"/>
      <c r="E118" s="29"/>
      <c r="F118" s="29"/>
      <c r="G118" s="30"/>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row>
    <row r="119" spans="1:61" ht="15.75" customHeight="1">
      <c r="A119" s="29"/>
      <c r="B119" s="29"/>
      <c r="C119" s="820"/>
      <c r="D119" s="29"/>
      <c r="E119" s="29"/>
      <c r="F119" s="29"/>
      <c r="G119" s="30"/>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row>
    <row r="120" spans="1:61" ht="15.75" customHeight="1">
      <c r="A120" s="29"/>
      <c r="B120" s="29"/>
      <c r="C120" s="820"/>
      <c r="D120" s="29"/>
      <c r="E120" s="29"/>
      <c r="F120" s="29"/>
      <c r="G120" s="30"/>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row>
    <row r="121" spans="1:61" ht="15.75" customHeight="1">
      <c r="A121" s="29"/>
      <c r="B121" s="29"/>
      <c r="C121" s="820"/>
      <c r="D121" s="29"/>
      <c r="E121" s="29"/>
      <c r="F121" s="29"/>
      <c r="G121" s="30"/>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row>
    <row r="122" spans="1:61" ht="15.75" customHeight="1">
      <c r="A122" s="29"/>
      <c r="B122" s="29"/>
      <c r="C122" s="820"/>
      <c r="D122" s="29"/>
      <c r="E122" s="29"/>
      <c r="F122" s="29"/>
      <c r="G122" s="30"/>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row>
    <row r="123" spans="1:61" ht="15.75" customHeight="1">
      <c r="C123" s="549"/>
    </row>
    <row r="124" spans="1:61" ht="15.75" customHeight="1">
      <c r="C124" s="549"/>
    </row>
    <row r="125" spans="1:61" ht="15.75" customHeight="1">
      <c r="C125" s="549"/>
    </row>
    <row r="126" spans="1:61" ht="15.75" customHeight="1">
      <c r="C126" s="549"/>
    </row>
    <row r="127" spans="1:61" ht="15.75" customHeight="1">
      <c r="C127" s="549"/>
    </row>
    <row r="128" spans="1:61" ht="15.75" customHeight="1">
      <c r="C128" s="549"/>
    </row>
    <row r="129" spans="3:3" ht="15.75" customHeight="1">
      <c r="C129" s="549"/>
    </row>
    <row r="130" spans="3:3" ht="15.75" customHeight="1">
      <c r="C130" s="549"/>
    </row>
    <row r="131" spans="3:3" ht="15.75" customHeight="1">
      <c r="C131" s="549"/>
    </row>
    <row r="132" spans="3:3" ht="15.75" customHeight="1">
      <c r="C132" s="549"/>
    </row>
    <row r="133" spans="3:3" ht="15.75" customHeight="1">
      <c r="C133" s="549"/>
    </row>
    <row r="134" spans="3:3" ht="15.75" customHeight="1">
      <c r="C134" s="549"/>
    </row>
    <row r="135" spans="3:3" ht="15.75" customHeight="1">
      <c r="C135" s="549"/>
    </row>
    <row r="136" spans="3:3" ht="15.75" customHeight="1">
      <c r="C136" s="549"/>
    </row>
    <row r="137" spans="3:3" ht="15.75" customHeight="1">
      <c r="C137" s="549"/>
    </row>
    <row r="138" spans="3:3" ht="15.75" customHeight="1">
      <c r="C138" s="549"/>
    </row>
    <row r="139" spans="3:3" ht="15.75" customHeight="1">
      <c r="C139" s="549"/>
    </row>
    <row r="140" spans="3:3" ht="15.75" customHeight="1">
      <c r="C140" s="549"/>
    </row>
    <row r="141" spans="3:3" ht="15.75" customHeight="1">
      <c r="C141" s="549"/>
    </row>
    <row r="142" spans="3:3" ht="15.75" customHeight="1">
      <c r="C142" s="549"/>
    </row>
    <row r="143" spans="3:3" ht="15.75" customHeight="1">
      <c r="C143" s="549"/>
    </row>
    <row r="144" spans="3:3" ht="15.75" customHeight="1">
      <c r="C144" s="549"/>
    </row>
    <row r="145" spans="3:3" ht="15.75" customHeight="1">
      <c r="C145" s="549"/>
    </row>
    <row r="146" spans="3:3" ht="15.75" customHeight="1">
      <c r="C146" s="549"/>
    </row>
    <row r="147" spans="3:3" ht="15.75" customHeight="1">
      <c r="C147" s="549"/>
    </row>
    <row r="148" spans="3:3" ht="15.75" customHeight="1">
      <c r="C148" s="549"/>
    </row>
    <row r="149" spans="3:3" ht="15.75" customHeight="1">
      <c r="C149" s="549"/>
    </row>
    <row r="150" spans="3:3" ht="15.75" customHeight="1">
      <c r="C150" s="549"/>
    </row>
    <row r="151" spans="3:3" ht="15.75" customHeight="1">
      <c r="C151" s="549"/>
    </row>
    <row r="152" spans="3:3" ht="15.75" customHeight="1">
      <c r="C152" s="549"/>
    </row>
    <row r="153" spans="3:3" ht="15.75" customHeight="1">
      <c r="C153" s="549"/>
    </row>
    <row r="154" spans="3:3" ht="15.75" customHeight="1">
      <c r="C154" s="549"/>
    </row>
    <row r="155" spans="3:3" ht="15.75" customHeight="1">
      <c r="C155" s="549"/>
    </row>
    <row r="156" spans="3:3" ht="15.75" customHeight="1">
      <c r="C156" s="549"/>
    </row>
    <row r="157" spans="3:3" ht="15.75" customHeight="1">
      <c r="C157" s="549"/>
    </row>
    <row r="158" spans="3:3" ht="15.75" customHeight="1">
      <c r="C158" s="549"/>
    </row>
    <row r="159" spans="3:3" ht="15.75" customHeight="1">
      <c r="C159" s="549"/>
    </row>
    <row r="160" spans="3:3" ht="15.75" customHeight="1">
      <c r="C160" s="549"/>
    </row>
    <row r="161" spans="3:3" ht="15.75" customHeight="1">
      <c r="C161" s="549"/>
    </row>
    <row r="162" spans="3:3" ht="15.75" customHeight="1">
      <c r="C162" s="549"/>
    </row>
    <row r="163" spans="3:3" ht="15.75" customHeight="1">
      <c r="C163" s="549"/>
    </row>
    <row r="164" spans="3:3" ht="15.75" customHeight="1">
      <c r="C164" s="549"/>
    </row>
    <row r="165" spans="3:3" ht="15.75" customHeight="1">
      <c r="C165" s="549"/>
    </row>
    <row r="166" spans="3:3" ht="15.75" customHeight="1">
      <c r="C166" s="549"/>
    </row>
    <row r="167" spans="3:3" ht="15.75" customHeight="1">
      <c r="C167" s="549"/>
    </row>
    <row r="168" spans="3:3" ht="15.75" customHeight="1">
      <c r="C168" s="549"/>
    </row>
    <row r="169" spans="3:3" ht="15.75" customHeight="1">
      <c r="C169" s="549"/>
    </row>
    <row r="170" spans="3:3" ht="15.75" customHeight="1">
      <c r="C170" s="549"/>
    </row>
    <row r="171" spans="3:3" ht="15.75" customHeight="1">
      <c r="C171" s="549"/>
    </row>
    <row r="172" spans="3:3" ht="15.75" customHeight="1">
      <c r="C172" s="549"/>
    </row>
    <row r="173" spans="3:3" ht="15.75" customHeight="1">
      <c r="C173" s="549"/>
    </row>
    <row r="174" spans="3:3" ht="15.75" customHeight="1">
      <c r="C174" s="549"/>
    </row>
    <row r="175" spans="3:3" ht="15.75" customHeight="1">
      <c r="C175" s="549"/>
    </row>
    <row r="176" spans="3:3" ht="15.75" customHeight="1">
      <c r="C176" s="549"/>
    </row>
    <row r="177" spans="3:3" ht="15.75" customHeight="1">
      <c r="C177" s="549"/>
    </row>
    <row r="178" spans="3:3" ht="15.75" customHeight="1">
      <c r="C178" s="549"/>
    </row>
    <row r="179" spans="3:3" ht="15.75" customHeight="1">
      <c r="C179" s="549"/>
    </row>
    <row r="180" spans="3:3" ht="15.75" customHeight="1">
      <c r="C180" s="549"/>
    </row>
    <row r="181" spans="3:3" ht="15.75" customHeight="1">
      <c r="C181" s="549"/>
    </row>
    <row r="182" spans="3:3" ht="15.75" customHeight="1">
      <c r="C182" s="549"/>
    </row>
    <row r="183" spans="3:3" ht="15.75" customHeight="1">
      <c r="C183" s="549"/>
    </row>
    <row r="184" spans="3:3" ht="15.75" customHeight="1">
      <c r="C184" s="549"/>
    </row>
    <row r="185" spans="3:3" ht="15.75" customHeight="1">
      <c r="C185" s="549"/>
    </row>
    <row r="186" spans="3:3" ht="15.75" customHeight="1">
      <c r="C186" s="549"/>
    </row>
    <row r="187" spans="3:3" ht="15.75" customHeight="1">
      <c r="C187" s="549"/>
    </row>
    <row r="188" spans="3:3" ht="15.75" customHeight="1">
      <c r="C188" s="549"/>
    </row>
    <row r="189" spans="3:3" ht="15.75" customHeight="1">
      <c r="C189" s="549"/>
    </row>
    <row r="190" spans="3:3" ht="15.75" customHeight="1">
      <c r="C190" s="549"/>
    </row>
    <row r="191" spans="3:3" ht="15.75" customHeight="1">
      <c r="C191" s="549"/>
    </row>
    <row r="192" spans="3:3" ht="15.75" customHeight="1">
      <c r="C192" s="549"/>
    </row>
    <row r="193" spans="3:3" ht="15.75" customHeight="1">
      <c r="C193" s="549"/>
    </row>
    <row r="194" spans="3:3" ht="15.75" customHeight="1">
      <c r="C194" s="549"/>
    </row>
    <row r="195" spans="3:3" ht="15.75" customHeight="1">
      <c r="C195" s="549"/>
    </row>
    <row r="196" spans="3:3" ht="15.75" customHeight="1">
      <c r="C196" s="549"/>
    </row>
    <row r="197" spans="3:3" ht="15.75" customHeight="1">
      <c r="C197" s="549"/>
    </row>
    <row r="198" spans="3:3" ht="15.75" customHeight="1">
      <c r="C198" s="549"/>
    </row>
    <row r="199" spans="3:3" ht="15.75" customHeight="1">
      <c r="C199" s="549"/>
    </row>
    <row r="200" spans="3:3" ht="15.75" customHeight="1">
      <c r="C200" s="549"/>
    </row>
    <row r="201" spans="3:3" ht="15.75" customHeight="1">
      <c r="C201" s="549"/>
    </row>
    <row r="202" spans="3:3" ht="15.75" customHeight="1">
      <c r="C202" s="549"/>
    </row>
    <row r="203" spans="3:3" ht="15.75" customHeight="1">
      <c r="C203" s="549"/>
    </row>
    <row r="204" spans="3:3" ht="15.75" customHeight="1">
      <c r="C204" s="549"/>
    </row>
    <row r="205" spans="3:3" ht="15.75" customHeight="1">
      <c r="C205" s="549"/>
    </row>
    <row r="206" spans="3:3" ht="15.75" customHeight="1">
      <c r="C206" s="549"/>
    </row>
    <row r="207" spans="3:3" ht="15.75" customHeight="1">
      <c r="C207" s="549"/>
    </row>
    <row r="208" spans="3:3" ht="15.75" customHeight="1">
      <c r="C208" s="549"/>
    </row>
    <row r="209" spans="3:3" ht="15.75" customHeight="1">
      <c r="C209" s="549"/>
    </row>
    <row r="210" spans="3:3" ht="15.75" customHeight="1">
      <c r="C210" s="549"/>
    </row>
    <row r="211" spans="3:3" ht="15.75" customHeight="1">
      <c r="C211" s="549"/>
    </row>
    <row r="212" spans="3:3" ht="15.75" customHeight="1">
      <c r="C212" s="549"/>
    </row>
    <row r="213" spans="3:3" ht="15.75" customHeight="1">
      <c r="C213" s="549"/>
    </row>
    <row r="214" spans="3:3" ht="15.75" customHeight="1">
      <c r="C214" s="549"/>
    </row>
    <row r="215" spans="3:3" ht="15.75" customHeight="1">
      <c r="C215" s="549"/>
    </row>
    <row r="216" spans="3:3" ht="15.75" customHeight="1">
      <c r="C216" s="549"/>
    </row>
    <row r="217" spans="3:3" ht="15.75" customHeight="1">
      <c r="C217" s="549"/>
    </row>
    <row r="218" spans="3:3" ht="15.75" customHeight="1">
      <c r="C218" s="549"/>
    </row>
    <row r="219" spans="3:3" ht="15.75" customHeight="1">
      <c r="C219" s="549"/>
    </row>
    <row r="220" spans="3:3" ht="15.75" customHeight="1">
      <c r="C220" s="549"/>
    </row>
    <row r="221" spans="3:3" ht="15.75" customHeight="1">
      <c r="C221" s="549"/>
    </row>
    <row r="222" spans="3:3" ht="15.75" customHeight="1">
      <c r="C222" s="549"/>
    </row>
    <row r="223" spans="3:3" ht="15.75" customHeight="1">
      <c r="C223" s="549"/>
    </row>
    <row r="224" spans="3:3" ht="15.75" customHeight="1">
      <c r="C224" s="549"/>
    </row>
    <row r="225" spans="3:3" ht="15.75" customHeight="1">
      <c r="C225" s="549"/>
    </row>
    <row r="226" spans="3:3" ht="15.75" customHeight="1">
      <c r="C226" s="549"/>
    </row>
    <row r="227" spans="3:3" ht="15.75" customHeight="1">
      <c r="C227" s="549"/>
    </row>
    <row r="228" spans="3:3" ht="15.75" customHeight="1">
      <c r="C228" s="549"/>
    </row>
    <row r="229" spans="3:3" ht="15.75" customHeight="1">
      <c r="C229" s="549"/>
    </row>
    <row r="230" spans="3:3" ht="15.75" customHeight="1">
      <c r="C230" s="549"/>
    </row>
    <row r="231" spans="3:3" ht="15.75" customHeight="1">
      <c r="C231" s="549"/>
    </row>
    <row r="232" spans="3:3" ht="15.75" customHeight="1">
      <c r="C232" s="549"/>
    </row>
    <row r="233" spans="3:3" ht="15.75" customHeight="1">
      <c r="C233" s="549"/>
    </row>
    <row r="234" spans="3:3" ht="15.75" customHeight="1">
      <c r="C234" s="549"/>
    </row>
    <row r="235" spans="3:3" ht="15.75" customHeight="1">
      <c r="C235" s="549"/>
    </row>
    <row r="236" spans="3:3" ht="15.75" customHeight="1">
      <c r="C236" s="549"/>
    </row>
    <row r="237" spans="3:3" ht="15.75" customHeight="1">
      <c r="C237" s="549"/>
    </row>
    <row r="238" spans="3:3" ht="15.75" customHeight="1">
      <c r="C238" s="549"/>
    </row>
    <row r="239" spans="3:3" ht="15.75" customHeight="1">
      <c r="C239" s="549"/>
    </row>
    <row r="240" spans="3:3" ht="15.75" customHeight="1">
      <c r="C240" s="549"/>
    </row>
    <row r="241" spans="3:3" ht="15.75" customHeight="1">
      <c r="C241" s="549"/>
    </row>
    <row r="242" spans="3:3" ht="15.75" customHeight="1">
      <c r="C242" s="549"/>
    </row>
    <row r="243" spans="3:3" ht="15.75" customHeight="1">
      <c r="C243" s="549"/>
    </row>
    <row r="244" spans="3:3" ht="15.75" customHeight="1">
      <c r="C244" s="549"/>
    </row>
    <row r="245" spans="3:3" ht="15.75" customHeight="1">
      <c r="C245" s="549"/>
    </row>
    <row r="246" spans="3:3" ht="15.75" customHeight="1">
      <c r="C246" s="549"/>
    </row>
    <row r="247" spans="3:3" ht="15.75" customHeight="1">
      <c r="C247" s="549"/>
    </row>
    <row r="248" spans="3:3" ht="15.75" customHeight="1">
      <c r="C248" s="549"/>
    </row>
    <row r="249" spans="3:3" ht="15.75" customHeight="1">
      <c r="C249" s="549"/>
    </row>
    <row r="250" spans="3:3" ht="15.75" customHeight="1">
      <c r="C250" s="549"/>
    </row>
    <row r="251" spans="3:3" ht="15.75" customHeight="1">
      <c r="C251" s="549"/>
    </row>
    <row r="252" spans="3:3" ht="15.75" customHeight="1">
      <c r="C252" s="549"/>
    </row>
    <row r="253" spans="3:3" ht="15.75" customHeight="1">
      <c r="C253" s="549"/>
    </row>
    <row r="254" spans="3:3" ht="15.75" customHeight="1">
      <c r="C254" s="549"/>
    </row>
    <row r="255" spans="3:3" ht="15.75" customHeight="1">
      <c r="C255" s="549"/>
    </row>
    <row r="256" spans="3:3" ht="15.75" customHeight="1">
      <c r="C256" s="549"/>
    </row>
    <row r="257" spans="3:3" ht="15.75" customHeight="1">
      <c r="C257" s="549"/>
    </row>
    <row r="258" spans="3:3" ht="15.75" customHeight="1">
      <c r="C258" s="549"/>
    </row>
    <row r="259" spans="3:3" ht="15.75" customHeight="1">
      <c r="C259" s="549"/>
    </row>
    <row r="260" spans="3:3" ht="15.75" customHeight="1">
      <c r="C260" s="549"/>
    </row>
    <row r="261" spans="3:3" ht="15.75" customHeight="1">
      <c r="C261" s="549"/>
    </row>
    <row r="262" spans="3:3" ht="15.75" customHeight="1">
      <c r="C262" s="549"/>
    </row>
    <row r="263" spans="3:3" ht="15.75" customHeight="1">
      <c r="C263" s="549"/>
    </row>
    <row r="264" spans="3:3" ht="15.75" customHeight="1">
      <c r="C264" s="549"/>
    </row>
    <row r="265" spans="3:3" ht="15.75" customHeight="1">
      <c r="C265" s="549"/>
    </row>
    <row r="266" spans="3:3" ht="15.75" customHeight="1">
      <c r="C266" s="549"/>
    </row>
    <row r="267" spans="3:3" ht="15.75" customHeight="1">
      <c r="C267" s="549"/>
    </row>
    <row r="268" spans="3:3" ht="15.75" customHeight="1">
      <c r="C268" s="549"/>
    </row>
    <row r="269" spans="3:3" ht="15.75" customHeight="1">
      <c r="C269" s="549"/>
    </row>
    <row r="270" spans="3:3" ht="15.75" customHeight="1">
      <c r="C270" s="549"/>
    </row>
    <row r="271" spans="3:3" ht="15.75" customHeight="1">
      <c r="C271" s="549"/>
    </row>
    <row r="272" spans="3:3" ht="15.75" customHeight="1">
      <c r="C272" s="549"/>
    </row>
    <row r="273" spans="3:3" ht="15.75" customHeight="1">
      <c r="C273" s="549"/>
    </row>
    <row r="274" spans="3:3" ht="15.75" customHeight="1">
      <c r="C274" s="549"/>
    </row>
    <row r="275" spans="3:3" ht="15.75" customHeight="1">
      <c r="C275" s="549"/>
    </row>
    <row r="276" spans="3:3" ht="15.75" customHeight="1">
      <c r="C276" s="549"/>
    </row>
    <row r="277" spans="3:3" ht="15.75" customHeight="1">
      <c r="C277" s="549"/>
    </row>
    <row r="278" spans="3:3" ht="15.75" customHeight="1">
      <c r="C278" s="549"/>
    </row>
    <row r="279" spans="3:3" ht="15.75" customHeight="1">
      <c r="C279" s="549"/>
    </row>
    <row r="280" spans="3:3" ht="15.75" customHeight="1">
      <c r="C280" s="549"/>
    </row>
    <row r="281" spans="3:3" ht="15.75" customHeight="1">
      <c r="C281" s="549"/>
    </row>
    <row r="282" spans="3:3" ht="15.75" customHeight="1">
      <c r="C282" s="549"/>
    </row>
    <row r="283" spans="3:3" ht="15.75" customHeight="1">
      <c r="C283" s="549"/>
    </row>
    <row r="284" spans="3:3" ht="15.75" customHeight="1">
      <c r="C284" s="549"/>
    </row>
    <row r="285" spans="3:3" ht="15.75" customHeight="1">
      <c r="C285" s="549"/>
    </row>
    <row r="286" spans="3:3" ht="15.75" customHeight="1">
      <c r="C286" s="549"/>
    </row>
    <row r="287" spans="3:3" ht="15.75" customHeight="1">
      <c r="C287" s="549"/>
    </row>
    <row r="288" spans="3:3" ht="15.75" customHeight="1">
      <c r="C288" s="549"/>
    </row>
    <row r="289" spans="3:3" ht="15.75" customHeight="1">
      <c r="C289" s="549"/>
    </row>
    <row r="290" spans="3:3" ht="15.75" customHeight="1">
      <c r="C290" s="549"/>
    </row>
    <row r="291" spans="3:3" ht="15.75" customHeight="1">
      <c r="C291" s="549"/>
    </row>
    <row r="292" spans="3:3" ht="15.75" customHeight="1">
      <c r="C292" s="549"/>
    </row>
    <row r="293" spans="3:3" ht="15.75" customHeight="1">
      <c r="C293" s="549"/>
    </row>
    <row r="294" spans="3:3" ht="15.75" customHeight="1">
      <c r="C294" s="549"/>
    </row>
    <row r="295" spans="3:3" ht="15.75" customHeight="1">
      <c r="C295" s="549"/>
    </row>
    <row r="296" spans="3:3" ht="15.75" customHeight="1">
      <c r="C296" s="549"/>
    </row>
    <row r="297" spans="3:3" ht="15.75" customHeight="1">
      <c r="C297" s="549"/>
    </row>
    <row r="298" spans="3:3" ht="15.75" customHeight="1">
      <c r="C298" s="549"/>
    </row>
    <row r="299" spans="3:3" ht="15.75" customHeight="1">
      <c r="C299" s="549"/>
    </row>
    <row r="300" spans="3:3" ht="15.75" customHeight="1">
      <c r="C300" s="549"/>
    </row>
    <row r="301" spans="3:3" ht="15.75" customHeight="1">
      <c r="C301" s="549"/>
    </row>
    <row r="302" spans="3:3" ht="15.75" customHeight="1">
      <c r="C302" s="549"/>
    </row>
    <row r="303" spans="3:3" ht="15.75" customHeight="1">
      <c r="C303" s="549"/>
    </row>
    <row r="304" spans="3:3" ht="15.75" customHeight="1">
      <c r="C304" s="549"/>
    </row>
    <row r="305" spans="3:3" ht="15.75" customHeight="1">
      <c r="C305" s="549"/>
    </row>
    <row r="306" spans="3:3" ht="15.75" customHeight="1">
      <c r="C306" s="549"/>
    </row>
    <row r="307" spans="3:3" ht="15.75" customHeight="1">
      <c r="C307" s="549"/>
    </row>
    <row r="308" spans="3:3" ht="15.75" customHeight="1">
      <c r="C308" s="549"/>
    </row>
    <row r="309" spans="3:3" ht="15.75" customHeight="1">
      <c r="C309" s="549"/>
    </row>
    <row r="310" spans="3:3" ht="15.75" customHeight="1">
      <c r="C310" s="549"/>
    </row>
    <row r="311" spans="3:3" ht="15.75" customHeight="1">
      <c r="C311" s="549"/>
    </row>
    <row r="312" spans="3:3" ht="15.75" customHeight="1">
      <c r="C312" s="549"/>
    </row>
    <row r="313" spans="3:3" ht="15.75" customHeight="1">
      <c r="C313" s="549"/>
    </row>
    <row r="314" spans="3:3" ht="15.75" customHeight="1">
      <c r="C314" s="549"/>
    </row>
    <row r="315" spans="3:3" ht="15.75" customHeight="1">
      <c r="C315" s="549"/>
    </row>
    <row r="316" spans="3:3" ht="15.75" customHeight="1">
      <c r="C316" s="549"/>
    </row>
    <row r="317" spans="3:3" ht="15.75" customHeight="1">
      <c r="C317" s="549"/>
    </row>
    <row r="318" spans="3:3" ht="15.75" customHeight="1">
      <c r="C318" s="549"/>
    </row>
    <row r="319" spans="3:3" ht="15.75" customHeight="1">
      <c r="C319" s="549"/>
    </row>
    <row r="320" spans="3:3" ht="15.75" customHeight="1">
      <c r="C320" s="549"/>
    </row>
    <row r="321" spans="3:3" ht="15.75" customHeight="1">
      <c r="C321" s="549"/>
    </row>
    <row r="322" spans="3:3" ht="15.75" customHeight="1">
      <c r="C322" s="549"/>
    </row>
    <row r="323" spans="3:3" ht="15.75" customHeight="1">
      <c r="C323" s="549"/>
    </row>
    <row r="324" spans="3:3" ht="15.75" customHeight="1">
      <c r="C324" s="549"/>
    </row>
    <row r="325" spans="3:3" ht="15.75" customHeight="1">
      <c r="C325" s="549"/>
    </row>
    <row r="326" spans="3:3" ht="15.75" customHeight="1">
      <c r="C326" s="549"/>
    </row>
    <row r="327" spans="3:3" ht="15.75" customHeight="1">
      <c r="C327" s="549"/>
    </row>
    <row r="328" spans="3:3" ht="15.75" customHeight="1">
      <c r="C328" s="549"/>
    </row>
    <row r="329" spans="3:3" ht="15.75" customHeight="1">
      <c r="C329" s="549"/>
    </row>
    <row r="330" spans="3:3" ht="15.75" customHeight="1">
      <c r="C330" s="549"/>
    </row>
    <row r="331" spans="3:3" ht="15.75" customHeight="1">
      <c r="C331" s="549"/>
    </row>
    <row r="332" spans="3:3" ht="15.75" customHeight="1">
      <c r="C332" s="549"/>
    </row>
    <row r="333" spans="3:3" ht="15.75" customHeight="1">
      <c r="C333" s="549"/>
    </row>
    <row r="334" spans="3:3" ht="15.75" customHeight="1">
      <c r="C334" s="549"/>
    </row>
    <row r="335" spans="3:3" ht="15.75" customHeight="1">
      <c r="C335" s="549"/>
    </row>
    <row r="336" spans="3:3" ht="15.75" customHeight="1">
      <c r="C336" s="549"/>
    </row>
    <row r="337" spans="3:3" ht="15.75" customHeight="1">
      <c r="C337" s="549"/>
    </row>
    <row r="338" spans="3:3" ht="15.75" customHeight="1">
      <c r="C338" s="549"/>
    </row>
    <row r="339" spans="3:3" ht="15.75" customHeight="1">
      <c r="C339" s="549"/>
    </row>
    <row r="340" spans="3:3" ht="15.75" customHeight="1">
      <c r="C340" s="549"/>
    </row>
    <row r="341" spans="3:3" ht="15.75" customHeight="1">
      <c r="C341" s="549"/>
    </row>
    <row r="342" spans="3:3" ht="15.75" customHeight="1">
      <c r="C342" s="549"/>
    </row>
    <row r="343" spans="3:3" ht="15.75" customHeight="1">
      <c r="C343" s="549"/>
    </row>
    <row r="344" spans="3:3" ht="15.75" customHeight="1">
      <c r="C344" s="549"/>
    </row>
    <row r="345" spans="3:3" ht="15.75" customHeight="1">
      <c r="C345" s="549"/>
    </row>
    <row r="346" spans="3:3" ht="15.75" customHeight="1">
      <c r="C346" s="549"/>
    </row>
    <row r="347" spans="3:3" ht="15.75" customHeight="1">
      <c r="C347" s="549"/>
    </row>
    <row r="348" spans="3:3" ht="15.75" customHeight="1">
      <c r="C348" s="549"/>
    </row>
    <row r="349" spans="3:3" ht="15.75" customHeight="1">
      <c r="C349" s="549"/>
    </row>
    <row r="350" spans="3:3" ht="15.75" customHeight="1">
      <c r="C350" s="549"/>
    </row>
    <row r="351" spans="3:3" ht="15.75" customHeight="1">
      <c r="C351" s="549"/>
    </row>
    <row r="352" spans="3:3" ht="15.75" customHeight="1">
      <c r="C352" s="549"/>
    </row>
    <row r="353" spans="3:3" ht="15.75" customHeight="1">
      <c r="C353" s="549"/>
    </row>
    <row r="354" spans="3:3" ht="15.75" customHeight="1">
      <c r="C354" s="549"/>
    </row>
    <row r="355" spans="3:3" ht="15.75" customHeight="1">
      <c r="C355" s="549"/>
    </row>
    <row r="356" spans="3:3" ht="15.75" customHeight="1">
      <c r="C356" s="549"/>
    </row>
    <row r="357" spans="3:3" ht="15.75" customHeight="1">
      <c r="C357" s="549"/>
    </row>
    <row r="358" spans="3:3" ht="15.75" customHeight="1">
      <c r="C358" s="549"/>
    </row>
    <row r="359" spans="3:3" ht="15.75" customHeight="1">
      <c r="C359" s="549"/>
    </row>
    <row r="360" spans="3:3" ht="15.75" customHeight="1">
      <c r="C360" s="549"/>
    </row>
    <row r="361" spans="3:3" ht="15.75" customHeight="1">
      <c r="C361" s="549"/>
    </row>
    <row r="362" spans="3:3" ht="15.75" customHeight="1">
      <c r="C362" s="549"/>
    </row>
    <row r="363" spans="3:3" ht="15.75" customHeight="1">
      <c r="C363" s="549"/>
    </row>
    <row r="364" spans="3:3" ht="15.75" customHeight="1">
      <c r="C364" s="549"/>
    </row>
    <row r="365" spans="3:3" ht="15.75" customHeight="1">
      <c r="C365" s="549"/>
    </row>
    <row r="366" spans="3:3" ht="15.75" customHeight="1">
      <c r="C366" s="549"/>
    </row>
    <row r="367" spans="3:3" ht="15.75" customHeight="1">
      <c r="C367" s="549"/>
    </row>
    <row r="368" spans="3:3" ht="15.75" customHeight="1">
      <c r="C368" s="549"/>
    </row>
    <row r="369" spans="3:3" ht="15.75" customHeight="1">
      <c r="C369" s="549"/>
    </row>
    <row r="370" spans="3:3" ht="15.75" customHeight="1">
      <c r="C370" s="549"/>
    </row>
    <row r="371" spans="3:3" ht="15.75" customHeight="1">
      <c r="C371" s="549"/>
    </row>
    <row r="372" spans="3:3" ht="15.75" customHeight="1">
      <c r="C372" s="549"/>
    </row>
    <row r="373" spans="3:3" ht="15.75" customHeight="1">
      <c r="C373" s="549"/>
    </row>
    <row r="374" spans="3:3" ht="15.75" customHeight="1">
      <c r="C374" s="549"/>
    </row>
    <row r="375" spans="3:3" ht="15.75" customHeight="1">
      <c r="C375" s="549"/>
    </row>
    <row r="376" spans="3:3" ht="15.75" customHeight="1">
      <c r="C376" s="549"/>
    </row>
    <row r="377" spans="3:3" ht="15.75" customHeight="1">
      <c r="C377" s="549"/>
    </row>
    <row r="378" spans="3:3" ht="15.75" customHeight="1">
      <c r="C378" s="549"/>
    </row>
    <row r="379" spans="3:3" ht="15.75" customHeight="1">
      <c r="C379" s="549"/>
    </row>
    <row r="380" spans="3:3" ht="15.75" customHeight="1">
      <c r="C380" s="549"/>
    </row>
    <row r="381" spans="3:3" ht="15.75" customHeight="1">
      <c r="C381" s="549"/>
    </row>
    <row r="382" spans="3:3" ht="15.75" customHeight="1">
      <c r="C382" s="549"/>
    </row>
    <row r="383" spans="3:3" ht="15.75" customHeight="1">
      <c r="C383" s="549"/>
    </row>
    <row r="384" spans="3:3" ht="15.75" customHeight="1">
      <c r="C384" s="549"/>
    </row>
    <row r="385" spans="3:3" ht="15.75" customHeight="1">
      <c r="C385" s="549"/>
    </row>
    <row r="386" spans="3:3" ht="15.75" customHeight="1">
      <c r="C386" s="549"/>
    </row>
    <row r="387" spans="3:3" ht="15.75" customHeight="1">
      <c r="C387" s="549"/>
    </row>
    <row r="388" spans="3:3" ht="15.75" customHeight="1">
      <c r="C388" s="549"/>
    </row>
    <row r="389" spans="3:3" ht="15.75" customHeight="1">
      <c r="C389" s="549"/>
    </row>
    <row r="390" spans="3:3" ht="15.75" customHeight="1">
      <c r="C390" s="549"/>
    </row>
    <row r="391" spans="3:3" ht="15.75" customHeight="1">
      <c r="C391" s="549"/>
    </row>
    <row r="392" spans="3:3" ht="15.75" customHeight="1">
      <c r="C392" s="549"/>
    </row>
    <row r="393" spans="3:3" ht="15.75" customHeight="1">
      <c r="C393" s="549"/>
    </row>
    <row r="394" spans="3:3" ht="15.75" customHeight="1">
      <c r="C394" s="549"/>
    </row>
    <row r="395" spans="3:3" ht="15.75" customHeight="1">
      <c r="C395" s="549"/>
    </row>
    <row r="396" spans="3:3" ht="15.75" customHeight="1">
      <c r="C396" s="549"/>
    </row>
    <row r="397" spans="3:3" ht="15.75" customHeight="1">
      <c r="C397" s="549"/>
    </row>
    <row r="398" spans="3:3" ht="15.75" customHeight="1">
      <c r="C398" s="549"/>
    </row>
    <row r="399" spans="3:3" ht="15.75" customHeight="1">
      <c r="C399" s="549"/>
    </row>
    <row r="400" spans="3:3" ht="15.75" customHeight="1">
      <c r="C400" s="549"/>
    </row>
    <row r="401" spans="3:3" ht="15.75" customHeight="1">
      <c r="C401" s="549"/>
    </row>
    <row r="402" spans="3:3" ht="15.75" customHeight="1">
      <c r="C402" s="549"/>
    </row>
    <row r="403" spans="3:3" ht="15.75" customHeight="1">
      <c r="C403" s="549"/>
    </row>
    <row r="404" spans="3:3" ht="15.75" customHeight="1">
      <c r="C404" s="549"/>
    </row>
    <row r="405" spans="3:3" ht="15.75" customHeight="1">
      <c r="C405" s="549"/>
    </row>
    <row r="406" spans="3:3" ht="15.75" customHeight="1">
      <c r="C406" s="549"/>
    </row>
    <row r="407" spans="3:3" ht="15.75" customHeight="1">
      <c r="C407" s="549"/>
    </row>
    <row r="408" spans="3:3" ht="15.75" customHeight="1">
      <c r="C408" s="549"/>
    </row>
    <row r="409" spans="3:3" ht="15.75" customHeight="1">
      <c r="C409" s="549"/>
    </row>
    <row r="410" spans="3:3" ht="15.75" customHeight="1">
      <c r="C410" s="549"/>
    </row>
    <row r="411" spans="3:3" ht="15.75" customHeight="1">
      <c r="C411" s="549"/>
    </row>
    <row r="412" spans="3:3" ht="15.75" customHeight="1">
      <c r="C412" s="549"/>
    </row>
    <row r="413" spans="3:3" ht="15.75" customHeight="1">
      <c r="C413" s="549"/>
    </row>
    <row r="414" spans="3:3" ht="15.75" customHeight="1">
      <c r="C414" s="549"/>
    </row>
    <row r="415" spans="3:3" ht="15.75" customHeight="1">
      <c r="C415" s="549"/>
    </row>
    <row r="416" spans="3:3" ht="15.75" customHeight="1">
      <c r="C416" s="549"/>
    </row>
    <row r="417" spans="3:3" ht="15.75" customHeight="1">
      <c r="C417" s="549"/>
    </row>
    <row r="418" spans="3:3" ht="15.75" customHeight="1">
      <c r="C418" s="549"/>
    </row>
    <row r="419" spans="3:3" ht="15.75" customHeight="1">
      <c r="C419" s="549"/>
    </row>
    <row r="420" spans="3:3" ht="15.75" customHeight="1">
      <c r="C420" s="549"/>
    </row>
    <row r="421" spans="3:3" ht="15.75" customHeight="1">
      <c r="C421" s="549"/>
    </row>
    <row r="422" spans="3:3" ht="15.75" customHeight="1">
      <c r="C422" s="549"/>
    </row>
    <row r="423" spans="3:3" ht="15.75" customHeight="1">
      <c r="C423" s="549"/>
    </row>
    <row r="424" spans="3:3" ht="15.75" customHeight="1">
      <c r="C424" s="549"/>
    </row>
    <row r="425" spans="3:3" ht="15.75" customHeight="1">
      <c r="C425" s="549"/>
    </row>
    <row r="426" spans="3:3" ht="15.75" customHeight="1">
      <c r="C426" s="549"/>
    </row>
    <row r="427" spans="3:3" ht="15.75" customHeight="1">
      <c r="C427" s="549"/>
    </row>
    <row r="428" spans="3:3" ht="15.75" customHeight="1">
      <c r="C428" s="549"/>
    </row>
    <row r="429" spans="3:3" ht="15.75" customHeight="1">
      <c r="C429" s="549"/>
    </row>
    <row r="430" spans="3:3" ht="15.75" customHeight="1">
      <c r="C430" s="549"/>
    </row>
    <row r="431" spans="3:3" ht="15.75" customHeight="1">
      <c r="C431" s="549"/>
    </row>
    <row r="432" spans="3:3" ht="15.75" customHeight="1">
      <c r="C432" s="549"/>
    </row>
    <row r="433" spans="3:3" ht="15.75" customHeight="1">
      <c r="C433" s="549"/>
    </row>
    <row r="434" spans="3:3" ht="15.75" customHeight="1">
      <c r="C434" s="549"/>
    </row>
    <row r="435" spans="3:3" ht="15.75" customHeight="1">
      <c r="C435" s="549"/>
    </row>
    <row r="436" spans="3:3" ht="15.75" customHeight="1">
      <c r="C436" s="549"/>
    </row>
    <row r="437" spans="3:3" ht="15.75" customHeight="1">
      <c r="C437" s="549"/>
    </row>
    <row r="438" spans="3:3" ht="15.75" customHeight="1">
      <c r="C438" s="549"/>
    </row>
    <row r="439" spans="3:3" ht="15.75" customHeight="1">
      <c r="C439" s="549"/>
    </row>
    <row r="440" spans="3:3" ht="15.75" customHeight="1">
      <c r="C440" s="549"/>
    </row>
    <row r="441" spans="3:3" ht="15.75" customHeight="1">
      <c r="C441" s="549"/>
    </row>
    <row r="442" spans="3:3" ht="15.75" customHeight="1">
      <c r="C442" s="549"/>
    </row>
    <row r="443" spans="3:3" ht="15.75" customHeight="1">
      <c r="C443" s="549"/>
    </row>
    <row r="444" spans="3:3" ht="15.75" customHeight="1">
      <c r="C444" s="549"/>
    </row>
    <row r="445" spans="3:3" ht="15.75" customHeight="1">
      <c r="C445" s="549"/>
    </row>
    <row r="446" spans="3:3" ht="15.75" customHeight="1">
      <c r="C446" s="549"/>
    </row>
    <row r="447" spans="3:3" ht="15.75" customHeight="1">
      <c r="C447" s="549"/>
    </row>
    <row r="448" spans="3:3" ht="15.75" customHeight="1">
      <c r="C448" s="549"/>
    </row>
    <row r="449" spans="3:3" ht="15.75" customHeight="1">
      <c r="C449" s="549"/>
    </row>
    <row r="450" spans="3:3" ht="15.75" customHeight="1">
      <c r="C450" s="549"/>
    </row>
    <row r="451" spans="3:3" ht="15.75" customHeight="1">
      <c r="C451" s="549"/>
    </row>
    <row r="452" spans="3:3" ht="15.75" customHeight="1">
      <c r="C452" s="549"/>
    </row>
    <row r="453" spans="3:3" ht="15.75" customHeight="1">
      <c r="C453" s="549"/>
    </row>
    <row r="454" spans="3:3" ht="15.75" customHeight="1">
      <c r="C454" s="549"/>
    </row>
    <row r="455" spans="3:3" ht="15.75" customHeight="1">
      <c r="C455" s="549"/>
    </row>
    <row r="456" spans="3:3" ht="15.75" customHeight="1">
      <c r="C456" s="549"/>
    </row>
    <row r="457" spans="3:3" ht="15.75" customHeight="1">
      <c r="C457" s="549"/>
    </row>
    <row r="458" spans="3:3" ht="15.75" customHeight="1">
      <c r="C458" s="549"/>
    </row>
    <row r="459" spans="3:3" ht="15.75" customHeight="1">
      <c r="C459" s="549"/>
    </row>
    <row r="460" spans="3:3" ht="15.75" customHeight="1">
      <c r="C460" s="549"/>
    </row>
    <row r="461" spans="3:3" ht="15.75" customHeight="1">
      <c r="C461" s="549"/>
    </row>
    <row r="462" spans="3:3" ht="15.75" customHeight="1">
      <c r="C462" s="549"/>
    </row>
    <row r="463" spans="3:3" ht="15.75" customHeight="1">
      <c r="C463" s="549"/>
    </row>
    <row r="464" spans="3:3" ht="15.75" customHeight="1">
      <c r="C464" s="549"/>
    </row>
    <row r="465" spans="3:3" ht="15.75" customHeight="1">
      <c r="C465" s="549"/>
    </row>
    <row r="466" spans="3:3" ht="15.75" customHeight="1">
      <c r="C466" s="549"/>
    </row>
    <row r="467" spans="3:3" ht="15.75" customHeight="1">
      <c r="C467" s="549"/>
    </row>
    <row r="468" spans="3:3" ht="15.75" customHeight="1">
      <c r="C468" s="549"/>
    </row>
    <row r="469" spans="3:3" ht="15.75" customHeight="1">
      <c r="C469" s="549"/>
    </row>
    <row r="470" spans="3:3" ht="15.75" customHeight="1">
      <c r="C470" s="549"/>
    </row>
    <row r="471" spans="3:3" ht="15.75" customHeight="1">
      <c r="C471" s="549"/>
    </row>
    <row r="472" spans="3:3" ht="15.75" customHeight="1">
      <c r="C472" s="549"/>
    </row>
    <row r="473" spans="3:3" ht="15.75" customHeight="1">
      <c r="C473" s="549"/>
    </row>
    <row r="474" spans="3:3" ht="15.75" customHeight="1">
      <c r="C474" s="549"/>
    </row>
    <row r="475" spans="3:3" ht="15.75" customHeight="1">
      <c r="C475" s="549"/>
    </row>
    <row r="476" spans="3:3" ht="15.75" customHeight="1">
      <c r="C476" s="549"/>
    </row>
    <row r="477" spans="3:3" ht="15.75" customHeight="1">
      <c r="C477" s="549"/>
    </row>
    <row r="478" spans="3:3" ht="15.75" customHeight="1">
      <c r="C478" s="549"/>
    </row>
    <row r="479" spans="3:3" ht="15.75" customHeight="1">
      <c r="C479" s="549"/>
    </row>
    <row r="480" spans="3:3" ht="15.75" customHeight="1">
      <c r="C480" s="549"/>
    </row>
    <row r="481" spans="3:3" ht="15.75" customHeight="1">
      <c r="C481" s="549"/>
    </row>
    <row r="482" spans="3:3" ht="15.75" customHeight="1">
      <c r="C482" s="549"/>
    </row>
    <row r="483" spans="3:3" ht="15.75" customHeight="1">
      <c r="C483" s="549"/>
    </row>
    <row r="484" spans="3:3" ht="15.75" customHeight="1">
      <c r="C484" s="549"/>
    </row>
    <row r="485" spans="3:3" ht="15.75" customHeight="1">
      <c r="C485" s="549"/>
    </row>
    <row r="486" spans="3:3" ht="15.75" customHeight="1">
      <c r="C486" s="549"/>
    </row>
    <row r="487" spans="3:3" ht="15.75" customHeight="1">
      <c r="C487" s="549"/>
    </row>
    <row r="488" spans="3:3" ht="15.75" customHeight="1">
      <c r="C488" s="549"/>
    </row>
    <row r="489" spans="3:3" ht="15.75" customHeight="1">
      <c r="C489" s="549"/>
    </row>
    <row r="490" spans="3:3" ht="15.75" customHeight="1">
      <c r="C490" s="549"/>
    </row>
    <row r="491" spans="3:3" ht="15.75" customHeight="1">
      <c r="C491" s="549"/>
    </row>
    <row r="492" spans="3:3" ht="15.75" customHeight="1">
      <c r="C492" s="549"/>
    </row>
    <row r="493" spans="3:3" ht="15.75" customHeight="1">
      <c r="C493" s="549"/>
    </row>
    <row r="494" spans="3:3" ht="15.75" customHeight="1">
      <c r="C494" s="549"/>
    </row>
    <row r="495" spans="3:3" ht="15.75" customHeight="1">
      <c r="C495" s="549"/>
    </row>
    <row r="496" spans="3:3" ht="15.75" customHeight="1">
      <c r="C496" s="549"/>
    </row>
    <row r="497" spans="3:3" ht="15.75" customHeight="1">
      <c r="C497" s="549"/>
    </row>
    <row r="498" spans="3:3" ht="15.75" customHeight="1">
      <c r="C498" s="549"/>
    </row>
    <row r="499" spans="3:3" ht="15.75" customHeight="1">
      <c r="C499" s="549"/>
    </row>
    <row r="500" spans="3:3" ht="15.75" customHeight="1">
      <c r="C500" s="549"/>
    </row>
    <row r="501" spans="3:3" ht="15.75" customHeight="1">
      <c r="C501" s="549"/>
    </row>
    <row r="502" spans="3:3" ht="15.75" customHeight="1">
      <c r="C502" s="549"/>
    </row>
    <row r="503" spans="3:3" ht="15.75" customHeight="1">
      <c r="C503" s="549"/>
    </row>
    <row r="504" spans="3:3" ht="15.75" customHeight="1">
      <c r="C504" s="549"/>
    </row>
    <row r="505" spans="3:3" ht="15.75" customHeight="1">
      <c r="C505" s="549"/>
    </row>
    <row r="506" spans="3:3" ht="15.75" customHeight="1">
      <c r="C506" s="549"/>
    </row>
    <row r="507" spans="3:3" ht="15.75" customHeight="1">
      <c r="C507" s="549"/>
    </row>
    <row r="508" spans="3:3" ht="15.75" customHeight="1">
      <c r="C508" s="549"/>
    </row>
    <row r="509" spans="3:3" ht="15.75" customHeight="1">
      <c r="C509" s="549"/>
    </row>
    <row r="510" spans="3:3" ht="15.75" customHeight="1">
      <c r="C510" s="549"/>
    </row>
    <row r="511" spans="3:3" ht="15.75" customHeight="1">
      <c r="C511" s="549"/>
    </row>
    <row r="512" spans="3:3" ht="15.75" customHeight="1">
      <c r="C512" s="549"/>
    </row>
    <row r="513" spans="3:3" ht="15.75" customHeight="1">
      <c r="C513" s="549"/>
    </row>
    <row r="514" spans="3:3" ht="15.75" customHeight="1">
      <c r="C514" s="549"/>
    </row>
    <row r="515" spans="3:3" ht="15.75" customHeight="1">
      <c r="C515" s="549"/>
    </row>
    <row r="516" spans="3:3" ht="15.75" customHeight="1">
      <c r="C516" s="549"/>
    </row>
    <row r="517" spans="3:3" ht="15.75" customHeight="1">
      <c r="C517" s="549"/>
    </row>
    <row r="518" spans="3:3" ht="15.75" customHeight="1">
      <c r="C518" s="549"/>
    </row>
    <row r="519" spans="3:3" ht="15.75" customHeight="1">
      <c r="C519" s="549"/>
    </row>
    <row r="520" spans="3:3" ht="15.75" customHeight="1">
      <c r="C520" s="549"/>
    </row>
    <row r="521" spans="3:3" ht="15.75" customHeight="1">
      <c r="C521" s="549"/>
    </row>
    <row r="522" spans="3:3" ht="15.75" customHeight="1">
      <c r="C522" s="549"/>
    </row>
    <row r="523" spans="3:3" ht="15.75" customHeight="1">
      <c r="C523" s="549"/>
    </row>
    <row r="524" spans="3:3" ht="15.75" customHeight="1">
      <c r="C524" s="549"/>
    </row>
    <row r="525" spans="3:3" ht="15.75" customHeight="1">
      <c r="C525" s="549"/>
    </row>
    <row r="526" spans="3:3" ht="15.75" customHeight="1">
      <c r="C526" s="549"/>
    </row>
    <row r="527" spans="3:3" ht="15.75" customHeight="1">
      <c r="C527" s="549"/>
    </row>
    <row r="528" spans="3:3" ht="15.75" customHeight="1">
      <c r="C528" s="549"/>
    </row>
    <row r="529" spans="3:3" ht="15.75" customHeight="1">
      <c r="C529" s="549"/>
    </row>
    <row r="530" spans="3:3" ht="15.75" customHeight="1">
      <c r="C530" s="549"/>
    </row>
    <row r="531" spans="3:3" ht="15.75" customHeight="1">
      <c r="C531" s="549"/>
    </row>
    <row r="532" spans="3:3" ht="15.75" customHeight="1">
      <c r="C532" s="549"/>
    </row>
    <row r="533" spans="3:3" ht="15.75" customHeight="1">
      <c r="C533" s="549"/>
    </row>
    <row r="534" spans="3:3" ht="15.75" customHeight="1">
      <c r="C534" s="549"/>
    </row>
    <row r="535" spans="3:3" ht="15.75" customHeight="1">
      <c r="C535" s="549"/>
    </row>
    <row r="536" spans="3:3" ht="15.75" customHeight="1">
      <c r="C536" s="549"/>
    </row>
    <row r="537" spans="3:3" ht="15.75" customHeight="1">
      <c r="C537" s="549"/>
    </row>
    <row r="538" spans="3:3" ht="15.75" customHeight="1">
      <c r="C538" s="549"/>
    </row>
    <row r="539" spans="3:3" ht="15.75" customHeight="1">
      <c r="C539" s="549"/>
    </row>
    <row r="540" spans="3:3" ht="15.75" customHeight="1">
      <c r="C540" s="549"/>
    </row>
    <row r="541" spans="3:3" ht="15.75" customHeight="1">
      <c r="C541" s="549"/>
    </row>
    <row r="542" spans="3:3" ht="15.75" customHeight="1">
      <c r="C542" s="549"/>
    </row>
    <row r="543" spans="3:3" ht="15.75" customHeight="1">
      <c r="C543" s="549"/>
    </row>
    <row r="544" spans="3:3" ht="15.75" customHeight="1">
      <c r="C544" s="549"/>
    </row>
    <row r="545" spans="3:3" ht="15.75" customHeight="1">
      <c r="C545" s="549"/>
    </row>
    <row r="546" spans="3:3" ht="15.75" customHeight="1">
      <c r="C546" s="549"/>
    </row>
    <row r="547" spans="3:3" ht="15.75" customHeight="1">
      <c r="C547" s="549"/>
    </row>
    <row r="548" spans="3:3" ht="15.75" customHeight="1">
      <c r="C548" s="549"/>
    </row>
    <row r="549" spans="3:3" ht="15.75" customHeight="1">
      <c r="C549" s="549"/>
    </row>
    <row r="550" spans="3:3" ht="15.75" customHeight="1">
      <c r="C550" s="549"/>
    </row>
    <row r="551" spans="3:3" ht="15.75" customHeight="1">
      <c r="C551" s="549"/>
    </row>
    <row r="552" spans="3:3" ht="15.75" customHeight="1">
      <c r="C552" s="549"/>
    </row>
    <row r="553" spans="3:3" ht="15.75" customHeight="1">
      <c r="C553" s="549"/>
    </row>
    <row r="554" spans="3:3" ht="15.75" customHeight="1">
      <c r="C554" s="549"/>
    </row>
    <row r="555" spans="3:3" ht="15.75" customHeight="1">
      <c r="C555" s="549"/>
    </row>
    <row r="556" spans="3:3" ht="15.75" customHeight="1">
      <c r="C556" s="549"/>
    </row>
    <row r="557" spans="3:3" ht="15.75" customHeight="1">
      <c r="C557" s="549"/>
    </row>
    <row r="558" spans="3:3" ht="15.75" customHeight="1">
      <c r="C558" s="549"/>
    </row>
    <row r="559" spans="3:3" ht="15.75" customHeight="1">
      <c r="C559" s="549"/>
    </row>
    <row r="560" spans="3:3" ht="15.75" customHeight="1">
      <c r="C560" s="549"/>
    </row>
    <row r="561" spans="3:3" ht="15.75" customHeight="1">
      <c r="C561" s="549"/>
    </row>
    <row r="562" spans="3:3" ht="15.75" customHeight="1">
      <c r="C562" s="549"/>
    </row>
    <row r="563" spans="3:3" ht="15.75" customHeight="1">
      <c r="C563" s="549"/>
    </row>
    <row r="564" spans="3:3" ht="15.75" customHeight="1">
      <c r="C564" s="549"/>
    </row>
    <row r="565" spans="3:3" ht="15.75" customHeight="1">
      <c r="C565" s="549"/>
    </row>
    <row r="566" spans="3:3" ht="15.75" customHeight="1">
      <c r="C566" s="549"/>
    </row>
    <row r="567" spans="3:3" ht="15.75" customHeight="1">
      <c r="C567" s="549"/>
    </row>
    <row r="568" spans="3:3" ht="15.75" customHeight="1">
      <c r="C568" s="549"/>
    </row>
    <row r="569" spans="3:3" ht="15.75" customHeight="1">
      <c r="C569" s="549"/>
    </row>
    <row r="570" spans="3:3" ht="15.75" customHeight="1">
      <c r="C570" s="549"/>
    </row>
    <row r="571" spans="3:3" ht="15.75" customHeight="1">
      <c r="C571" s="549"/>
    </row>
    <row r="572" spans="3:3" ht="15.75" customHeight="1">
      <c r="C572" s="549"/>
    </row>
    <row r="573" spans="3:3" ht="15.75" customHeight="1">
      <c r="C573" s="549"/>
    </row>
    <row r="574" spans="3:3" ht="15.75" customHeight="1">
      <c r="C574" s="549"/>
    </row>
    <row r="575" spans="3:3" ht="15.75" customHeight="1">
      <c r="C575" s="549"/>
    </row>
    <row r="576" spans="3:3" ht="15.75" customHeight="1">
      <c r="C576" s="549"/>
    </row>
    <row r="577" spans="3:3" ht="15.75" customHeight="1">
      <c r="C577" s="549"/>
    </row>
    <row r="578" spans="3:3" ht="15.75" customHeight="1">
      <c r="C578" s="549"/>
    </row>
    <row r="579" spans="3:3" ht="15.75" customHeight="1">
      <c r="C579" s="549"/>
    </row>
    <row r="580" spans="3:3" ht="15.75" customHeight="1">
      <c r="C580" s="549"/>
    </row>
    <row r="581" spans="3:3" ht="15.75" customHeight="1">
      <c r="C581" s="549"/>
    </row>
    <row r="582" spans="3:3" ht="15.75" customHeight="1">
      <c r="C582" s="549"/>
    </row>
    <row r="583" spans="3:3" ht="15.75" customHeight="1">
      <c r="C583" s="549"/>
    </row>
    <row r="584" spans="3:3" ht="15.75" customHeight="1">
      <c r="C584" s="549"/>
    </row>
    <row r="585" spans="3:3" ht="15.75" customHeight="1">
      <c r="C585" s="549"/>
    </row>
    <row r="586" spans="3:3" ht="15.75" customHeight="1">
      <c r="C586" s="549"/>
    </row>
    <row r="587" spans="3:3" ht="15.75" customHeight="1">
      <c r="C587" s="549"/>
    </row>
    <row r="588" spans="3:3" ht="15.75" customHeight="1">
      <c r="C588" s="549"/>
    </row>
    <row r="589" spans="3:3" ht="15.75" customHeight="1">
      <c r="C589" s="549"/>
    </row>
    <row r="590" spans="3:3" ht="15.75" customHeight="1">
      <c r="C590" s="549"/>
    </row>
    <row r="591" spans="3:3" ht="15.75" customHeight="1">
      <c r="C591" s="549"/>
    </row>
    <row r="592" spans="3:3" ht="15.75" customHeight="1">
      <c r="C592" s="549"/>
    </row>
    <row r="593" spans="3:3" ht="15.75" customHeight="1">
      <c r="C593" s="549"/>
    </row>
    <row r="594" spans="3:3" ht="15.75" customHeight="1">
      <c r="C594" s="549"/>
    </row>
    <row r="595" spans="3:3" ht="15.75" customHeight="1">
      <c r="C595" s="549"/>
    </row>
    <row r="596" spans="3:3" ht="15.75" customHeight="1">
      <c r="C596" s="549"/>
    </row>
    <row r="597" spans="3:3" ht="15.75" customHeight="1">
      <c r="C597" s="549"/>
    </row>
    <row r="598" spans="3:3" ht="15.75" customHeight="1">
      <c r="C598" s="549"/>
    </row>
    <row r="599" spans="3:3" ht="15.75" customHeight="1">
      <c r="C599" s="549"/>
    </row>
    <row r="600" spans="3:3" ht="15.75" customHeight="1">
      <c r="C600" s="549"/>
    </row>
    <row r="601" spans="3:3" ht="15.75" customHeight="1">
      <c r="C601" s="549"/>
    </row>
    <row r="602" spans="3:3" ht="15.75" customHeight="1">
      <c r="C602" s="549"/>
    </row>
    <row r="603" spans="3:3" ht="15.75" customHeight="1">
      <c r="C603" s="549"/>
    </row>
    <row r="604" spans="3:3" ht="15.75" customHeight="1">
      <c r="C604" s="549"/>
    </row>
    <row r="605" spans="3:3" ht="15.75" customHeight="1">
      <c r="C605" s="549"/>
    </row>
    <row r="606" spans="3:3" ht="15.75" customHeight="1">
      <c r="C606" s="549"/>
    </row>
    <row r="607" spans="3:3" ht="15.75" customHeight="1">
      <c r="C607" s="549"/>
    </row>
    <row r="608" spans="3:3" ht="15.75" customHeight="1">
      <c r="C608" s="549"/>
    </row>
    <row r="609" spans="3:3" ht="15.75" customHeight="1">
      <c r="C609" s="549"/>
    </row>
    <row r="610" spans="3:3" ht="15.75" customHeight="1">
      <c r="C610" s="549"/>
    </row>
    <row r="611" spans="3:3" ht="15.75" customHeight="1">
      <c r="C611" s="549"/>
    </row>
    <row r="612" spans="3:3" ht="15.75" customHeight="1">
      <c r="C612" s="549"/>
    </row>
    <row r="613" spans="3:3" ht="15.75" customHeight="1">
      <c r="C613" s="549"/>
    </row>
    <row r="614" spans="3:3" ht="15.75" customHeight="1">
      <c r="C614" s="549"/>
    </row>
    <row r="615" spans="3:3" ht="15.75" customHeight="1">
      <c r="C615" s="549"/>
    </row>
    <row r="616" spans="3:3" ht="15.75" customHeight="1">
      <c r="C616" s="549"/>
    </row>
    <row r="617" spans="3:3" ht="15.75" customHeight="1">
      <c r="C617" s="549"/>
    </row>
    <row r="618" spans="3:3" ht="15.75" customHeight="1">
      <c r="C618" s="549"/>
    </row>
    <row r="619" spans="3:3" ht="15.75" customHeight="1">
      <c r="C619" s="549"/>
    </row>
    <row r="620" spans="3:3" ht="15.75" customHeight="1">
      <c r="C620" s="549"/>
    </row>
    <row r="621" spans="3:3" ht="15.75" customHeight="1">
      <c r="C621" s="549"/>
    </row>
    <row r="622" spans="3:3" ht="15.75" customHeight="1">
      <c r="C622" s="549"/>
    </row>
    <row r="623" spans="3:3" ht="15.75" customHeight="1">
      <c r="C623" s="549"/>
    </row>
    <row r="624" spans="3:3" ht="15.75" customHeight="1">
      <c r="C624" s="549"/>
    </row>
    <row r="625" spans="3:3" ht="15.75" customHeight="1">
      <c r="C625" s="549"/>
    </row>
    <row r="626" spans="3:3" ht="15.75" customHeight="1">
      <c r="C626" s="549"/>
    </row>
    <row r="627" spans="3:3" ht="15.75" customHeight="1">
      <c r="C627" s="549"/>
    </row>
    <row r="628" spans="3:3" ht="15.75" customHeight="1">
      <c r="C628" s="549"/>
    </row>
    <row r="629" spans="3:3" ht="15.75" customHeight="1">
      <c r="C629" s="549"/>
    </row>
    <row r="630" spans="3:3" ht="15.75" customHeight="1">
      <c r="C630" s="549"/>
    </row>
    <row r="631" spans="3:3" ht="15.75" customHeight="1">
      <c r="C631" s="549"/>
    </row>
    <row r="632" spans="3:3" ht="15.75" customHeight="1">
      <c r="C632" s="549"/>
    </row>
    <row r="633" spans="3:3" ht="15.75" customHeight="1">
      <c r="C633" s="549"/>
    </row>
    <row r="634" spans="3:3" ht="15.75" customHeight="1">
      <c r="C634" s="549"/>
    </row>
    <row r="635" spans="3:3" ht="15.75" customHeight="1">
      <c r="C635" s="549"/>
    </row>
    <row r="636" spans="3:3" ht="15.75" customHeight="1">
      <c r="C636" s="549"/>
    </row>
    <row r="637" spans="3:3" ht="15.75" customHeight="1">
      <c r="C637" s="549"/>
    </row>
    <row r="638" spans="3:3" ht="15.75" customHeight="1">
      <c r="C638" s="549"/>
    </row>
    <row r="639" spans="3:3" ht="15.75" customHeight="1">
      <c r="C639" s="549"/>
    </row>
    <row r="640" spans="3:3" ht="15.75" customHeight="1">
      <c r="C640" s="549"/>
    </row>
    <row r="641" spans="3:3" ht="15.75" customHeight="1">
      <c r="C641" s="549"/>
    </row>
    <row r="642" spans="3:3" ht="15.75" customHeight="1">
      <c r="C642" s="549"/>
    </row>
    <row r="643" spans="3:3" ht="15.75" customHeight="1">
      <c r="C643" s="549"/>
    </row>
    <row r="644" spans="3:3" ht="15.75" customHeight="1">
      <c r="C644" s="549"/>
    </row>
    <row r="645" spans="3:3" ht="15.75" customHeight="1">
      <c r="C645" s="549"/>
    </row>
    <row r="646" spans="3:3" ht="15.75" customHeight="1">
      <c r="C646" s="549"/>
    </row>
    <row r="647" spans="3:3" ht="15.75" customHeight="1">
      <c r="C647" s="549"/>
    </row>
    <row r="648" spans="3:3" ht="15.75" customHeight="1">
      <c r="C648" s="549"/>
    </row>
    <row r="649" spans="3:3" ht="15.75" customHeight="1">
      <c r="C649" s="549"/>
    </row>
    <row r="650" spans="3:3" ht="15.75" customHeight="1">
      <c r="C650" s="549"/>
    </row>
    <row r="651" spans="3:3" ht="15.75" customHeight="1">
      <c r="C651" s="549"/>
    </row>
    <row r="652" spans="3:3" ht="15.75" customHeight="1">
      <c r="C652" s="549"/>
    </row>
    <row r="653" spans="3:3" ht="15.75" customHeight="1">
      <c r="C653" s="549"/>
    </row>
    <row r="654" spans="3:3" ht="15.75" customHeight="1">
      <c r="C654" s="549"/>
    </row>
    <row r="655" spans="3:3" ht="15.75" customHeight="1">
      <c r="C655" s="549"/>
    </row>
    <row r="656" spans="3:3" ht="15.75" customHeight="1">
      <c r="C656" s="549"/>
    </row>
    <row r="657" spans="3:3" ht="15.75" customHeight="1">
      <c r="C657" s="549"/>
    </row>
    <row r="658" spans="3:3" ht="15.75" customHeight="1">
      <c r="C658" s="549"/>
    </row>
    <row r="659" spans="3:3" ht="15.75" customHeight="1">
      <c r="C659" s="549"/>
    </row>
    <row r="660" spans="3:3" ht="15.75" customHeight="1">
      <c r="C660" s="549"/>
    </row>
    <row r="661" spans="3:3" ht="15.75" customHeight="1">
      <c r="C661" s="549"/>
    </row>
    <row r="662" spans="3:3" ht="15.75" customHeight="1">
      <c r="C662" s="549"/>
    </row>
    <row r="663" spans="3:3" ht="15.75" customHeight="1">
      <c r="C663" s="549"/>
    </row>
    <row r="664" spans="3:3" ht="15.75" customHeight="1">
      <c r="C664" s="549"/>
    </row>
    <row r="665" spans="3:3" ht="15.75" customHeight="1">
      <c r="C665" s="549"/>
    </row>
    <row r="666" spans="3:3" ht="15.75" customHeight="1">
      <c r="C666" s="549"/>
    </row>
    <row r="667" spans="3:3" ht="15.75" customHeight="1">
      <c r="C667" s="549"/>
    </row>
    <row r="668" spans="3:3" ht="15.75" customHeight="1">
      <c r="C668" s="549"/>
    </row>
    <row r="669" spans="3:3" ht="15.75" customHeight="1">
      <c r="C669" s="549"/>
    </row>
    <row r="670" spans="3:3" ht="15.75" customHeight="1">
      <c r="C670" s="549"/>
    </row>
    <row r="671" spans="3:3" ht="15.75" customHeight="1">
      <c r="C671" s="549"/>
    </row>
    <row r="672" spans="3:3" ht="15.75" customHeight="1">
      <c r="C672" s="549"/>
    </row>
    <row r="673" spans="3:3" ht="15.75" customHeight="1">
      <c r="C673" s="549"/>
    </row>
    <row r="674" spans="3:3" ht="15.75" customHeight="1">
      <c r="C674" s="549"/>
    </row>
    <row r="675" spans="3:3" ht="15.75" customHeight="1">
      <c r="C675" s="549"/>
    </row>
    <row r="676" spans="3:3" ht="15.75" customHeight="1">
      <c r="C676" s="549"/>
    </row>
    <row r="677" spans="3:3" ht="15.75" customHeight="1">
      <c r="C677" s="549"/>
    </row>
    <row r="678" spans="3:3" ht="15.75" customHeight="1">
      <c r="C678" s="549"/>
    </row>
    <row r="679" spans="3:3" ht="15.75" customHeight="1">
      <c r="C679" s="549"/>
    </row>
    <row r="680" spans="3:3" ht="15.75" customHeight="1">
      <c r="C680" s="549"/>
    </row>
    <row r="681" spans="3:3" ht="15.75" customHeight="1">
      <c r="C681" s="549"/>
    </row>
    <row r="682" spans="3:3" ht="15.75" customHeight="1">
      <c r="C682" s="549"/>
    </row>
    <row r="683" spans="3:3" ht="15.75" customHeight="1">
      <c r="C683" s="549"/>
    </row>
    <row r="684" spans="3:3" ht="15.75" customHeight="1">
      <c r="C684" s="549"/>
    </row>
    <row r="685" spans="3:3" ht="15.75" customHeight="1">
      <c r="C685" s="549"/>
    </row>
    <row r="686" spans="3:3" ht="15.75" customHeight="1">
      <c r="C686" s="549"/>
    </row>
    <row r="687" spans="3:3" ht="15.75" customHeight="1">
      <c r="C687" s="549"/>
    </row>
    <row r="688" spans="3:3" ht="15.75" customHeight="1">
      <c r="C688" s="549"/>
    </row>
    <row r="689" spans="3:3" ht="15.75" customHeight="1">
      <c r="C689" s="549"/>
    </row>
    <row r="690" spans="3:3" ht="15.75" customHeight="1">
      <c r="C690" s="549"/>
    </row>
    <row r="691" spans="3:3" ht="15.75" customHeight="1">
      <c r="C691" s="549"/>
    </row>
    <row r="692" spans="3:3" ht="15.75" customHeight="1">
      <c r="C692" s="549"/>
    </row>
    <row r="693" spans="3:3" ht="15.75" customHeight="1">
      <c r="C693" s="549"/>
    </row>
    <row r="694" spans="3:3" ht="15.75" customHeight="1">
      <c r="C694" s="549"/>
    </row>
    <row r="695" spans="3:3" ht="15.75" customHeight="1">
      <c r="C695" s="549"/>
    </row>
    <row r="696" spans="3:3" ht="15.75" customHeight="1">
      <c r="C696" s="549"/>
    </row>
    <row r="697" spans="3:3" ht="15.75" customHeight="1">
      <c r="C697" s="549"/>
    </row>
    <row r="698" spans="3:3" ht="15.75" customHeight="1">
      <c r="C698" s="549"/>
    </row>
    <row r="699" spans="3:3" ht="15.75" customHeight="1">
      <c r="C699" s="549"/>
    </row>
    <row r="700" spans="3:3" ht="15.75" customHeight="1">
      <c r="C700" s="549"/>
    </row>
    <row r="701" spans="3:3" ht="15.75" customHeight="1">
      <c r="C701" s="549"/>
    </row>
    <row r="702" spans="3:3" ht="15.75" customHeight="1">
      <c r="C702" s="549"/>
    </row>
    <row r="703" spans="3:3" ht="15.75" customHeight="1">
      <c r="C703" s="549"/>
    </row>
    <row r="704" spans="3:3" ht="15.75" customHeight="1">
      <c r="C704" s="549"/>
    </row>
    <row r="705" spans="3:3" ht="15.75" customHeight="1">
      <c r="C705" s="549"/>
    </row>
    <row r="706" spans="3:3" ht="15.75" customHeight="1">
      <c r="C706" s="549"/>
    </row>
    <row r="707" spans="3:3" ht="15.75" customHeight="1">
      <c r="C707" s="549"/>
    </row>
    <row r="708" spans="3:3" ht="15.75" customHeight="1">
      <c r="C708" s="549"/>
    </row>
    <row r="709" spans="3:3" ht="15.75" customHeight="1">
      <c r="C709" s="549"/>
    </row>
    <row r="710" spans="3:3" ht="15.75" customHeight="1">
      <c r="C710" s="549"/>
    </row>
    <row r="711" spans="3:3" ht="15.75" customHeight="1">
      <c r="C711" s="549"/>
    </row>
    <row r="712" spans="3:3" ht="15.75" customHeight="1">
      <c r="C712" s="549"/>
    </row>
    <row r="713" spans="3:3" ht="15.75" customHeight="1">
      <c r="C713" s="549"/>
    </row>
    <row r="714" spans="3:3" ht="15.75" customHeight="1">
      <c r="C714" s="549"/>
    </row>
    <row r="715" spans="3:3" ht="15.75" customHeight="1">
      <c r="C715" s="549"/>
    </row>
    <row r="716" spans="3:3" ht="15.75" customHeight="1">
      <c r="C716" s="549"/>
    </row>
    <row r="717" spans="3:3" ht="15.75" customHeight="1">
      <c r="C717" s="549"/>
    </row>
    <row r="718" spans="3:3" ht="15.75" customHeight="1">
      <c r="C718" s="549"/>
    </row>
    <row r="719" spans="3:3" ht="15.75" customHeight="1">
      <c r="C719" s="549"/>
    </row>
    <row r="720" spans="3:3" ht="15.75" customHeight="1">
      <c r="C720" s="549"/>
    </row>
    <row r="721" spans="3:3" ht="15.75" customHeight="1">
      <c r="C721" s="549"/>
    </row>
    <row r="722" spans="3:3" ht="15.75" customHeight="1">
      <c r="C722" s="549"/>
    </row>
    <row r="723" spans="3:3" ht="15.75" customHeight="1">
      <c r="C723" s="549"/>
    </row>
    <row r="724" spans="3:3" ht="15.75" customHeight="1">
      <c r="C724" s="549"/>
    </row>
    <row r="725" spans="3:3" ht="15.75" customHeight="1">
      <c r="C725" s="549"/>
    </row>
    <row r="726" spans="3:3" ht="15.75" customHeight="1">
      <c r="C726" s="549"/>
    </row>
    <row r="727" spans="3:3" ht="15.75" customHeight="1">
      <c r="C727" s="549"/>
    </row>
    <row r="728" spans="3:3" ht="15.75" customHeight="1">
      <c r="C728" s="549"/>
    </row>
    <row r="729" spans="3:3" ht="15.75" customHeight="1">
      <c r="C729" s="549"/>
    </row>
    <row r="730" spans="3:3" ht="15.75" customHeight="1">
      <c r="C730" s="549"/>
    </row>
    <row r="731" spans="3:3" ht="15.75" customHeight="1">
      <c r="C731" s="549"/>
    </row>
    <row r="732" spans="3:3" ht="15.75" customHeight="1">
      <c r="C732" s="549"/>
    </row>
    <row r="733" spans="3:3" ht="15.75" customHeight="1">
      <c r="C733" s="549"/>
    </row>
    <row r="734" spans="3:3" ht="15.75" customHeight="1">
      <c r="C734" s="549"/>
    </row>
    <row r="735" spans="3:3" ht="15.75" customHeight="1">
      <c r="C735" s="549"/>
    </row>
    <row r="736" spans="3:3" ht="15.75" customHeight="1">
      <c r="C736" s="549"/>
    </row>
    <row r="737" spans="3:3" ht="15.75" customHeight="1">
      <c r="C737" s="549"/>
    </row>
    <row r="738" spans="3:3" ht="15.75" customHeight="1">
      <c r="C738" s="549"/>
    </row>
    <row r="739" spans="3:3" ht="15.75" customHeight="1">
      <c r="C739" s="549"/>
    </row>
    <row r="740" spans="3:3" ht="15.75" customHeight="1">
      <c r="C740" s="549"/>
    </row>
    <row r="741" spans="3:3" ht="15.75" customHeight="1">
      <c r="C741" s="549"/>
    </row>
    <row r="742" spans="3:3" ht="15.75" customHeight="1">
      <c r="C742" s="549"/>
    </row>
    <row r="743" spans="3:3" ht="15.75" customHeight="1">
      <c r="C743" s="549"/>
    </row>
    <row r="744" spans="3:3" ht="15.75" customHeight="1">
      <c r="C744" s="549"/>
    </row>
    <row r="745" spans="3:3" ht="15.75" customHeight="1">
      <c r="C745" s="549"/>
    </row>
    <row r="746" spans="3:3" ht="15.75" customHeight="1">
      <c r="C746" s="549"/>
    </row>
    <row r="747" spans="3:3" ht="15.75" customHeight="1">
      <c r="C747" s="549"/>
    </row>
    <row r="748" spans="3:3" ht="15.75" customHeight="1">
      <c r="C748" s="549"/>
    </row>
    <row r="749" spans="3:3" ht="15.75" customHeight="1">
      <c r="C749" s="549"/>
    </row>
    <row r="750" spans="3:3" ht="15.75" customHeight="1">
      <c r="C750" s="549"/>
    </row>
    <row r="751" spans="3:3" ht="15.75" customHeight="1">
      <c r="C751" s="549"/>
    </row>
    <row r="752" spans="3:3" ht="15.75" customHeight="1">
      <c r="C752" s="549"/>
    </row>
    <row r="753" spans="3:3" ht="15.75" customHeight="1">
      <c r="C753" s="549"/>
    </row>
    <row r="754" spans="3:3" ht="15.75" customHeight="1">
      <c r="C754" s="549"/>
    </row>
    <row r="755" spans="3:3" ht="15.75" customHeight="1">
      <c r="C755" s="549"/>
    </row>
    <row r="756" spans="3:3" ht="15.75" customHeight="1">
      <c r="C756" s="549"/>
    </row>
    <row r="757" spans="3:3" ht="15.75" customHeight="1">
      <c r="C757" s="549"/>
    </row>
    <row r="758" spans="3:3" ht="15.75" customHeight="1">
      <c r="C758" s="549"/>
    </row>
    <row r="759" spans="3:3" ht="15.75" customHeight="1">
      <c r="C759" s="549"/>
    </row>
    <row r="760" spans="3:3" ht="15.75" customHeight="1">
      <c r="C760" s="549"/>
    </row>
    <row r="761" spans="3:3" ht="15.75" customHeight="1">
      <c r="C761" s="549"/>
    </row>
    <row r="762" spans="3:3" ht="15.75" customHeight="1">
      <c r="C762" s="549"/>
    </row>
    <row r="763" spans="3:3" ht="15.75" customHeight="1">
      <c r="C763" s="549"/>
    </row>
    <row r="764" spans="3:3" ht="15.75" customHeight="1">
      <c r="C764" s="549"/>
    </row>
    <row r="765" spans="3:3" ht="15.75" customHeight="1">
      <c r="C765" s="549"/>
    </row>
    <row r="766" spans="3:3" ht="15.75" customHeight="1">
      <c r="C766" s="549"/>
    </row>
    <row r="767" spans="3:3" ht="15.75" customHeight="1">
      <c r="C767" s="549"/>
    </row>
    <row r="768" spans="3:3" ht="15.75" customHeight="1">
      <c r="C768" s="549"/>
    </row>
    <row r="769" spans="3:3" ht="15.75" customHeight="1">
      <c r="C769" s="549"/>
    </row>
    <row r="770" spans="3:3" ht="15.75" customHeight="1">
      <c r="C770" s="549"/>
    </row>
    <row r="771" spans="3:3" ht="15.75" customHeight="1">
      <c r="C771" s="549"/>
    </row>
    <row r="772" spans="3:3" ht="15.75" customHeight="1">
      <c r="C772" s="549"/>
    </row>
    <row r="773" spans="3:3" ht="15.75" customHeight="1">
      <c r="C773" s="549"/>
    </row>
    <row r="774" spans="3:3" ht="15.75" customHeight="1">
      <c r="C774" s="549"/>
    </row>
    <row r="775" spans="3:3" ht="15.75" customHeight="1">
      <c r="C775" s="549"/>
    </row>
    <row r="776" spans="3:3" ht="15.75" customHeight="1">
      <c r="C776" s="549"/>
    </row>
    <row r="777" spans="3:3" ht="15.75" customHeight="1">
      <c r="C777" s="549"/>
    </row>
    <row r="778" spans="3:3" ht="15.75" customHeight="1">
      <c r="C778" s="549"/>
    </row>
    <row r="779" spans="3:3" ht="15.75" customHeight="1">
      <c r="C779" s="549"/>
    </row>
    <row r="780" spans="3:3" ht="15.75" customHeight="1">
      <c r="C780" s="549"/>
    </row>
    <row r="781" spans="3:3" ht="15.75" customHeight="1">
      <c r="C781" s="549"/>
    </row>
    <row r="782" spans="3:3" ht="15.75" customHeight="1">
      <c r="C782" s="549"/>
    </row>
    <row r="783" spans="3:3" ht="15.75" customHeight="1">
      <c r="C783" s="549"/>
    </row>
    <row r="784" spans="3:3" ht="15.75" customHeight="1">
      <c r="C784" s="549"/>
    </row>
    <row r="785" spans="3:3" ht="15.75" customHeight="1">
      <c r="C785" s="549"/>
    </row>
    <row r="786" spans="3:3" ht="15.75" customHeight="1">
      <c r="C786" s="549"/>
    </row>
    <row r="787" spans="3:3" ht="15.75" customHeight="1">
      <c r="C787" s="549"/>
    </row>
    <row r="788" spans="3:3" ht="15.75" customHeight="1">
      <c r="C788" s="549"/>
    </row>
    <row r="789" spans="3:3" ht="15.75" customHeight="1">
      <c r="C789" s="549"/>
    </row>
    <row r="790" spans="3:3" ht="15.75" customHeight="1">
      <c r="C790" s="549"/>
    </row>
    <row r="791" spans="3:3" ht="15.75" customHeight="1">
      <c r="C791" s="549"/>
    </row>
    <row r="792" spans="3:3" ht="15.75" customHeight="1">
      <c r="C792" s="549"/>
    </row>
    <row r="793" spans="3:3" ht="15.75" customHeight="1">
      <c r="C793" s="549"/>
    </row>
    <row r="794" spans="3:3" ht="15.75" customHeight="1">
      <c r="C794" s="549"/>
    </row>
    <row r="795" spans="3:3" ht="15.75" customHeight="1">
      <c r="C795" s="549"/>
    </row>
    <row r="796" spans="3:3" ht="15.75" customHeight="1">
      <c r="C796" s="549"/>
    </row>
    <row r="797" spans="3:3" ht="15.75" customHeight="1">
      <c r="C797" s="549"/>
    </row>
    <row r="798" spans="3:3" ht="15.75" customHeight="1">
      <c r="C798" s="549"/>
    </row>
    <row r="799" spans="3:3" ht="15.75" customHeight="1">
      <c r="C799" s="549"/>
    </row>
    <row r="800" spans="3:3" ht="15.75" customHeight="1">
      <c r="C800" s="549"/>
    </row>
    <row r="801" spans="3:3" ht="15.75" customHeight="1">
      <c r="C801" s="549"/>
    </row>
    <row r="802" spans="3:3" ht="15.75" customHeight="1">
      <c r="C802" s="549"/>
    </row>
    <row r="803" spans="3:3" ht="15.75" customHeight="1">
      <c r="C803" s="549"/>
    </row>
    <row r="804" spans="3:3" ht="15.75" customHeight="1">
      <c r="C804" s="549"/>
    </row>
    <row r="805" spans="3:3" ht="15.75" customHeight="1">
      <c r="C805" s="549"/>
    </row>
    <row r="806" spans="3:3" ht="15.75" customHeight="1">
      <c r="C806" s="549"/>
    </row>
    <row r="807" spans="3:3" ht="15.75" customHeight="1">
      <c r="C807" s="549"/>
    </row>
    <row r="808" spans="3:3" ht="15.75" customHeight="1">
      <c r="C808" s="549"/>
    </row>
    <row r="809" spans="3:3" ht="15.75" customHeight="1">
      <c r="C809" s="549"/>
    </row>
    <row r="810" spans="3:3" ht="15.75" customHeight="1">
      <c r="C810" s="549"/>
    </row>
    <row r="811" spans="3:3" ht="15.75" customHeight="1">
      <c r="C811" s="549"/>
    </row>
    <row r="812" spans="3:3" ht="15.75" customHeight="1">
      <c r="C812" s="549"/>
    </row>
    <row r="813" spans="3:3" ht="15.75" customHeight="1">
      <c r="C813" s="549"/>
    </row>
    <row r="814" spans="3:3" ht="15.75" customHeight="1">
      <c r="C814" s="549"/>
    </row>
    <row r="815" spans="3:3" ht="15.75" customHeight="1">
      <c r="C815" s="549"/>
    </row>
    <row r="816" spans="3:3" ht="15.75" customHeight="1">
      <c r="C816" s="549"/>
    </row>
    <row r="817" spans="3:3" ht="15.75" customHeight="1">
      <c r="C817" s="549"/>
    </row>
    <row r="818" spans="3:3" ht="15.75" customHeight="1">
      <c r="C818" s="549"/>
    </row>
    <row r="819" spans="3:3" ht="15.75" customHeight="1">
      <c r="C819" s="549"/>
    </row>
    <row r="820" spans="3:3" ht="15.75" customHeight="1">
      <c r="C820" s="549"/>
    </row>
    <row r="821" spans="3:3" ht="15.75" customHeight="1">
      <c r="C821" s="549"/>
    </row>
    <row r="822" spans="3:3" ht="15.75" customHeight="1">
      <c r="C822" s="549"/>
    </row>
    <row r="823" spans="3:3" ht="15.75" customHeight="1">
      <c r="C823" s="549"/>
    </row>
    <row r="824" spans="3:3" ht="15.75" customHeight="1">
      <c r="C824" s="549"/>
    </row>
    <row r="825" spans="3:3" ht="15.75" customHeight="1">
      <c r="C825" s="549"/>
    </row>
    <row r="826" spans="3:3" ht="15.75" customHeight="1">
      <c r="C826" s="549"/>
    </row>
    <row r="827" spans="3:3" ht="15.75" customHeight="1">
      <c r="C827" s="549"/>
    </row>
    <row r="828" spans="3:3" ht="15.75" customHeight="1">
      <c r="C828" s="549"/>
    </row>
    <row r="829" spans="3:3" ht="15.75" customHeight="1">
      <c r="C829" s="549"/>
    </row>
    <row r="830" spans="3:3" ht="15.75" customHeight="1">
      <c r="C830" s="549"/>
    </row>
    <row r="831" spans="3:3" ht="15.75" customHeight="1">
      <c r="C831" s="549"/>
    </row>
    <row r="832" spans="3:3" ht="15.75" customHeight="1">
      <c r="C832" s="549"/>
    </row>
    <row r="833" spans="3:3" ht="15.75" customHeight="1">
      <c r="C833" s="549"/>
    </row>
    <row r="834" spans="3:3" ht="15.75" customHeight="1">
      <c r="C834" s="549"/>
    </row>
    <row r="835" spans="3:3" ht="15.75" customHeight="1">
      <c r="C835" s="549"/>
    </row>
    <row r="836" spans="3:3" ht="15.75" customHeight="1">
      <c r="C836" s="549"/>
    </row>
    <row r="837" spans="3:3" ht="15.75" customHeight="1">
      <c r="C837" s="549"/>
    </row>
    <row r="838" spans="3:3" ht="15.75" customHeight="1">
      <c r="C838" s="549"/>
    </row>
    <row r="839" spans="3:3" ht="15.75" customHeight="1">
      <c r="C839" s="549"/>
    </row>
    <row r="840" spans="3:3" ht="15.75" customHeight="1">
      <c r="C840" s="549"/>
    </row>
    <row r="841" spans="3:3" ht="15.75" customHeight="1">
      <c r="C841" s="549"/>
    </row>
    <row r="842" spans="3:3" ht="15.75" customHeight="1">
      <c r="C842" s="549"/>
    </row>
    <row r="843" spans="3:3" ht="15.75" customHeight="1">
      <c r="C843" s="549"/>
    </row>
    <row r="844" spans="3:3" ht="15.75" customHeight="1">
      <c r="C844" s="549"/>
    </row>
    <row r="845" spans="3:3" ht="15.75" customHeight="1">
      <c r="C845" s="549"/>
    </row>
    <row r="846" spans="3:3" ht="15.75" customHeight="1">
      <c r="C846" s="549"/>
    </row>
    <row r="847" spans="3:3" ht="15.75" customHeight="1">
      <c r="C847" s="549"/>
    </row>
    <row r="848" spans="3:3" ht="15.75" customHeight="1">
      <c r="C848" s="549"/>
    </row>
    <row r="849" spans="3:3" ht="15.75" customHeight="1">
      <c r="C849" s="549"/>
    </row>
    <row r="850" spans="3:3" ht="15.75" customHeight="1">
      <c r="C850" s="549"/>
    </row>
    <row r="851" spans="3:3" ht="15.75" customHeight="1">
      <c r="C851" s="549"/>
    </row>
    <row r="852" spans="3:3" ht="15.75" customHeight="1">
      <c r="C852" s="549"/>
    </row>
  </sheetData>
  <mergeCells count="3">
    <mergeCell ref="C1:F1"/>
    <mergeCell ref="G1:K1"/>
    <mergeCell ref="L1:Q1"/>
  </mergeCells>
  <conditionalFormatting sqref="I4:I10 I12 I14 I17 I19 I21 I23 I25:I26 I29:I39">
    <cfRule type="colorScale" priority="5">
      <colorScale>
        <cfvo type="min"/>
        <cfvo type="percentile" val="50"/>
        <cfvo type="max"/>
        <color rgb="FF57BB8A"/>
        <color rgb="FFFFFFFF"/>
        <color rgb="FFE67C73"/>
      </colorScale>
    </cfRule>
  </conditionalFormatting>
  <conditionalFormatting sqref="K4:K10 K12 K14 K17 K19 K21 K23 K25:K26 K29:K39">
    <cfRule type="colorScale" priority="6">
      <colorScale>
        <cfvo type="min"/>
        <cfvo type="max"/>
        <color rgb="FF57BB8A"/>
        <color rgb="FFFFFFFF"/>
      </colorScale>
    </cfRule>
  </conditionalFormatting>
  <conditionalFormatting sqref="L4:Q10 L12:Q12 L14:Q14 L17:Q17 L19:Q19 L21:Q21 L23:Q23 L25:Q26 L29:Q39">
    <cfRule type="cellIs" dxfId="6" priority="3" operator="greaterThan">
      <formula>0</formula>
    </cfRule>
    <cfRule type="cellIs" dxfId="5" priority="4" operator="lessThanOrEqual">
      <formula>0</formula>
    </cfRule>
  </conditionalFormatting>
  <conditionalFormatting sqref="L4:Q10 L12:Q12 L14:Q14 L17:Q17 L19:Q19 L21:Q21 L23:Q23 L25:Q26 L30:Q30 L32:Q32 L34:Q34 L36:Q36 L38:Q38">
    <cfRule type="cellIs" dxfId="4" priority="1" operator="greaterThan">
      <formula>0</formula>
    </cfRule>
    <cfRule type="cellIs" dxfId="3" priority="2" operator="lessThanOrEqual">
      <formula>0</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I83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12.6640625" defaultRowHeight="15" customHeight="1"/>
  <cols>
    <col min="1" max="1" width="4.109375" customWidth="1"/>
    <col min="2" max="2" width="10.109375" customWidth="1"/>
    <col min="3" max="3" width="23.6640625" customWidth="1"/>
    <col min="4" max="4" width="15.109375" customWidth="1"/>
    <col min="5" max="7" width="10.33203125" customWidth="1"/>
    <col min="8" max="8" width="7.88671875" customWidth="1"/>
    <col min="9" max="9" width="10.88671875" customWidth="1"/>
    <col min="10" max="11" width="7.6640625" customWidth="1"/>
    <col min="12" max="12" width="6.88671875" customWidth="1"/>
    <col min="13" max="13" width="8.109375" customWidth="1"/>
    <col min="14" max="14" width="10.109375" customWidth="1"/>
    <col min="15" max="17" width="9" customWidth="1"/>
    <col min="18" max="18" width="6.33203125" customWidth="1"/>
    <col min="19" max="19" width="8" customWidth="1"/>
    <col min="20" max="20" width="14.44140625" customWidth="1"/>
    <col min="21" max="46" width="8" customWidth="1"/>
  </cols>
  <sheetData>
    <row r="1" spans="1:61" ht="15.75" customHeight="1">
      <c r="A1" s="29"/>
      <c r="B1" s="29"/>
      <c r="C1" s="864" t="s">
        <v>45</v>
      </c>
      <c r="D1" s="862"/>
      <c r="E1" s="862"/>
      <c r="F1" s="862"/>
      <c r="G1" s="863"/>
      <c r="H1" s="871"/>
      <c r="I1" s="862"/>
      <c r="J1" s="862"/>
      <c r="K1" s="863"/>
      <c r="L1" s="864" t="s">
        <v>47</v>
      </c>
      <c r="M1" s="862"/>
      <c r="N1" s="862"/>
      <c r="O1" s="862"/>
      <c r="P1" s="862"/>
      <c r="Q1" s="863"/>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row>
    <row r="2" spans="1:61" ht="36">
      <c r="A2" s="36"/>
      <c r="B2" s="37" t="s">
        <v>0</v>
      </c>
      <c r="C2" s="38" t="s">
        <v>1</v>
      </c>
      <c r="D2" s="37" t="s">
        <v>2</v>
      </c>
      <c r="E2" s="37" t="s">
        <v>623</v>
      </c>
      <c r="F2" s="37" t="s">
        <v>93</v>
      </c>
      <c r="G2" s="37" t="s">
        <v>624</v>
      </c>
      <c r="H2" s="39" t="s">
        <v>3</v>
      </c>
      <c r="I2" s="39" t="s">
        <v>625</v>
      </c>
      <c r="J2" s="40" t="s">
        <v>626</v>
      </c>
      <c r="K2" s="40" t="s">
        <v>605</v>
      </c>
      <c r="L2" s="41" t="s">
        <v>4</v>
      </c>
      <c r="M2" s="37" t="s">
        <v>66</v>
      </c>
      <c r="N2" s="37" t="s">
        <v>67</v>
      </c>
      <c r="O2" s="37" t="s">
        <v>68</v>
      </c>
      <c r="P2" s="37" t="s">
        <v>69</v>
      </c>
      <c r="Q2" s="37" t="s">
        <v>70</v>
      </c>
      <c r="R2" s="44"/>
      <c r="S2" s="44"/>
      <c r="T2" s="44"/>
      <c r="U2" s="44"/>
      <c r="V2" s="44"/>
      <c r="W2" s="44"/>
      <c r="X2" s="44"/>
      <c r="Y2" s="44"/>
      <c r="Z2" s="44"/>
      <c r="AA2" s="44"/>
      <c r="AB2" s="44"/>
      <c r="AC2" s="44"/>
      <c r="AD2" s="44"/>
      <c r="AE2" s="44"/>
      <c r="AF2" s="44"/>
      <c r="AG2" s="44"/>
      <c r="AH2" s="44"/>
      <c r="AI2" s="44"/>
      <c r="AJ2" s="44"/>
      <c r="AK2" s="44"/>
      <c r="AL2" s="44"/>
      <c r="AM2" s="44"/>
      <c r="AN2" s="36"/>
      <c r="AO2" s="36"/>
      <c r="AP2" s="36"/>
      <c r="AQ2" s="36"/>
      <c r="AR2" s="36"/>
      <c r="AS2" s="36"/>
      <c r="AT2" s="36"/>
      <c r="AU2" s="36"/>
      <c r="AV2" s="36"/>
      <c r="AW2" s="36"/>
      <c r="AX2" s="36"/>
      <c r="AY2" s="36"/>
      <c r="AZ2" s="36"/>
    </row>
    <row r="3" spans="1:61" ht="13.2">
      <c r="A3" s="294">
        <v>1</v>
      </c>
      <c r="B3" s="1" t="s">
        <v>5</v>
      </c>
      <c r="C3" s="233" t="str">
        <f ca="1">IFERROR(__xludf.DUMMYFUNCTION("GoogleFinance(B3,""name"")"),"SPDR S&amp;P 500 ETF Trust")</f>
        <v>SPDR S&amp;P 500 ETF Trust</v>
      </c>
      <c r="D3" s="229" t="s">
        <v>80</v>
      </c>
      <c r="E3" s="858">
        <v>45730</v>
      </c>
      <c r="F3" s="859"/>
      <c r="G3" s="860"/>
      <c r="H3" s="236">
        <f ca="1">IFERROR(__xludf.DUMMYFUNCTION("GOOGLEFINANCE(B3)"),661.82)</f>
        <v>661.82</v>
      </c>
      <c r="I3" s="798">
        <v>502.2</v>
      </c>
      <c r="J3" s="254">
        <f ca="1">I3/H3-1</f>
        <v>-0.2411834033422986</v>
      </c>
      <c r="K3" s="229"/>
      <c r="L3" s="8">
        <f ca="1">IFERROR(__xludf.DUMMYFUNCTION("GoogleFinance(B3,""changepct"")/100"),0.00569999999999999)</f>
        <v>5.6999999999999898E-3</v>
      </c>
      <c r="M3" s="8" t="e">
        <f ca="1">H3/V4-1</f>
        <v>#DIV/0!</v>
      </c>
      <c r="N3" s="8" t="e">
        <f ca="1">H3/X4-1</f>
        <v>#DIV/0!</v>
      </c>
      <c r="O3" s="8" t="e">
        <f ca="1">H3/Z4-1</f>
        <v>#DIV/0!</v>
      </c>
      <c r="P3" s="8" t="e">
        <f ca="1">H3/AB4-1</f>
        <v>#DIV/0!</v>
      </c>
      <c r="Q3" s="8">
        <f ca="1">H3/AD4-1</f>
        <v>0.39239654120468748</v>
      </c>
      <c r="R3" s="2"/>
      <c r="S3" s="2"/>
      <c r="T3" s="2"/>
      <c r="U3" s="2" t="str">
        <f ca="1">IFERROR(__xludf.DUMMYFUNCTION("GoogleFinance(B3,""price"",today()-7)"),"#N/A")</f>
        <v>#N/A</v>
      </c>
      <c r="V3" s="22"/>
      <c r="W3" s="2" t="str">
        <f ca="1">IFERROR(__xludf.DUMMYFUNCTION("GoogleFinance(B3,""price"",today()-31)"),"#N/A")</f>
        <v>#N/A</v>
      </c>
      <c r="X3" s="22"/>
      <c r="Y3" s="2" t="str">
        <f ca="1">IFERROR(__xludf.DUMMYFUNCTION("GoogleFinance(B3,""price"",today()-91)"),"#N/A")</f>
        <v>#N/A</v>
      </c>
      <c r="Z3" s="22"/>
      <c r="AA3" s="2" t="str">
        <f ca="1">IFERROR(__xludf.DUMMYFUNCTION("GoogleFinance(B3,""price"",today()-182)"),"#N/A")</f>
        <v>#N/A</v>
      </c>
      <c r="AB3" s="22"/>
      <c r="AC3" s="2" t="str">
        <f ca="1">IFERROR(__xludf.DUMMYFUNCTION("GoogleFinance(B3,""price"",DATE(2023,12,29))"),"Date")</f>
        <v>Date</v>
      </c>
      <c r="AD3" s="22" t="str">
        <f ca="1">IFERROR(__xludf.DUMMYFUNCTION("""COMPUTED_VALUE"""),"Close")</f>
        <v>Close</v>
      </c>
      <c r="AE3" s="4"/>
      <c r="AF3" s="4"/>
      <c r="AG3" s="4"/>
      <c r="AH3" s="4"/>
      <c r="AI3" s="587"/>
      <c r="AJ3" s="587"/>
      <c r="AK3" s="4"/>
      <c r="AL3" s="587"/>
      <c r="AM3" s="587"/>
      <c r="AN3" s="587"/>
      <c r="AO3" s="587"/>
      <c r="AP3" s="587"/>
      <c r="AQ3" s="4"/>
      <c r="AR3" s="4"/>
      <c r="AS3" s="4"/>
      <c r="AT3" s="4"/>
      <c r="AU3" s="4"/>
      <c r="AV3" s="4"/>
      <c r="AW3" s="4"/>
      <c r="AX3" s="4"/>
      <c r="AY3" s="4"/>
      <c r="AZ3" s="4"/>
      <c r="BA3" s="587"/>
      <c r="BB3" s="587"/>
      <c r="BC3" s="587"/>
      <c r="BD3" s="587"/>
      <c r="BE3" s="587"/>
      <c r="BF3" s="587"/>
      <c r="BG3" s="587"/>
      <c r="BH3" s="587"/>
      <c r="BI3" s="587"/>
    </row>
    <row r="4" spans="1:61" ht="13.2" hidden="1">
      <c r="A4" s="294" t="e">
        <f>1+#REF!</f>
        <v>#REF!</v>
      </c>
      <c r="B4" s="579"/>
      <c r="C4" s="580"/>
      <c r="D4" s="229"/>
      <c r="E4" s="858">
        <v>45203</v>
      </c>
      <c r="F4" s="859">
        <v>45203</v>
      </c>
      <c r="G4" s="860">
        <v>45203</v>
      </c>
      <c r="H4" s="581"/>
      <c r="I4" s="581"/>
      <c r="J4" s="583"/>
      <c r="K4" s="583"/>
      <c r="L4" s="584"/>
      <c r="M4" s="584"/>
      <c r="N4" s="584"/>
      <c r="O4" s="584"/>
      <c r="P4" s="584"/>
      <c r="Q4" s="584"/>
      <c r="R4" s="242"/>
      <c r="S4" s="242"/>
      <c r="T4" s="242"/>
      <c r="U4" s="242"/>
      <c r="V4" s="22"/>
      <c r="W4" s="242"/>
      <c r="X4" s="22"/>
      <c r="Y4" s="242"/>
      <c r="Z4" s="22"/>
      <c r="AA4" s="242"/>
      <c r="AB4" s="22"/>
      <c r="AC4" s="242">
        <f ca="1">IFERROR(__xludf.DUMMYFUNCTION("""COMPUTED_VALUE"""),45289.6666666666)</f>
        <v>45289.666666666599</v>
      </c>
      <c r="AD4" s="22">
        <f ca="1">IFERROR(__xludf.DUMMYFUNCTION("""COMPUTED_VALUE"""),475.31)</f>
        <v>475.31</v>
      </c>
      <c r="AE4" s="24"/>
      <c r="AF4" s="24"/>
      <c r="AG4" s="24"/>
      <c r="AH4" s="24"/>
      <c r="AI4" s="587"/>
      <c r="AJ4" s="587"/>
      <c r="AK4" s="24"/>
      <c r="AL4" s="587"/>
      <c r="AM4" s="587"/>
      <c r="AN4" s="587"/>
      <c r="AO4" s="587"/>
      <c r="AP4" s="587"/>
      <c r="AQ4" s="24"/>
      <c r="AR4" s="24"/>
      <c r="AS4" s="24"/>
      <c r="AT4" s="24"/>
      <c r="AU4" s="24"/>
      <c r="AV4" s="24"/>
      <c r="AW4" s="24"/>
      <c r="AX4" s="24"/>
      <c r="AY4" s="24"/>
      <c r="AZ4" s="24"/>
      <c r="BA4" s="587"/>
      <c r="BB4" s="587"/>
      <c r="BC4" s="587"/>
      <c r="BD4" s="587"/>
      <c r="BE4" s="587"/>
      <c r="BF4" s="587"/>
      <c r="BG4" s="587"/>
      <c r="BH4" s="587"/>
      <c r="BI4" s="587"/>
    </row>
    <row r="5" spans="1:61" ht="13.2">
      <c r="A5" s="294">
        <f t="shared" ref="A5:A9" si="0">1+A3</f>
        <v>2</v>
      </c>
      <c r="B5" s="1" t="s">
        <v>6</v>
      </c>
      <c r="C5" s="233" t="str">
        <f ca="1">IFERROR(__xludf.DUMMYFUNCTION("GoogleFinance(B5,""name"")"),"Invesco QQQ Trust, Series 1")</f>
        <v>Invesco QQQ Trust, Series 1</v>
      </c>
      <c r="D5" s="229" t="s">
        <v>627</v>
      </c>
      <c r="E5" s="858">
        <v>45730</v>
      </c>
      <c r="F5" s="859"/>
      <c r="G5" s="860"/>
      <c r="H5" s="236">
        <f ca="1">IFERROR(__xludf.DUMMYFUNCTION("GOOGLEFINANCE(B5)"),595.97)</f>
        <v>595.97</v>
      </c>
      <c r="I5" s="228">
        <v>435</v>
      </c>
      <c r="J5" s="254">
        <f ca="1">I5/H5-1</f>
        <v>-0.27009748812859713</v>
      </c>
      <c r="K5" s="229"/>
      <c r="L5" s="8">
        <f ca="1">IFERROR(__xludf.DUMMYFUNCTION("GoogleFinance(B5,""changepct"")/100"),0.00409999999999999)</f>
        <v>4.0999999999999899E-3</v>
      </c>
      <c r="M5" s="8" t="e">
        <f ca="1">H5/V6-1</f>
        <v>#DIV/0!</v>
      </c>
      <c r="N5" s="8" t="e">
        <f ca="1">H5/X6-1</f>
        <v>#DIV/0!</v>
      </c>
      <c r="O5" s="8" t="e">
        <f ca="1">H5/Z6-1</f>
        <v>#DIV/0!</v>
      </c>
      <c r="P5" s="8" t="e">
        <f ca="1">H5/AB6-1</f>
        <v>#DIV/0!</v>
      </c>
      <c r="Q5" s="8">
        <f ca="1">H5/AD6-1</f>
        <v>0.45528911896854862</v>
      </c>
      <c r="R5" s="2"/>
      <c r="S5" s="2"/>
      <c r="T5" s="2"/>
      <c r="U5" s="2" t="str">
        <f ca="1">IFERROR(__xludf.DUMMYFUNCTION("GoogleFinance(B5,""price"",today()-7)"),"#N/A")</f>
        <v>#N/A</v>
      </c>
      <c r="V5" s="22"/>
      <c r="W5" s="2" t="str">
        <f ca="1">IFERROR(__xludf.DUMMYFUNCTION("GoogleFinance(B5,""price"",today()-31)"),"#N/A")</f>
        <v>#N/A</v>
      </c>
      <c r="X5" s="22"/>
      <c r="Y5" s="2" t="str">
        <f ca="1">IFERROR(__xludf.DUMMYFUNCTION("GoogleFinance(B5,""price"",today()-91)"),"#N/A")</f>
        <v>#N/A</v>
      </c>
      <c r="Z5" s="22"/>
      <c r="AA5" s="2" t="str">
        <f ca="1">IFERROR(__xludf.DUMMYFUNCTION("GoogleFinance(B5,""price"",today()-182)"),"#N/A")</f>
        <v>#N/A</v>
      </c>
      <c r="AB5" s="22"/>
      <c r="AC5" s="2" t="str">
        <f ca="1">IFERROR(__xludf.DUMMYFUNCTION("GoogleFinance(B5,""price"",DATE(2023,12,29))"),"Date")</f>
        <v>Date</v>
      </c>
      <c r="AD5" s="22" t="str">
        <f ca="1">IFERROR(__xludf.DUMMYFUNCTION("""COMPUTED_VALUE"""),"Close")</f>
        <v>Close</v>
      </c>
      <c r="AE5" s="4"/>
      <c r="AF5" s="4"/>
      <c r="AG5" s="4"/>
      <c r="AH5" s="4"/>
      <c r="AI5" s="587"/>
      <c r="AJ5" s="587"/>
      <c r="AK5" s="4"/>
      <c r="AL5" s="587"/>
      <c r="AM5" s="587"/>
      <c r="AN5" s="587"/>
      <c r="AO5" s="587"/>
      <c r="AP5" s="587"/>
      <c r="AQ5" s="4"/>
      <c r="AR5" s="4"/>
      <c r="AS5" s="4"/>
      <c r="AT5" s="4"/>
      <c r="AU5" s="4"/>
      <c r="AV5" s="4"/>
      <c r="AW5" s="4"/>
      <c r="AX5" s="4"/>
      <c r="AY5" s="4"/>
      <c r="AZ5" s="4"/>
      <c r="BA5" s="587"/>
      <c r="BB5" s="587"/>
      <c r="BC5" s="587"/>
      <c r="BD5" s="587"/>
      <c r="BE5" s="587"/>
      <c r="BF5" s="587"/>
      <c r="BG5" s="587"/>
      <c r="BH5" s="587"/>
      <c r="BI5" s="587"/>
    </row>
    <row r="6" spans="1:61" ht="13.2" hidden="1">
      <c r="A6" s="294" t="e">
        <f t="shared" si="0"/>
        <v>#REF!</v>
      </c>
      <c r="B6" s="579"/>
      <c r="C6" s="580"/>
      <c r="D6" s="229"/>
      <c r="E6" s="858">
        <v>45205</v>
      </c>
      <c r="F6" s="859">
        <v>45205</v>
      </c>
      <c r="G6" s="860">
        <v>45205</v>
      </c>
      <c r="H6" s="581"/>
      <c r="I6" s="581"/>
      <c r="J6" s="583"/>
      <c r="K6" s="583"/>
      <c r="L6" s="584"/>
      <c r="M6" s="584"/>
      <c r="N6" s="584"/>
      <c r="O6" s="584"/>
      <c r="P6" s="584"/>
      <c r="Q6" s="584"/>
      <c r="R6" s="242"/>
      <c r="S6" s="242"/>
      <c r="T6" s="242"/>
      <c r="U6" s="242"/>
      <c r="V6" s="22"/>
      <c r="W6" s="242"/>
      <c r="X6" s="22"/>
      <c r="Y6" s="242"/>
      <c r="Z6" s="22"/>
      <c r="AA6" s="242"/>
      <c r="AB6" s="22"/>
      <c r="AC6" s="242">
        <f ca="1">IFERROR(__xludf.DUMMYFUNCTION("""COMPUTED_VALUE"""),45289.6666666666)</f>
        <v>45289.666666666599</v>
      </c>
      <c r="AD6" s="22">
        <f ca="1">IFERROR(__xludf.DUMMYFUNCTION("""COMPUTED_VALUE"""),409.52)</f>
        <v>409.52</v>
      </c>
      <c r="AE6" s="24"/>
      <c r="AF6" s="24"/>
      <c r="AG6" s="24"/>
      <c r="AH6" s="24"/>
      <c r="AI6" s="587"/>
      <c r="AJ6" s="587"/>
      <c r="AK6" s="24"/>
      <c r="AL6" s="587"/>
      <c r="AM6" s="587"/>
      <c r="AN6" s="587"/>
      <c r="AO6" s="587"/>
      <c r="AP6" s="587"/>
      <c r="AQ6" s="24"/>
      <c r="AR6" s="24"/>
      <c r="AS6" s="24"/>
      <c r="AT6" s="24"/>
      <c r="AU6" s="24"/>
      <c r="AV6" s="24"/>
      <c r="AW6" s="24"/>
      <c r="AX6" s="24"/>
      <c r="AY6" s="24"/>
      <c r="AZ6" s="24"/>
      <c r="BA6" s="587"/>
      <c r="BB6" s="587"/>
      <c r="BC6" s="587"/>
      <c r="BD6" s="587"/>
      <c r="BE6" s="587"/>
      <c r="BF6" s="587"/>
      <c r="BG6" s="587"/>
      <c r="BH6" s="587"/>
      <c r="BI6" s="587"/>
    </row>
    <row r="7" spans="1:61" ht="13.2">
      <c r="A7" s="294">
        <f t="shared" si="0"/>
        <v>3</v>
      </c>
      <c r="B7" s="1" t="s">
        <v>8</v>
      </c>
      <c r="C7" s="233" t="str">
        <f ca="1">IFERROR(__xludf.DUMMYFUNCTION("GoogleFinance(B7,""name"")"),"iShares Russell 2000 ETF")</f>
        <v>iShares Russell 2000 ETF</v>
      </c>
      <c r="D7" s="229" t="s">
        <v>628</v>
      </c>
      <c r="E7" s="858">
        <v>45730</v>
      </c>
      <c r="F7" s="859"/>
      <c r="G7" s="860"/>
      <c r="H7" s="236">
        <f ca="1">IFERROR(__xludf.DUMMYFUNCTION("GOOGLEFINANCE(B7)"),241.34)</f>
        <v>241.34</v>
      </c>
      <c r="I7" s="228">
        <v>202.5</v>
      </c>
      <c r="J7" s="254">
        <f ca="1">I7/H7-1</f>
        <v>-0.16093478080716006</v>
      </c>
      <c r="K7" s="229"/>
      <c r="L7" s="8">
        <f ca="1">IFERROR(__xludf.DUMMYFUNCTION("GoogleFinance(B7,""changepct"")/100"),0.0086)</f>
        <v>8.6E-3</v>
      </c>
      <c r="M7" s="8" t="e">
        <f ca="1">H7/V8-1</f>
        <v>#DIV/0!</v>
      </c>
      <c r="N7" s="8" t="e">
        <f ca="1">H7/X8-1</f>
        <v>#DIV/0!</v>
      </c>
      <c r="O7" s="8" t="e">
        <f ca="1">H7/Z8-1</f>
        <v>#DIV/0!</v>
      </c>
      <c r="P7" s="8" t="e">
        <f ca="1">H7/AB8-1</f>
        <v>#DIV/0!</v>
      </c>
      <c r="Q7" s="8">
        <f ca="1">H7/AD8-1</f>
        <v>0.20243136864132327</v>
      </c>
      <c r="R7" s="2"/>
      <c r="S7" s="2"/>
      <c r="T7" s="2"/>
      <c r="U7" s="2" t="str">
        <f ca="1">IFERROR(__xludf.DUMMYFUNCTION("GoogleFinance(B7,""price"",today()-7)"),"#N/A")</f>
        <v>#N/A</v>
      </c>
      <c r="V7" s="22"/>
      <c r="W7" s="2" t="str">
        <f ca="1">IFERROR(__xludf.DUMMYFUNCTION("GoogleFinance(B7,""price"",today()-31)"),"#N/A")</f>
        <v>#N/A</v>
      </c>
      <c r="X7" s="22"/>
      <c r="Y7" s="2" t="str">
        <f ca="1">IFERROR(__xludf.DUMMYFUNCTION("GoogleFinance(B7,""price"",today()-91)"),"#N/A")</f>
        <v>#N/A</v>
      </c>
      <c r="Z7" s="22"/>
      <c r="AA7" s="2" t="str">
        <f ca="1">IFERROR(__xludf.DUMMYFUNCTION("GoogleFinance(B7,""price"",today()-182)"),"#N/A")</f>
        <v>#N/A</v>
      </c>
      <c r="AB7" s="22"/>
      <c r="AC7" s="2" t="str">
        <f ca="1">IFERROR(__xludf.DUMMYFUNCTION("GoogleFinance(B7,""price"",DATE(2023,12,29))"),"Date")</f>
        <v>Date</v>
      </c>
      <c r="AD7" s="22" t="str">
        <f ca="1">IFERROR(__xludf.DUMMYFUNCTION("""COMPUTED_VALUE"""),"Close")</f>
        <v>Close</v>
      </c>
      <c r="AE7" s="4"/>
      <c r="AF7" s="4"/>
      <c r="AG7" s="4"/>
      <c r="AH7" s="4"/>
      <c r="AI7" s="587"/>
      <c r="AJ7" s="587"/>
      <c r="AK7" s="4"/>
      <c r="AL7" s="587"/>
      <c r="AM7" s="587"/>
      <c r="AN7" s="587"/>
      <c r="AO7" s="587"/>
      <c r="AP7" s="587"/>
      <c r="AQ7" s="4"/>
      <c r="AR7" s="4"/>
      <c r="AS7" s="4"/>
      <c r="AT7" s="4"/>
      <c r="AU7" s="4"/>
      <c r="AV7" s="4"/>
      <c r="AW7" s="4"/>
      <c r="AX7" s="4"/>
      <c r="AY7" s="4"/>
      <c r="AZ7" s="4"/>
      <c r="BA7" s="587"/>
      <c r="BB7" s="587"/>
      <c r="BC7" s="587"/>
      <c r="BD7" s="587"/>
      <c r="BE7" s="587"/>
      <c r="BF7" s="587"/>
      <c r="BG7" s="587"/>
      <c r="BH7" s="587"/>
      <c r="BI7" s="587"/>
    </row>
    <row r="8" spans="1:61" ht="13.2" hidden="1">
      <c r="A8" s="294" t="e">
        <f t="shared" si="0"/>
        <v>#REF!</v>
      </c>
      <c r="B8" s="579"/>
      <c r="C8" s="580"/>
      <c r="D8" s="229"/>
      <c r="E8" s="858">
        <v>45207</v>
      </c>
      <c r="F8" s="859">
        <v>45208</v>
      </c>
      <c r="G8" s="860">
        <v>45209</v>
      </c>
      <c r="H8" s="581"/>
      <c r="I8" s="581"/>
      <c r="J8" s="583"/>
      <c r="K8" s="583"/>
      <c r="L8" s="584"/>
      <c r="M8" s="584"/>
      <c r="N8" s="584"/>
      <c r="O8" s="584"/>
      <c r="P8" s="584"/>
      <c r="Q8" s="584"/>
      <c r="R8" s="242"/>
      <c r="S8" s="242"/>
      <c r="T8" s="242"/>
      <c r="U8" s="242"/>
      <c r="V8" s="22"/>
      <c r="W8" s="242"/>
      <c r="X8" s="22"/>
      <c r="Y8" s="242"/>
      <c r="Z8" s="22"/>
      <c r="AA8" s="242"/>
      <c r="AB8" s="22"/>
      <c r="AC8" s="242">
        <f ca="1">IFERROR(__xludf.DUMMYFUNCTION("""COMPUTED_VALUE"""),45289.6666666666)</f>
        <v>45289.666666666599</v>
      </c>
      <c r="AD8" s="22">
        <f ca="1">IFERROR(__xludf.DUMMYFUNCTION("""COMPUTED_VALUE"""),200.71)</f>
        <v>200.71</v>
      </c>
      <c r="AE8" s="24"/>
      <c r="AF8" s="24"/>
      <c r="AG8" s="24"/>
      <c r="AH8" s="24"/>
      <c r="AI8" s="587"/>
      <c r="AJ8" s="587"/>
      <c r="AK8" s="24"/>
      <c r="AL8" s="587"/>
      <c r="AM8" s="587"/>
      <c r="AN8" s="587"/>
      <c r="AO8" s="587"/>
      <c r="AP8" s="587"/>
      <c r="AQ8" s="24"/>
      <c r="AR8" s="24"/>
      <c r="AS8" s="24"/>
      <c r="AT8" s="24"/>
      <c r="AU8" s="24"/>
      <c r="AV8" s="24"/>
      <c r="AW8" s="24"/>
      <c r="AX8" s="24"/>
      <c r="AY8" s="24"/>
      <c r="AZ8" s="24"/>
      <c r="BA8" s="587"/>
      <c r="BB8" s="587"/>
      <c r="BC8" s="587"/>
      <c r="BD8" s="587"/>
      <c r="BE8" s="587"/>
      <c r="BF8" s="587"/>
      <c r="BG8" s="587"/>
      <c r="BH8" s="587"/>
      <c r="BI8" s="587"/>
    </row>
    <row r="9" spans="1:61" ht="13.2">
      <c r="A9" s="294">
        <f t="shared" si="0"/>
        <v>4</v>
      </c>
      <c r="B9" s="1" t="s">
        <v>37</v>
      </c>
      <c r="C9" s="233" t="str">
        <f ca="1">IFERROR(__xludf.DUMMYFUNCTION("GoogleFinance(B9,""name"")"),"iShares 20+ Year Treasury Bond ETF")</f>
        <v>iShares 20+ Year Treasury Bond ETF</v>
      </c>
      <c r="D9" s="229" t="s">
        <v>629</v>
      </c>
      <c r="E9" s="858"/>
      <c r="F9" s="859">
        <v>45727</v>
      </c>
      <c r="G9" s="860"/>
      <c r="H9" s="236">
        <f ca="1">IFERROR(__xludf.DUMMYFUNCTION("GOOGLEFINANCE(B9)"),88.9)</f>
        <v>88.9</v>
      </c>
      <c r="I9" s="228">
        <v>90</v>
      </c>
      <c r="J9" s="254">
        <f ca="1">I9/H9-1</f>
        <v>1.2373453318335059E-2</v>
      </c>
      <c r="K9" s="229"/>
      <c r="L9" s="8">
        <f ca="1">IFERROR(__xludf.DUMMYFUNCTION("GoogleFinance(B9,""changepct"")/100"),-0.0009)</f>
        <v>-8.9999999999999998E-4</v>
      </c>
      <c r="M9" s="8" t="e">
        <f ca="1">H9/V10-1</f>
        <v>#DIV/0!</v>
      </c>
      <c r="N9" s="8" t="e">
        <f ca="1">H9/X10-1</f>
        <v>#DIV/0!</v>
      </c>
      <c r="O9" s="8" t="e">
        <f ca="1">H9/Z10-1</f>
        <v>#DIV/0!</v>
      </c>
      <c r="P9" s="8" t="e">
        <f ca="1">H9/AB10-1</f>
        <v>#DIV/0!</v>
      </c>
      <c r="Q9" s="8">
        <f ca="1">H9/AD10-1</f>
        <v>-0.100930420711974</v>
      </c>
      <c r="R9" s="2"/>
      <c r="S9" s="2"/>
      <c r="T9" s="2"/>
      <c r="U9" s="2" t="str">
        <f ca="1">IFERROR(__xludf.DUMMYFUNCTION("GoogleFinance(B9,""price"",today()-7)"),"#N/A")</f>
        <v>#N/A</v>
      </c>
      <c r="V9" s="22"/>
      <c r="W9" s="2" t="str">
        <f ca="1">IFERROR(__xludf.DUMMYFUNCTION("GoogleFinance(B9,""price"",today()-31)"),"#N/A")</f>
        <v>#N/A</v>
      </c>
      <c r="X9" s="22"/>
      <c r="Y9" s="2" t="str">
        <f ca="1">IFERROR(__xludf.DUMMYFUNCTION("GoogleFinance(B9,""price"",today()-91)"),"#N/A")</f>
        <v>#N/A</v>
      </c>
      <c r="Z9" s="22"/>
      <c r="AA9" s="2" t="str">
        <f ca="1">IFERROR(__xludf.DUMMYFUNCTION("GoogleFinance(B9,""price"",today()-182)"),"#N/A")</f>
        <v>#N/A</v>
      </c>
      <c r="AB9" s="22"/>
      <c r="AC9" s="2" t="str">
        <f ca="1">IFERROR(__xludf.DUMMYFUNCTION("GoogleFinance(B9,""price"",DATE(2023,12,29))"),"Date")</f>
        <v>Date</v>
      </c>
      <c r="AD9" s="22" t="str">
        <f ca="1">IFERROR(__xludf.DUMMYFUNCTION("""COMPUTED_VALUE"""),"Close")</f>
        <v>Close</v>
      </c>
      <c r="AE9" s="4"/>
      <c r="AF9" s="4"/>
      <c r="AG9" s="4"/>
      <c r="AH9" s="4"/>
      <c r="AI9" s="587"/>
      <c r="AJ9" s="587"/>
      <c r="AK9" s="4"/>
      <c r="AL9" s="587"/>
      <c r="AM9" s="587"/>
      <c r="AN9" s="587"/>
      <c r="AO9" s="587"/>
      <c r="AP9" s="587"/>
      <c r="AQ9" s="4"/>
      <c r="AR9" s="4"/>
      <c r="AS9" s="4"/>
      <c r="AT9" s="4"/>
      <c r="AU9" s="4"/>
      <c r="AV9" s="4"/>
      <c r="AW9" s="4"/>
      <c r="AX9" s="4"/>
      <c r="AY9" s="4"/>
      <c r="AZ9" s="4"/>
      <c r="BA9" s="587"/>
      <c r="BB9" s="587"/>
      <c r="BC9" s="587"/>
      <c r="BD9" s="587"/>
      <c r="BE9" s="587"/>
      <c r="BF9" s="587"/>
      <c r="BG9" s="587"/>
      <c r="BH9" s="587"/>
      <c r="BI9" s="587"/>
    </row>
    <row r="10" spans="1:61" ht="13.2" hidden="1">
      <c r="A10" s="593" t="e">
        <f>1+A6</f>
        <v>#REF!</v>
      </c>
      <c r="B10" s="579"/>
      <c r="C10" s="580"/>
      <c r="D10" s="229"/>
      <c r="E10" s="858">
        <v>45209</v>
      </c>
      <c r="F10" s="859">
        <v>45210</v>
      </c>
      <c r="G10" s="860">
        <v>45211</v>
      </c>
      <c r="H10" s="581"/>
      <c r="I10" s="581"/>
      <c r="J10" s="583"/>
      <c r="K10" s="583"/>
      <c r="L10" s="584"/>
      <c r="M10" s="584"/>
      <c r="N10" s="584"/>
      <c r="O10" s="584"/>
      <c r="P10" s="584"/>
      <c r="Q10" s="584"/>
      <c r="R10" s="242"/>
      <c r="S10" s="242"/>
      <c r="T10" s="242"/>
      <c r="U10" s="242"/>
      <c r="V10" s="22"/>
      <c r="W10" s="242"/>
      <c r="X10" s="22"/>
      <c r="Y10" s="242"/>
      <c r="Z10" s="22"/>
      <c r="AA10" s="242"/>
      <c r="AB10" s="22"/>
      <c r="AC10" s="242">
        <f ca="1">IFERROR(__xludf.DUMMYFUNCTION("""COMPUTED_VALUE"""),45289.6666666666)</f>
        <v>45289.666666666599</v>
      </c>
      <c r="AD10" s="22">
        <f ca="1">IFERROR(__xludf.DUMMYFUNCTION("""COMPUTED_VALUE"""),98.88)</f>
        <v>98.88</v>
      </c>
      <c r="AE10" s="24"/>
      <c r="AF10" s="24"/>
      <c r="AG10" s="24"/>
      <c r="AH10" s="24"/>
      <c r="AI10" s="587"/>
      <c r="AJ10" s="587"/>
      <c r="AK10" s="24"/>
      <c r="AL10" s="587"/>
      <c r="AM10" s="587"/>
      <c r="AN10" s="587"/>
      <c r="AO10" s="587"/>
      <c r="AP10" s="587"/>
      <c r="AQ10" s="24"/>
      <c r="AR10" s="24"/>
      <c r="AS10" s="24"/>
      <c r="AT10" s="24"/>
      <c r="AU10" s="24"/>
      <c r="AV10" s="24"/>
      <c r="AW10" s="24"/>
      <c r="AX10" s="24"/>
      <c r="AY10" s="24"/>
      <c r="AZ10" s="24"/>
      <c r="BA10" s="587"/>
      <c r="BB10" s="587"/>
      <c r="BC10" s="587"/>
      <c r="BD10" s="587"/>
      <c r="BE10" s="587"/>
      <c r="BF10" s="587"/>
      <c r="BG10" s="587"/>
      <c r="BH10" s="587"/>
      <c r="BI10" s="587"/>
    </row>
    <row r="11" spans="1:61" ht="15.75" customHeight="1">
      <c r="A11" s="29"/>
      <c r="B11" s="29"/>
      <c r="C11" s="820"/>
      <c r="D11" s="29"/>
      <c r="E11" s="29"/>
      <c r="F11" s="29"/>
      <c r="G11" s="29"/>
      <c r="H11" s="30"/>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row>
    <row r="12" spans="1:61" ht="15.75" customHeight="1">
      <c r="A12" s="29"/>
      <c r="B12" s="29"/>
      <c r="C12" s="820"/>
      <c r="D12" s="29"/>
      <c r="E12" s="29"/>
      <c r="F12" s="29"/>
      <c r="G12" s="29"/>
      <c r="H12" s="30"/>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row>
    <row r="13" spans="1:61" ht="15.75" customHeight="1">
      <c r="A13" s="29"/>
      <c r="B13" s="29"/>
      <c r="C13" s="820"/>
      <c r="D13" s="29"/>
      <c r="E13" s="29"/>
      <c r="F13" s="29"/>
      <c r="G13" s="29"/>
      <c r="H13" s="30"/>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row>
    <row r="14" spans="1:61" ht="15.75" customHeight="1">
      <c r="A14" s="29"/>
      <c r="B14" s="37" t="s">
        <v>0</v>
      </c>
      <c r="C14" s="38" t="s">
        <v>1</v>
      </c>
      <c r="D14" s="37" t="s">
        <v>2</v>
      </c>
      <c r="E14" s="37" t="s">
        <v>428</v>
      </c>
      <c r="F14" s="37" t="s">
        <v>52</v>
      </c>
      <c r="G14" s="37" t="s">
        <v>257</v>
      </c>
      <c r="H14" s="37" t="s">
        <v>406</v>
      </c>
      <c r="I14" s="37" t="s">
        <v>630</v>
      </c>
      <c r="J14" s="37" t="s">
        <v>47</v>
      </c>
      <c r="K14" s="37" t="s">
        <v>631</v>
      </c>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row>
    <row r="15" spans="1:61" ht="15.75" customHeight="1">
      <c r="A15" s="29"/>
      <c r="B15" s="1" t="s">
        <v>5</v>
      </c>
      <c r="C15" s="233" t="str">
        <f ca="1">IFERROR(__xludf.DUMMYFUNCTION("GoogleFinance(B15,""name"")"),"SPDR S&amp;P 500 ETF Trust")</f>
        <v>SPDR S&amp;P 500 ETF Trust</v>
      </c>
      <c r="D15" s="229" t="s">
        <v>80</v>
      </c>
      <c r="E15" s="229" t="s">
        <v>623</v>
      </c>
      <c r="F15" s="235">
        <v>45296</v>
      </c>
      <c r="G15" s="235">
        <v>45300</v>
      </c>
      <c r="H15" s="229">
        <f t="shared" ref="H15:H33" si="1">G15-F15</f>
        <v>4</v>
      </c>
      <c r="I15" s="229" t="s">
        <v>93</v>
      </c>
      <c r="J15" s="861">
        <v>1.9E-2</v>
      </c>
      <c r="K15" s="228" t="s">
        <v>632</v>
      </c>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row>
    <row r="16" spans="1:61" ht="15.75" customHeight="1">
      <c r="A16" s="29"/>
      <c r="B16" s="1" t="s">
        <v>5</v>
      </c>
      <c r="C16" s="233" t="str">
        <f ca="1">IFERROR(__xludf.DUMMYFUNCTION("GoogleFinance(B16,""name"")"),"SPDR S&amp;P 500 ETF Trust")</f>
        <v>SPDR S&amp;P 500 ETF Trust</v>
      </c>
      <c r="D16" s="229" t="s">
        <v>80</v>
      </c>
      <c r="E16" s="229" t="s">
        <v>623</v>
      </c>
      <c r="F16" s="235">
        <v>45309</v>
      </c>
      <c r="G16" s="235">
        <v>45327</v>
      </c>
      <c r="H16" s="229">
        <f t="shared" si="1"/>
        <v>18</v>
      </c>
      <c r="I16" s="229" t="s">
        <v>93</v>
      </c>
      <c r="J16" s="861">
        <v>4.4999999999999998E-2</v>
      </c>
      <c r="K16" s="228" t="s">
        <v>632</v>
      </c>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row>
    <row r="17" spans="1:61" ht="15.75" customHeight="1">
      <c r="A17" s="29"/>
      <c r="B17" s="1" t="s">
        <v>37</v>
      </c>
      <c r="C17" s="233" t="str">
        <f ca="1">IFERROR(__xludf.DUMMYFUNCTION("GoogleFinance(B17,""name"")"),"iShares 20+ Year Treasury Bond ETF")</f>
        <v>iShares 20+ Year Treasury Bond ETF</v>
      </c>
      <c r="D17" s="229" t="s">
        <v>629</v>
      </c>
      <c r="E17" s="229" t="s">
        <v>93</v>
      </c>
      <c r="F17" s="235">
        <v>45292</v>
      </c>
      <c r="G17" s="235">
        <v>45323</v>
      </c>
      <c r="H17" s="229">
        <f t="shared" si="1"/>
        <v>31</v>
      </c>
      <c r="I17" s="229" t="s">
        <v>624</v>
      </c>
      <c r="J17" s="861">
        <v>-2.8000000000000001E-2</v>
      </c>
      <c r="K17" s="228" t="s">
        <v>633</v>
      </c>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row>
    <row r="18" spans="1:61" ht="15.75" customHeight="1">
      <c r="A18" s="29"/>
      <c r="B18" s="1" t="s">
        <v>5</v>
      </c>
      <c r="C18" s="233" t="str">
        <f ca="1">IFERROR(__xludf.DUMMYFUNCTION("GoogleFinance(B18,""name"")"),"SPDR S&amp;P 500 ETF Trust")</f>
        <v>SPDR S&amp;P 500 ETF Trust</v>
      </c>
      <c r="D18" s="229" t="s">
        <v>80</v>
      </c>
      <c r="E18" s="229" t="s">
        <v>93</v>
      </c>
      <c r="F18" s="235">
        <v>45327</v>
      </c>
      <c r="G18" s="235">
        <v>45338</v>
      </c>
      <c r="H18" s="229">
        <f t="shared" si="1"/>
        <v>11</v>
      </c>
      <c r="I18" s="229" t="s">
        <v>624</v>
      </c>
      <c r="J18" s="861">
        <v>1.0999999999999999E-2</v>
      </c>
      <c r="K18" s="228" t="s">
        <v>93</v>
      </c>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row>
    <row r="19" spans="1:61" ht="15.75" customHeight="1">
      <c r="A19" s="29"/>
      <c r="B19" s="1" t="s">
        <v>6</v>
      </c>
      <c r="C19" s="233" t="str">
        <f ca="1">IFERROR(__xludf.DUMMYFUNCTION("GoogleFinance(B19,""name"")"),"Invesco QQQ Trust, Series 1")</f>
        <v>Invesco QQQ Trust, Series 1</v>
      </c>
      <c r="D19" s="229" t="s">
        <v>627</v>
      </c>
      <c r="E19" s="229" t="s">
        <v>93</v>
      </c>
      <c r="F19" s="235">
        <v>45327</v>
      </c>
      <c r="G19" s="235">
        <v>45338</v>
      </c>
      <c r="H19" s="229">
        <f t="shared" si="1"/>
        <v>11</v>
      </c>
      <c r="I19" s="229" t="s">
        <v>624</v>
      </c>
      <c r="J19" s="861">
        <v>5.0000000000000001E-3</v>
      </c>
      <c r="K19" s="228" t="s">
        <v>632</v>
      </c>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row>
    <row r="20" spans="1:61" ht="15.75" customHeight="1">
      <c r="A20" s="29"/>
      <c r="B20" s="1" t="s">
        <v>8</v>
      </c>
      <c r="C20" s="233" t="str">
        <f ca="1">IFERROR(__xludf.DUMMYFUNCTION("GoogleFinance(B20,""name"")"),"iShares Russell 2000 ETF")</f>
        <v>iShares Russell 2000 ETF</v>
      </c>
      <c r="D20" s="229" t="s">
        <v>628</v>
      </c>
      <c r="E20" s="229" t="s">
        <v>93</v>
      </c>
      <c r="F20" s="235">
        <v>45327</v>
      </c>
      <c r="G20" s="235">
        <v>45338</v>
      </c>
      <c r="H20" s="229">
        <f t="shared" si="1"/>
        <v>11</v>
      </c>
      <c r="I20" s="229" t="s">
        <v>624</v>
      </c>
      <c r="J20" s="861">
        <v>4.4999999999999998E-2</v>
      </c>
      <c r="K20" s="228" t="s">
        <v>633</v>
      </c>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row>
    <row r="21" spans="1:61" ht="15.75" customHeight="1">
      <c r="A21" s="29"/>
      <c r="B21" s="1" t="s">
        <v>37</v>
      </c>
      <c r="C21" s="233" t="str">
        <f ca="1">IFERROR(__xludf.DUMMYFUNCTION("GoogleFinance(B21,""name"")"),"iShares 20+ Year Treasury Bond ETF")</f>
        <v>iShares 20+ Year Treasury Bond ETF</v>
      </c>
      <c r="D21" s="229" t="s">
        <v>629</v>
      </c>
      <c r="E21" s="229" t="s">
        <v>624</v>
      </c>
      <c r="F21" s="235">
        <v>45324</v>
      </c>
      <c r="G21" s="235">
        <v>45345</v>
      </c>
      <c r="H21" s="229">
        <f t="shared" si="1"/>
        <v>21</v>
      </c>
      <c r="I21" s="229" t="s">
        <v>93</v>
      </c>
      <c r="J21" s="861">
        <v>0</v>
      </c>
      <c r="K21" s="228" t="s">
        <v>93</v>
      </c>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row>
    <row r="22" spans="1:61" ht="15.75" customHeight="1">
      <c r="A22" s="29"/>
      <c r="B22" s="1" t="s">
        <v>37</v>
      </c>
      <c r="C22" s="233" t="str">
        <f ca="1">IFERROR(__xludf.DUMMYFUNCTION("GoogleFinance(B22,""name"")"),"iShares 20+ Year Treasury Bond ETF")</f>
        <v>iShares 20+ Year Treasury Bond ETF</v>
      </c>
      <c r="D22" s="229" t="s">
        <v>629</v>
      </c>
      <c r="E22" s="229" t="s">
        <v>93</v>
      </c>
      <c r="F22" s="235">
        <v>45345</v>
      </c>
      <c r="G22" s="235">
        <v>45386</v>
      </c>
      <c r="H22" s="229">
        <f t="shared" si="1"/>
        <v>41</v>
      </c>
      <c r="I22" s="229" t="s">
        <v>624</v>
      </c>
      <c r="J22" s="861">
        <v>-1.6E-2</v>
      </c>
      <c r="K22" s="228" t="s">
        <v>633</v>
      </c>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row>
    <row r="23" spans="1:61" ht="15.75" customHeight="1">
      <c r="A23" s="29"/>
      <c r="B23" s="1" t="s">
        <v>37</v>
      </c>
      <c r="C23" s="233" t="str">
        <f ca="1">IFERROR(__xludf.DUMMYFUNCTION("GoogleFinance(B23,""name"")"),"iShares 20+ Year Treasury Bond ETF")</f>
        <v>iShares 20+ Year Treasury Bond ETF</v>
      </c>
      <c r="D23" s="229" t="s">
        <v>629</v>
      </c>
      <c r="E23" s="229" t="s">
        <v>624</v>
      </c>
      <c r="F23" s="235">
        <v>45386</v>
      </c>
      <c r="G23" s="235">
        <v>45392</v>
      </c>
      <c r="H23" s="229">
        <f t="shared" si="1"/>
        <v>6</v>
      </c>
      <c r="I23" s="229" t="s">
        <v>623</v>
      </c>
      <c r="J23" s="861">
        <v>-2.5999999999999999E-2</v>
      </c>
      <c r="K23" s="228" t="s">
        <v>632</v>
      </c>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row>
    <row r="24" spans="1:61" ht="15.75" customHeight="1">
      <c r="A24" s="29"/>
      <c r="B24" s="1" t="s">
        <v>5</v>
      </c>
      <c r="C24" s="233" t="str">
        <f ca="1">IFERROR(__xludf.DUMMYFUNCTION("GoogleFinance(B24,""name"")"),"SPDR S&amp;P 500 ETF Trust")</f>
        <v>SPDR S&amp;P 500 ETF Trust</v>
      </c>
      <c r="D24" s="229" t="s">
        <v>80</v>
      </c>
      <c r="E24" s="229" t="s">
        <v>624</v>
      </c>
      <c r="F24" s="235">
        <v>45338</v>
      </c>
      <c r="G24" s="235">
        <v>45401</v>
      </c>
      <c r="H24" s="229">
        <f t="shared" si="1"/>
        <v>63</v>
      </c>
      <c r="I24" s="229" t="s">
        <v>93</v>
      </c>
      <c r="J24" s="861">
        <v>-1.6E-2</v>
      </c>
      <c r="K24" s="228" t="s">
        <v>632</v>
      </c>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row>
    <row r="25" spans="1:61" ht="15.75" customHeight="1">
      <c r="A25" s="29"/>
      <c r="B25" s="1" t="s">
        <v>6</v>
      </c>
      <c r="C25" s="233" t="str">
        <f ca="1">IFERROR(__xludf.DUMMYFUNCTION("GoogleFinance(B25,""name"")"),"Invesco QQQ Trust, Series 1")</f>
        <v>Invesco QQQ Trust, Series 1</v>
      </c>
      <c r="D25" s="229" t="s">
        <v>627</v>
      </c>
      <c r="E25" s="229" t="s">
        <v>624</v>
      </c>
      <c r="F25" s="235">
        <v>45338</v>
      </c>
      <c r="G25" s="235">
        <v>45401</v>
      </c>
      <c r="H25" s="229">
        <f t="shared" si="1"/>
        <v>63</v>
      </c>
      <c r="I25" s="229" t="s">
        <v>93</v>
      </c>
      <c r="J25" s="861">
        <v>-4.4999999999999998E-2</v>
      </c>
      <c r="K25" s="228" t="s">
        <v>632</v>
      </c>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row>
    <row r="26" spans="1:61" ht="15.75" customHeight="1">
      <c r="A26" s="29"/>
      <c r="B26" s="1" t="s">
        <v>8</v>
      </c>
      <c r="C26" s="233" t="str">
        <f ca="1">IFERROR(__xludf.DUMMYFUNCTION("GoogleFinance(B26,""name"")"),"iShares Russell 2000 ETF")</f>
        <v>iShares Russell 2000 ETF</v>
      </c>
      <c r="D26" s="229" t="s">
        <v>628</v>
      </c>
      <c r="E26" s="229" t="s">
        <v>624</v>
      </c>
      <c r="F26" s="235">
        <v>45338</v>
      </c>
      <c r="G26" s="235">
        <v>45401</v>
      </c>
      <c r="H26" s="229">
        <f t="shared" si="1"/>
        <v>63</v>
      </c>
      <c r="I26" s="229" t="s">
        <v>93</v>
      </c>
      <c r="J26" s="861">
        <v>-5.8999999999999997E-2</v>
      </c>
      <c r="K26" s="228" t="s">
        <v>632</v>
      </c>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row>
    <row r="27" spans="1:61" ht="15.75" customHeight="1">
      <c r="A27" s="29"/>
      <c r="B27" s="1" t="s">
        <v>8</v>
      </c>
      <c r="C27" s="233" t="str">
        <f ca="1">IFERROR(__xludf.DUMMYFUNCTION("GoogleFinance(B27,""name"")"),"iShares Russell 2000 ETF")</f>
        <v>iShares Russell 2000 ETF</v>
      </c>
      <c r="D27" s="229" t="s">
        <v>628</v>
      </c>
      <c r="E27" s="229" t="s">
        <v>93</v>
      </c>
      <c r="F27" s="235">
        <v>45401</v>
      </c>
      <c r="G27" s="235">
        <v>45446</v>
      </c>
      <c r="H27" s="229">
        <f t="shared" si="1"/>
        <v>45</v>
      </c>
      <c r="I27" s="229" t="s">
        <v>624</v>
      </c>
      <c r="J27" s="861">
        <v>0.06</v>
      </c>
      <c r="K27" s="228" t="s">
        <v>633</v>
      </c>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row>
    <row r="28" spans="1:61" ht="15.75" customHeight="1">
      <c r="A28" s="29"/>
      <c r="B28" s="1" t="s">
        <v>5</v>
      </c>
      <c r="C28" s="233" t="str">
        <f ca="1">IFERROR(__xludf.DUMMYFUNCTION("GoogleFinance(B28,""name"")"),"SPDR S&amp;P 500 ETF Trust")</f>
        <v>SPDR S&amp;P 500 ETF Trust</v>
      </c>
      <c r="D28" s="229" t="s">
        <v>80</v>
      </c>
      <c r="E28" s="229" t="s">
        <v>93</v>
      </c>
      <c r="F28" s="235">
        <v>45401</v>
      </c>
      <c r="G28" s="235">
        <v>45446</v>
      </c>
      <c r="H28" s="229">
        <f t="shared" si="1"/>
        <v>45</v>
      </c>
      <c r="I28" s="229" t="s">
        <v>624</v>
      </c>
      <c r="J28" s="229" t="s">
        <v>634</v>
      </c>
      <c r="K28" s="228" t="s">
        <v>633</v>
      </c>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row>
    <row r="29" spans="1:61" ht="15.75" customHeight="1">
      <c r="A29" s="29"/>
      <c r="B29" s="1" t="s">
        <v>6</v>
      </c>
      <c r="C29" s="233" t="str">
        <f ca="1">IFERROR(__xludf.DUMMYFUNCTION("GoogleFinance(B29,""name"")"),"Invesco QQQ Trust, Series 1")</f>
        <v>Invesco QQQ Trust, Series 1</v>
      </c>
      <c r="D29" s="229" t="s">
        <v>627</v>
      </c>
      <c r="E29" s="229" t="s">
        <v>93</v>
      </c>
      <c r="F29" s="235">
        <v>45401</v>
      </c>
      <c r="G29" s="235">
        <v>45457</v>
      </c>
      <c r="H29" s="229">
        <f t="shared" si="1"/>
        <v>56</v>
      </c>
      <c r="I29" s="229" t="s">
        <v>93</v>
      </c>
      <c r="J29" s="861">
        <v>0.12</v>
      </c>
      <c r="K29" s="228" t="s">
        <v>633</v>
      </c>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row>
    <row r="30" spans="1:61" ht="15.75" customHeight="1">
      <c r="A30" s="29"/>
      <c r="B30" s="1" t="s">
        <v>8</v>
      </c>
      <c r="C30" s="233" t="str">
        <f ca="1">IFERROR(__xludf.DUMMYFUNCTION("GoogleFinance(B30,""name"")"),"iShares Russell 2000 ETF")</f>
        <v>iShares Russell 2000 ETF</v>
      </c>
      <c r="D30" s="229" t="s">
        <v>628</v>
      </c>
      <c r="E30" s="229" t="s">
        <v>635</v>
      </c>
      <c r="F30" s="235">
        <v>45446</v>
      </c>
      <c r="G30" s="235">
        <v>45485</v>
      </c>
      <c r="H30" s="229">
        <f t="shared" si="1"/>
        <v>39</v>
      </c>
      <c r="I30" s="229" t="s">
        <v>624</v>
      </c>
      <c r="J30" s="861">
        <v>4.4999999999999998E-2</v>
      </c>
      <c r="K30" s="228" t="s">
        <v>633</v>
      </c>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row>
    <row r="31" spans="1:61" ht="15.75" customHeight="1">
      <c r="A31" s="29"/>
      <c r="B31" s="1" t="s">
        <v>8</v>
      </c>
      <c r="C31" s="233" t="str">
        <f ca="1">IFERROR(__xludf.DUMMYFUNCTION("GoogleFinance(B31,""name"")"),"iShares Russell 2000 ETF")</f>
        <v>iShares Russell 2000 ETF</v>
      </c>
      <c r="D31" s="229" t="s">
        <v>628</v>
      </c>
      <c r="E31" s="229" t="s">
        <v>93</v>
      </c>
      <c r="F31" s="235">
        <v>45485</v>
      </c>
      <c r="G31" s="235">
        <v>45490</v>
      </c>
      <c r="H31" s="229">
        <f t="shared" si="1"/>
        <v>5</v>
      </c>
      <c r="I31" s="229" t="s">
        <v>624</v>
      </c>
      <c r="J31" s="861">
        <v>2.1999999999999999E-2</v>
      </c>
      <c r="K31" s="228" t="s">
        <v>93</v>
      </c>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row>
    <row r="32" spans="1:61" ht="15.75" customHeight="1">
      <c r="A32" s="29"/>
      <c r="B32" s="1" t="s">
        <v>6</v>
      </c>
      <c r="C32" s="233" t="str">
        <f ca="1">IFERROR(__xludf.DUMMYFUNCTION("GoogleFinance(B32,""name"")"),"Invesco QQQ Trust, Series 1")</f>
        <v>Invesco QQQ Trust, Series 1</v>
      </c>
      <c r="D32" s="229" t="s">
        <v>627</v>
      </c>
      <c r="E32" s="229" t="s">
        <v>93</v>
      </c>
      <c r="F32" s="235">
        <v>45457</v>
      </c>
      <c r="G32" s="235">
        <v>45503</v>
      </c>
      <c r="H32" s="229">
        <f t="shared" si="1"/>
        <v>46</v>
      </c>
      <c r="I32" s="229" t="s">
        <v>93</v>
      </c>
      <c r="J32" s="861">
        <v>-4.4999999999999998E-2</v>
      </c>
      <c r="K32" s="228" t="s">
        <v>632</v>
      </c>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row>
    <row r="33" spans="1:61" ht="15.75" customHeight="1">
      <c r="A33" s="29"/>
      <c r="B33" s="1" t="s">
        <v>5</v>
      </c>
      <c r="C33" s="233" t="str">
        <f ca="1">IFERROR(__xludf.DUMMYFUNCTION("GoogleFinance(B33,""name"")"),"SPDR S&amp;P 500 ETF Trust")</f>
        <v>SPDR S&amp;P 500 ETF Trust</v>
      </c>
      <c r="D33" s="229" t="s">
        <v>80</v>
      </c>
      <c r="E33" s="229" t="s">
        <v>624</v>
      </c>
      <c r="F33" s="235">
        <v>45446</v>
      </c>
      <c r="G33" s="235">
        <v>45503</v>
      </c>
      <c r="H33" s="229">
        <f t="shared" si="1"/>
        <v>57</v>
      </c>
      <c r="I33" s="229" t="s">
        <v>93</v>
      </c>
      <c r="J33" s="861">
        <f>1.5%</f>
        <v>1.4999999999999999E-2</v>
      </c>
      <c r="K33" s="228" t="s">
        <v>633</v>
      </c>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row>
    <row r="34" spans="1:61" ht="15.75" customHeight="1">
      <c r="A34" s="29"/>
      <c r="B34" s="29"/>
      <c r="C34" s="820"/>
      <c r="D34" s="29"/>
      <c r="E34" s="29"/>
      <c r="F34" s="29"/>
      <c r="G34" s="29"/>
      <c r="H34" s="30"/>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row>
    <row r="35" spans="1:61" ht="15.75" customHeight="1">
      <c r="A35" s="29"/>
      <c r="B35" s="29"/>
      <c r="C35" s="820"/>
      <c r="D35" s="29"/>
      <c r="E35" s="29"/>
      <c r="F35" s="29"/>
      <c r="G35" s="29"/>
      <c r="H35" s="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row>
    <row r="36" spans="1:61" ht="15.75" customHeight="1">
      <c r="A36" s="29"/>
      <c r="B36" s="29"/>
      <c r="C36" s="820"/>
      <c r="D36" s="29"/>
      <c r="E36" s="29"/>
      <c r="F36" s="29"/>
      <c r="G36" s="29"/>
      <c r="H36" s="30"/>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row>
    <row r="37" spans="1:61" ht="15.75" customHeight="1">
      <c r="A37" s="29"/>
      <c r="B37" s="29"/>
      <c r="C37" s="820"/>
      <c r="D37" s="29"/>
      <c r="E37" s="29"/>
      <c r="F37" s="29"/>
      <c r="G37" s="29"/>
      <c r="H37" s="30"/>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row>
    <row r="38" spans="1:61" ht="15.75" customHeight="1">
      <c r="A38" s="29"/>
      <c r="B38" s="29"/>
      <c r="C38" s="820"/>
      <c r="D38" s="29"/>
      <c r="E38" s="29"/>
      <c r="F38" s="29"/>
      <c r="G38" s="29"/>
      <c r="H38" s="30"/>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row>
    <row r="39" spans="1:61" ht="15.75" customHeight="1">
      <c r="A39" s="29"/>
      <c r="B39" s="29"/>
      <c r="C39" s="820"/>
      <c r="D39" s="29"/>
      <c r="E39" s="29"/>
      <c r="F39" s="29"/>
      <c r="G39" s="29"/>
      <c r="H39" s="30"/>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row>
    <row r="40" spans="1:61" ht="15.75" customHeight="1">
      <c r="A40" s="29"/>
      <c r="B40" s="29"/>
      <c r="C40" s="820"/>
      <c r="D40" s="29"/>
      <c r="E40" s="29"/>
      <c r="F40" s="29"/>
      <c r="G40" s="29"/>
      <c r="H40" s="30"/>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row>
    <row r="41" spans="1:61" ht="15.75" customHeight="1">
      <c r="A41" s="29"/>
      <c r="B41" s="29"/>
      <c r="C41" s="820"/>
      <c r="D41" s="29"/>
      <c r="E41" s="29"/>
      <c r="F41" s="29"/>
      <c r="G41" s="29"/>
      <c r="H41" s="30"/>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row>
    <row r="42" spans="1:61" ht="15.75" customHeight="1">
      <c r="A42" s="29"/>
      <c r="B42" s="29"/>
      <c r="C42" s="820"/>
      <c r="D42" s="29"/>
      <c r="E42" s="29"/>
      <c r="F42" s="29"/>
      <c r="G42" s="29"/>
      <c r="H42" s="30"/>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row>
    <row r="43" spans="1:61" ht="15.75" customHeight="1">
      <c r="A43" s="29"/>
      <c r="B43" s="29"/>
      <c r="C43" s="820"/>
      <c r="D43" s="29"/>
      <c r="E43" s="29"/>
      <c r="F43" s="29"/>
      <c r="G43" s="29"/>
      <c r="H43" s="30"/>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row>
    <row r="44" spans="1:61" ht="15.75" customHeight="1">
      <c r="A44" s="29"/>
      <c r="B44" s="29"/>
      <c r="C44" s="820"/>
      <c r="D44" s="29"/>
      <c r="E44" s="29"/>
      <c r="F44" s="29"/>
      <c r="G44" s="29"/>
      <c r="H44" s="30"/>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row>
    <row r="45" spans="1:61" ht="15.75" customHeight="1">
      <c r="A45" s="29"/>
      <c r="B45" s="29"/>
      <c r="C45" s="820"/>
      <c r="D45" s="29"/>
      <c r="E45" s="29"/>
      <c r="F45" s="29"/>
      <c r="G45" s="29"/>
      <c r="H45" s="30"/>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row>
    <row r="46" spans="1:61" ht="15.75" customHeight="1">
      <c r="A46" s="29"/>
      <c r="B46" s="29"/>
      <c r="C46" s="820"/>
      <c r="D46" s="29"/>
      <c r="E46" s="29"/>
      <c r="F46" s="29"/>
      <c r="G46" s="29"/>
      <c r="H46" s="30"/>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row>
    <row r="47" spans="1:61" ht="15.75" customHeight="1">
      <c r="A47" s="29"/>
      <c r="B47" s="29"/>
      <c r="C47" s="820"/>
      <c r="D47" s="29"/>
      <c r="E47" s="29"/>
      <c r="F47" s="29"/>
      <c r="G47" s="29"/>
      <c r="H47" s="30"/>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row>
    <row r="48" spans="1:61" ht="15.75" customHeight="1">
      <c r="A48" s="29"/>
      <c r="B48" s="29"/>
      <c r="C48" s="820"/>
      <c r="D48" s="29"/>
      <c r="E48" s="29"/>
      <c r="F48" s="29"/>
      <c r="G48" s="29"/>
      <c r="H48" s="30"/>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row>
    <row r="49" spans="1:61" ht="15.75" customHeight="1">
      <c r="A49" s="29"/>
      <c r="B49" s="29"/>
      <c r="C49" s="820"/>
      <c r="D49" s="29"/>
      <c r="E49" s="29"/>
      <c r="F49" s="29"/>
      <c r="G49" s="29"/>
      <c r="H49" s="30"/>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row>
    <row r="50" spans="1:61" ht="15.75" customHeight="1">
      <c r="A50" s="29"/>
      <c r="B50" s="29"/>
      <c r="C50" s="820"/>
      <c r="D50" s="29"/>
      <c r="E50" s="29"/>
      <c r="F50" s="29"/>
      <c r="G50" s="29"/>
      <c r="H50" s="30"/>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row>
    <row r="51" spans="1:61" ht="15.75" customHeight="1">
      <c r="A51" s="29"/>
      <c r="B51" s="29"/>
      <c r="C51" s="820"/>
      <c r="D51" s="29"/>
      <c r="E51" s="29"/>
      <c r="F51" s="29"/>
      <c r="G51" s="29"/>
      <c r="H51" s="30"/>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row>
    <row r="52" spans="1:61" ht="15.75" customHeight="1">
      <c r="A52" s="29"/>
      <c r="B52" s="29"/>
      <c r="C52" s="820"/>
      <c r="D52" s="29"/>
      <c r="E52" s="29"/>
      <c r="F52" s="29"/>
      <c r="G52" s="29"/>
      <c r="H52" s="30"/>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row>
    <row r="53" spans="1:61" ht="15.75" customHeight="1">
      <c r="A53" s="29"/>
      <c r="B53" s="29"/>
      <c r="C53" s="820"/>
      <c r="D53" s="29"/>
      <c r="E53" s="29"/>
      <c r="F53" s="29"/>
      <c r="G53" s="29"/>
      <c r="H53" s="30"/>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row>
    <row r="54" spans="1:61" ht="15.75" customHeight="1">
      <c r="A54" s="29"/>
      <c r="B54" s="29"/>
      <c r="C54" s="820"/>
      <c r="D54" s="29"/>
      <c r="E54" s="29"/>
      <c r="F54" s="29"/>
      <c r="G54" s="29"/>
      <c r="H54" s="30"/>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row>
    <row r="55" spans="1:61" ht="15.75" customHeight="1">
      <c r="A55" s="29"/>
      <c r="B55" s="29"/>
      <c r="C55" s="820"/>
      <c r="D55" s="29"/>
      <c r="E55" s="29"/>
      <c r="F55" s="29"/>
      <c r="G55" s="29"/>
      <c r="H55" s="30"/>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row>
    <row r="56" spans="1:61" ht="15.75" customHeight="1">
      <c r="A56" s="29"/>
      <c r="B56" s="29"/>
      <c r="C56" s="820"/>
      <c r="D56" s="29"/>
      <c r="E56" s="29"/>
      <c r="F56" s="29"/>
      <c r="G56" s="29"/>
      <c r="H56" s="30"/>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row>
    <row r="57" spans="1:61" ht="15.75" customHeight="1">
      <c r="A57" s="29"/>
      <c r="B57" s="29"/>
      <c r="C57" s="820"/>
      <c r="D57" s="29"/>
      <c r="E57" s="29"/>
      <c r="F57" s="29"/>
      <c r="G57" s="29"/>
      <c r="H57" s="30"/>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row>
    <row r="58" spans="1:61" ht="15.75" customHeight="1">
      <c r="A58" s="29"/>
      <c r="B58" s="29"/>
      <c r="C58" s="820"/>
      <c r="D58" s="29"/>
      <c r="E58" s="29"/>
      <c r="F58" s="29"/>
      <c r="G58" s="29"/>
      <c r="H58" s="30"/>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row>
    <row r="59" spans="1:61" ht="15.75" customHeight="1">
      <c r="A59" s="29"/>
      <c r="B59" s="29"/>
      <c r="C59" s="820"/>
      <c r="D59" s="29"/>
      <c r="E59" s="29"/>
      <c r="F59" s="29"/>
      <c r="G59" s="29"/>
      <c r="H59" s="30"/>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row>
    <row r="60" spans="1:61" ht="15.75" customHeight="1">
      <c r="A60" s="29"/>
      <c r="B60" s="29"/>
      <c r="C60" s="820"/>
      <c r="D60" s="29"/>
      <c r="E60" s="29"/>
      <c r="F60" s="29"/>
      <c r="G60" s="29"/>
      <c r="H60" s="30"/>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row>
    <row r="61" spans="1:61" ht="15.75" customHeight="1">
      <c r="A61" s="29"/>
      <c r="B61" s="29"/>
      <c r="C61" s="820"/>
      <c r="D61" s="29"/>
      <c r="E61" s="29"/>
      <c r="F61" s="29"/>
      <c r="G61" s="29"/>
      <c r="H61" s="30"/>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row>
    <row r="62" spans="1:61" ht="15.75" customHeight="1">
      <c r="A62" s="29"/>
      <c r="B62" s="29"/>
      <c r="C62" s="820"/>
      <c r="D62" s="29"/>
      <c r="E62" s="29"/>
      <c r="F62" s="29"/>
      <c r="G62" s="29"/>
      <c r="H62" s="30"/>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row>
    <row r="63" spans="1:61" ht="15.75" customHeight="1">
      <c r="A63" s="29"/>
      <c r="B63" s="29"/>
      <c r="C63" s="820"/>
      <c r="D63" s="29"/>
      <c r="E63" s="29"/>
      <c r="F63" s="29"/>
      <c r="G63" s="29"/>
      <c r="H63" s="30"/>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row>
    <row r="64" spans="1:61" ht="15.75" customHeight="1">
      <c r="A64" s="29"/>
      <c r="B64" s="29"/>
      <c r="C64" s="820"/>
      <c r="D64" s="29"/>
      <c r="E64" s="29"/>
      <c r="F64" s="29"/>
      <c r="G64" s="29"/>
      <c r="H64" s="30"/>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row>
    <row r="65" spans="1:61" ht="15.75" customHeight="1">
      <c r="A65" s="29"/>
      <c r="B65" s="29"/>
      <c r="C65" s="820"/>
      <c r="D65" s="29"/>
      <c r="E65" s="29"/>
      <c r="F65" s="29"/>
      <c r="G65" s="29"/>
      <c r="H65" s="30"/>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row>
    <row r="66" spans="1:61" ht="15.75" customHeight="1">
      <c r="A66" s="29"/>
      <c r="B66" s="29"/>
      <c r="C66" s="820"/>
      <c r="D66" s="29"/>
      <c r="E66" s="29"/>
      <c r="F66" s="29"/>
      <c r="G66" s="29"/>
      <c r="H66" s="30"/>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row>
    <row r="67" spans="1:61" ht="15.75" customHeight="1">
      <c r="A67" s="29"/>
      <c r="B67" s="29"/>
      <c r="C67" s="820"/>
      <c r="D67" s="29"/>
      <c r="E67" s="29"/>
      <c r="F67" s="29"/>
      <c r="G67" s="29"/>
      <c r="H67" s="30"/>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row>
    <row r="68" spans="1:61" ht="15.75" customHeight="1">
      <c r="A68" s="29"/>
      <c r="B68" s="29"/>
      <c r="C68" s="820"/>
      <c r="D68" s="29"/>
      <c r="E68" s="29"/>
      <c r="F68" s="29"/>
      <c r="G68" s="29"/>
      <c r="H68" s="30"/>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row>
    <row r="69" spans="1:61" ht="15.75" customHeight="1">
      <c r="A69" s="29"/>
      <c r="B69" s="29"/>
      <c r="C69" s="820"/>
      <c r="D69" s="29"/>
      <c r="E69" s="29"/>
      <c r="F69" s="29"/>
      <c r="G69" s="29"/>
      <c r="H69" s="30"/>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row>
    <row r="70" spans="1:61" ht="15.75" customHeight="1">
      <c r="A70" s="29"/>
      <c r="B70" s="29"/>
      <c r="C70" s="820"/>
      <c r="D70" s="29"/>
      <c r="E70" s="29"/>
      <c r="F70" s="29"/>
      <c r="G70" s="29"/>
      <c r="H70" s="30"/>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row>
    <row r="71" spans="1:61" ht="15.75" customHeight="1">
      <c r="A71" s="29"/>
      <c r="B71" s="29"/>
      <c r="C71" s="820"/>
      <c r="D71" s="29"/>
      <c r="E71" s="29"/>
      <c r="F71" s="29"/>
      <c r="G71" s="29"/>
      <c r="H71" s="30"/>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row>
    <row r="72" spans="1:61" ht="15.75" customHeight="1">
      <c r="A72" s="29"/>
      <c r="B72" s="29"/>
      <c r="C72" s="820"/>
      <c r="D72" s="29"/>
      <c r="E72" s="29"/>
      <c r="F72" s="29"/>
      <c r="G72" s="29"/>
      <c r="H72" s="30"/>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row>
    <row r="73" spans="1:61" ht="15.75" customHeight="1">
      <c r="A73" s="29"/>
      <c r="B73" s="29"/>
      <c r="C73" s="820"/>
      <c r="D73" s="29"/>
      <c r="E73" s="29"/>
      <c r="F73" s="29"/>
      <c r="G73" s="29"/>
      <c r="H73" s="30"/>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row>
    <row r="74" spans="1:61" ht="15.75" customHeight="1">
      <c r="A74" s="29"/>
      <c r="B74" s="29"/>
      <c r="C74" s="820"/>
      <c r="D74" s="29"/>
      <c r="E74" s="29"/>
      <c r="F74" s="29"/>
      <c r="G74" s="29"/>
      <c r="H74" s="30"/>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row>
    <row r="75" spans="1:61" ht="15.75" customHeight="1">
      <c r="A75" s="29"/>
      <c r="B75" s="29"/>
      <c r="C75" s="820"/>
      <c r="D75" s="29"/>
      <c r="E75" s="29"/>
      <c r="F75" s="29"/>
      <c r="G75" s="29"/>
      <c r="H75" s="30"/>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row>
    <row r="76" spans="1:61" ht="15.75" customHeight="1">
      <c r="A76" s="29"/>
      <c r="B76" s="29"/>
      <c r="C76" s="820"/>
      <c r="D76" s="29"/>
      <c r="E76" s="29"/>
      <c r="F76" s="29"/>
      <c r="G76" s="29"/>
      <c r="H76" s="30"/>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row>
    <row r="77" spans="1:61" ht="15.75" customHeight="1">
      <c r="A77" s="29"/>
      <c r="B77" s="29"/>
      <c r="C77" s="820"/>
      <c r="D77" s="29"/>
      <c r="E77" s="29"/>
      <c r="F77" s="29"/>
      <c r="G77" s="29"/>
      <c r="H77" s="30"/>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row>
    <row r="78" spans="1:61" ht="15.75" customHeight="1">
      <c r="A78" s="29"/>
      <c r="B78" s="29"/>
      <c r="C78" s="820"/>
      <c r="D78" s="29"/>
      <c r="E78" s="29"/>
      <c r="F78" s="29"/>
      <c r="G78" s="29"/>
      <c r="H78" s="30"/>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row>
    <row r="79" spans="1:61" ht="15.75" customHeight="1">
      <c r="A79" s="29"/>
      <c r="B79" s="29"/>
      <c r="C79" s="820"/>
      <c r="D79" s="29"/>
      <c r="E79" s="29"/>
      <c r="F79" s="29"/>
      <c r="G79" s="29"/>
      <c r="H79" s="30"/>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row>
    <row r="80" spans="1:61" ht="15.75" customHeight="1">
      <c r="A80" s="29"/>
      <c r="B80" s="29"/>
      <c r="C80" s="820"/>
      <c r="D80" s="29"/>
      <c r="E80" s="29"/>
      <c r="F80" s="29"/>
      <c r="G80" s="29"/>
      <c r="H80" s="30"/>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row>
    <row r="81" spans="1:61" ht="15.75" customHeight="1">
      <c r="A81" s="29"/>
      <c r="B81" s="29"/>
      <c r="C81" s="820"/>
      <c r="D81" s="29"/>
      <c r="E81" s="29"/>
      <c r="F81" s="29"/>
      <c r="G81" s="29"/>
      <c r="H81" s="30"/>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row>
    <row r="82" spans="1:61" ht="15.75" customHeight="1">
      <c r="A82" s="29"/>
      <c r="B82" s="29"/>
      <c r="C82" s="820"/>
      <c r="D82" s="29"/>
      <c r="E82" s="29"/>
      <c r="F82" s="29"/>
      <c r="G82" s="29"/>
      <c r="H82" s="30"/>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row>
    <row r="83" spans="1:61" ht="15.75" customHeight="1">
      <c r="A83" s="29"/>
      <c r="B83" s="29"/>
      <c r="C83" s="820"/>
      <c r="D83" s="29"/>
      <c r="E83" s="29"/>
      <c r="F83" s="29"/>
      <c r="G83" s="29"/>
      <c r="H83" s="30"/>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row>
    <row r="84" spans="1:61" ht="15.75" customHeight="1">
      <c r="A84" s="29"/>
      <c r="B84" s="29"/>
      <c r="C84" s="820"/>
      <c r="D84" s="29"/>
      <c r="E84" s="29"/>
      <c r="F84" s="29"/>
      <c r="G84" s="29"/>
      <c r="H84" s="30"/>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row>
    <row r="85" spans="1:61" ht="15.75" customHeight="1">
      <c r="A85" s="29"/>
      <c r="B85" s="29"/>
      <c r="C85" s="820"/>
      <c r="D85" s="29"/>
      <c r="E85" s="29"/>
      <c r="F85" s="29"/>
      <c r="G85" s="29"/>
      <c r="H85" s="30"/>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row>
    <row r="86" spans="1:61" ht="15.75" customHeight="1">
      <c r="A86" s="29"/>
      <c r="B86" s="29"/>
      <c r="C86" s="820"/>
      <c r="D86" s="29"/>
      <c r="E86" s="29"/>
      <c r="F86" s="29"/>
      <c r="G86" s="29"/>
      <c r="H86" s="30"/>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row>
    <row r="87" spans="1:61" ht="15.75" customHeight="1">
      <c r="A87" s="29"/>
      <c r="B87" s="29"/>
      <c r="C87" s="820"/>
      <c r="D87" s="29"/>
      <c r="E87" s="29"/>
      <c r="F87" s="29"/>
      <c r="G87" s="29"/>
      <c r="H87" s="30"/>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row>
    <row r="88" spans="1:61" ht="15.75" customHeight="1">
      <c r="A88" s="29"/>
      <c r="B88" s="29"/>
      <c r="C88" s="820"/>
      <c r="D88" s="29"/>
      <c r="E88" s="29"/>
      <c r="F88" s="29"/>
      <c r="G88" s="29"/>
      <c r="H88" s="30"/>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row>
    <row r="89" spans="1:61" ht="15.75" customHeight="1">
      <c r="A89" s="29"/>
      <c r="B89" s="29"/>
      <c r="C89" s="820"/>
      <c r="D89" s="29"/>
      <c r="E89" s="29"/>
      <c r="F89" s="29"/>
      <c r="G89" s="29"/>
      <c r="H89" s="30"/>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row>
    <row r="90" spans="1:61" ht="15.75" customHeight="1">
      <c r="A90" s="29"/>
      <c r="B90" s="29"/>
      <c r="C90" s="820"/>
      <c r="D90" s="29"/>
      <c r="E90" s="29"/>
      <c r="F90" s="29"/>
      <c r="G90" s="29"/>
      <c r="H90" s="30"/>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row>
    <row r="91" spans="1:61" ht="15.75" customHeight="1">
      <c r="A91" s="29"/>
      <c r="B91" s="29"/>
      <c r="C91" s="820"/>
      <c r="D91" s="29"/>
      <c r="E91" s="29"/>
      <c r="F91" s="29"/>
      <c r="G91" s="29"/>
      <c r="H91" s="30"/>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row>
    <row r="92" spans="1:61" ht="15.75" customHeight="1">
      <c r="A92" s="29"/>
      <c r="B92" s="29"/>
      <c r="C92" s="820"/>
      <c r="D92" s="29"/>
      <c r="E92" s="29"/>
      <c r="F92" s="29"/>
      <c r="G92" s="29"/>
      <c r="H92" s="30"/>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row>
    <row r="93" spans="1:61" ht="15.75" customHeight="1">
      <c r="A93" s="29"/>
      <c r="B93" s="29"/>
      <c r="C93" s="820"/>
      <c r="D93" s="29"/>
      <c r="E93" s="29"/>
      <c r="F93" s="29"/>
      <c r="G93" s="29"/>
      <c r="H93" s="30"/>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row>
    <row r="94" spans="1:61" ht="15.75" customHeight="1">
      <c r="A94" s="29"/>
      <c r="B94" s="29"/>
      <c r="C94" s="820"/>
      <c r="D94" s="29"/>
      <c r="E94" s="29"/>
      <c r="F94" s="29"/>
      <c r="G94" s="29"/>
      <c r="H94" s="30"/>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row>
    <row r="95" spans="1:61" ht="15.75" customHeight="1">
      <c r="A95" s="29"/>
      <c r="B95" s="29"/>
      <c r="C95" s="820"/>
      <c r="D95" s="29"/>
      <c r="E95" s="29"/>
      <c r="F95" s="29"/>
      <c r="G95" s="29"/>
      <c r="H95" s="30"/>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row>
    <row r="96" spans="1:61" ht="15.75" customHeight="1">
      <c r="A96" s="29"/>
      <c r="B96" s="29"/>
      <c r="C96" s="820"/>
      <c r="D96" s="29"/>
      <c r="E96" s="29"/>
      <c r="F96" s="29"/>
      <c r="G96" s="29"/>
      <c r="H96" s="30"/>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row>
    <row r="97" spans="1:61" ht="15.75" customHeight="1">
      <c r="A97" s="29"/>
      <c r="B97" s="29"/>
      <c r="C97" s="820"/>
      <c r="D97" s="29"/>
      <c r="E97" s="29"/>
      <c r="F97" s="29"/>
      <c r="G97" s="29"/>
      <c r="H97" s="30"/>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row>
    <row r="98" spans="1:61" ht="15.75" customHeight="1">
      <c r="A98" s="29"/>
      <c r="B98" s="29"/>
      <c r="C98" s="820"/>
      <c r="D98" s="29"/>
      <c r="E98" s="29"/>
      <c r="F98" s="29"/>
      <c r="G98" s="29"/>
      <c r="H98" s="30"/>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row>
    <row r="99" spans="1:61" ht="15.75" customHeight="1">
      <c r="A99" s="29"/>
      <c r="B99" s="29"/>
      <c r="C99" s="820"/>
      <c r="D99" s="29"/>
      <c r="E99" s="29"/>
      <c r="F99" s="29"/>
      <c r="G99" s="29"/>
      <c r="H99" s="30"/>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row>
    <row r="100" spans="1:61" ht="15.75" customHeight="1">
      <c r="A100" s="29"/>
      <c r="B100" s="29"/>
      <c r="C100" s="820"/>
      <c r="D100" s="29"/>
      <c r="E100" s="29"/>
      <c r="F100" s="29"/>
      <c r="G100" s="29"/>
      <c r="H100" s="30"/>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row>
    <row r="101" spans="1:61" ht="15.75" customHeight="1">
      <c r="C101" s="549"/>
    </row>
    <row r="102" spans="1:61" ht="15.75" customHeight="1">
      <c r="C102" s="549"/>
    </row>
    <row r="103" spans="1:61" ht="15.75" customHeight="1">
      <c r="C103" s="549"/>
    </row>
    <row r="104" spans="1:61" ht="15.75" customHeight="1">
      <c r="C104" s="549"/>
    </row>
    <row r="105" spans="1:61" ht="15.75" customHeight="1">
      <c r="C105" s="549"/>
    </row>
    <row r="106" spans="1:61" ht="15.75" customHeight="1">
      <c r="C106" s="549"/>
    </row>
    <row r="107" spans="1:61" ht="15.75" customHeight="1">
      <c r="C107" s="549"/>
    </row>
    <row r="108" spans="1:61" ht="15.75" customHeight="1">
      <c r="C108" s="549"/>
    </row>
    <row r="109" spans="1:61" ht="15.75" customHeight="1">
      <c r="C109" s="549"/>
    </row>
    <row r="110" spans="1:61" ht="15.75" customHeight="1">
      <c r="C110" s="549"/>
    </row>
    <row r="111" spans="1:61" ht="15.75" customHeight="1">
      <c r="C111" s="549"/>
    </row>
    <row r="112" spans="1:61" ht="15.75" customHeight="1">
      <c r="C112" s="549"/>
    </row>
    <row r="113" spans="3:3" ht="15.75" customHeight="1">
      <c r="C113" s="549"/>
    </row>
    <row r="114" spans="3:3" ht="15.75" customHeight="1">
      <c r="C114" s="549"/>
    </row>
    <row r="115" spans="3:3" ht="15.75" customHeight="1">
      <c r="C115" s="549"/>
    </row>
    <row r="116" spans="3:3" ht="15.75" customHeight="1">
      <c r="C116" s="549"/>
    </row>
    <row r="117" spans="3:3" ht="15.75" customHeight="1">
      <c r="C117" s="549"/>
    </row>
    <row r="118" spans="3:3" ht="15.75" customHeight="1">
      <c r="C118" s="549"/>
    </row>
    <row r="119" spans="3:3" ht="15.75" customHeight="1">
      <c r="C119" s="549"/>
    </row>
    <row r="120" spans="3:3" ht="15.75" customHeight="1">
      <c r="C120" s="549"/>
    </row>
    <row r="121" spans="3:3" ht="15.75" customHeight="1">
      <c r="C121" s="549"/>
    </row>
    <row r="122" spans="3:3" ht="15.75" customHeight="1">
      <c r="C122" s="549"/>
    </row>
    <row r="123" spans="3:3" ht="15.75" customHeight="1">
      <c r="C123" s="549"/>
    </row>
    <row r="124" spans="3:3" ht="15.75" customHeight="1">
      <c r="C124" s="549"/>
    </row>
    <row r="125" spans="3:3" ht="15.75" customHeight="1">
      <c r="C125" s="549"/>
    </row>
    <row r="126" spans="3:3" ht="15.75" customHeight="1">
      <c r="C126" s="549"/>
    </row>
    <row r="127" spans="3:3" ht="15.75" customHeight="1">
      <c r="C127" s="549"/>
    </row>
    <row r="128" spans="3:3" ht="15.75" customHeight="1">
      <c r="C128" s="549"/>
    </row>
    <row r="129" spans="3:3" ht="15.75" customHeight="1">
      <c r="C129" s="549"/>
    </row>
    <row r="130" spans="3:3" ht="15.75" customHeight="1">
      <c r="C130" s="549"/>
    </row>
    <row r="131" spans="3:3" ht="15.75" customHeight="1">
      <c r="C131" s="549"/>
    </row>
    <row r="132" spans="3:3" ht="15.75" customHeight="1">
      <c r="C132" s="549"/>
    </row>
    <row r="133" spans="3:3" ht="15.75" customHeight="1">
      <c r="C133" s="549"/>
    </row>
    <row r="134" spans="3:3" ht="15.75" customHeight="1">
      <c r="C134" s="549"/>
    </row>
    <row r="135" spans="3:3" ht="15.75" customHeight="1">
      <c r="C135" s="549"/>
    </row>
    <row r="136" spans="3:3" ht="15.75" customHeight="1">
      <c r="C136" s="549"/>
    </row>
    <row r="137" spans="3:3" ht="15.75" customHeight="1">
      <c r="C137" s="549"/>
    </row>
    <row r="138" spans="3:3" ht="15.75" customHeight="1">
      <c r="C138" s="549"/>
    </row>
    <row r="139" spans="3:3" ht="15.75" customHeight="1">
      <c r="C139" s="549"/>
    </row>
    <row r="140" spans="3:3" ht="15.75" customHeight="1">
      <c r="C140" s="549"/>
    </row>
    <row r="141" spans="3:3" ht="15.75" customHeight="1">
      <c r="C141" s="549"/>
    </row>
    <row r="142" spans="3:3" ht="15.75" customHeight="1">
      <c r="C142" s="549"/>
    </row>
    <row r="143" spans="3:3" ht="15.75" customHeight="1">
      <c r="C143" s="549"/>
    </row>
    <row r="144" spans="3:3" ht="15.75" customHeight="1">
      <c r="C144" s="549"/>
    </row>
    <row r="145" spans="3:3" ht="15.75" customHeight="1">
      <c r="C145" s="549"/>
    </row>
    <row r="146" spans="3:3" ht="15.75" customHeight="1">
      <c r="C146" s="549"/>
    </row>
    <row r="147" spans="3:3" ht="15.75" customHeight="1">
      <c r="C147" s="549"/>
    </row>
    <row r="148" spans="3:3" ht="15.75" customHeight="1">
      <c r="C148" s="549"/>
    </row>
    <row r="149" spans="3:3" ht="15.75" customHeight="1">
      <c r="C149" s="549"/>
    </row>
    <row r="150" spans="3:3" ht="15.75" customHeight="1">
      <c r="C150" s="549"/>
    </row>
    <row r="151" spans="3:3" ht="15.75" customHeight="1">
      <c r="C151" s="549"/>
    </row>
    <row r="152" spans="3:3" ht="15.75" customHeight="1">
      <c r="C152" s="549"/>
    </row>
    <row r="153" spans="3:3" ht="15.75" customHeight="1">
      <c r="C153" s="549"/>
    </row>
    <row r="154" spans="3:3" ht="15.75" customHeight="1">
      <c r="C154" s="549"/>
    </row>
    <row r="155" spans="3:3" ht="15.75" customHeight="1">
      <c r="C155" s="549"/>
    </row>
    <row r="156" spans="3:3" ht="15.75" customHeight="1">
      <c r="C156" s="549"/>
    </row>
    <row r="157" spans="3:3" ht="15.75" customHeight="1">
      <c r="C157" s="549"/>
    </row>
    <row r="158" spans="3:3" ht="15.75" customHeight="1">
      <c r="C158" s="549"/>
    </row>
    <row r="159" spans="3:3" ht="15.75" customHeight="1">
      <c r="C159" s="549"/>
    </row>
    <row r="160" spans="3:3" ht="15.75" customHeight="1">
      <c r="C160" s="549"/>
    </row>
    <row r="161" spans="3:3" ht="15.75" customHeight="1">
      <c r="C161" s="549"/>
    </row>
    <row r="162" spans="3:3" ht="15.75" customHeight="1">
      <c r="C162" s="549"/>
    </row>
    <row r="163" spans="3:3" ht="15.75" customHeight="1">
      <c r="C163" s="549"/>
    </row>
    <row r="164" spans="3:3" ht="15.75" customHeight="1">
      <c r="C164" s="549"/>
    </row>
    <row r="165" spans="3:3" ht="15.75" customHeight="1">
      <c r="C165" s="549"/>
    </row>
    <row r="166" spans="3:3" ht="15.75" customHeight="1">
      <c r="C166" s="549"/>
    </row>
    <row r="167" spans="3:3" ht="15.75" customHeight="1">
      <c r="C167" s="549"/>
    </row>
    <row r="168" spans="3:3" ht="15.75" customHeight="1">
      <c r="C168" s="549"/>
    </row>
    <row r="169" spans="3:3" ht="15.75" customHeight="1">
      <c r="C169" s="549"/>
    </row>
    <row r="170" spans="3:3" ht="15.75" customHeight="1">
      <c r="C170" s="549"/>
    </row>
    <row r="171" spans="3:3" ht="15.75" customHeight="1">
      <c r="C171" s="549"/>
    </row>
    <row r="172" spans="3:3" ht="15.75" customHeight="1">
      <c r="C172" s="549"/>
    </row>
    <row r="173" spans="3:3" ht="15.75" customHeight="1">
      <c r="C173" s="549"/>
    </row>
    <row r="174" spans="3:3" ht="15.75" customHeight="1">
      <c r="C174" s="549"/>
    </row>
    <row r="175" spans="3:3" ht="15.75" customHeight="1">
      <c r="C175" s="549"/>
    </row>
    <row r="176" spans="3:3" ht="15.75" customHeight="1">
      <c r="C176" s="549"/>
    </row>
    <row r="177" spans="3:3" ht="15.75" customHeight="1">
      <c r="C177" s="549"/>
    </row>
    <row r="178" spans="3:3" ht="15.75" customHeight="1">
      <c r="C178" s="549"/>
    </row>
    <row r="179" spans="3:3" ht="15.75" customHeight="1">
      <c r="C179" s="549"/>
    </row>
    <row r="180" spans="3:3" ht="15.75" customHeight="1">
      <c r="C180" s="549"/>
    </row>
    <row r="181" spans="3:3" ht="15.75" customHeight="1">
      <c r="C181" s="549"/>
    </row>
    <row r="182" spans="3:3" ht="15.75" customHeight="1">
      <c r="C182" s="549"/>
    </row>
    <row r="183" spans="3:3" ht="15.75" customHeight="1">
      <c r="C183" s="549"/>
    </row>
    <row r="184" spans="3:3" ht="15.75" customHeight="1">
      <c r="C184" s="549"/>
    </row>
    <row r="185" spans="3:3" ht="15.75" customHeight="1">
      <c r="C185" s="549"/>
    </row>
    <row r="186" spans="3:3" ht="15.75" customHeight="1">
      <c r="C186" s="549"/>
    </row>
    <row r="187" spans="3:3" ht="15.75" customHeight="1">
      <c r="C187" s="549"/>
    </row>
    <row r="188" spans="3:3" ht="15.75" customHeight="1">
      <c r="C188" s="549"/>
    </row>
    <row r="189" spans="3:3" ht="15.75" customHeight="1">
      <c r="C189" s="549"/>
    </row>
    <row r="190" spans="3:3" ht="15.75" customHeight="1">
      <c r="C190" s="549"/>
    </row>
    <row r="191" spans="3:3" ht="15.75" customHeight="1">
      <c r="C191" s="549"/>
    </row>
    <row r="192" spans="3:3" ht="15.75" customHeight="1">
      <c r="C192" s="549"/>
    </row>
    <row r="193" spans="3:3" ht="15.75" customHeight="1">
      <c r="C193" s="549"/>
    </row>
    <row r="194" spans="3:3" ht="15.75" customHeight="1">
      <c r="C194" s="549"/>
    </row>
    <row r="195" spans="3:3" ht="15.75" customHeight="1">
      <c r="C195" s="549"/>
    </row>
    <row r="196" spans="3:3" ht="15.75" customHeight="1">
      <c r="C196" s="549"/>
    </row>
    <row r="197" spans="3:3" ht="15.75" customHeight="1">
      <c r="C197" s="549"/>
    </row>
    <row r="198" spans="3:3" ht="15.75" customHeight="1">
      <c r="C198" s="549"/>
    </row>
    <row r="199" spans="3:3" ht="15.75" customHeight="1">
      <c r="C199" s="549"/>
    </row>
    <row r="200" spans="3:3" ht="15.75" customHeight="1">
      <c r="C200" s="549"/>
    </row>
    <row r="201" spans="3:3" ht="15.75" customHeight="1">
      <c r="C201" s="549"/>
    </row>
    <row r="202" spans="3:3" ht="15.75" customHeight="1">
      <c r="C202" s="549"/>
    </row>
    <row r="203" spans="3:3" ht="15.75" customHeight="1">
      <c r="C203" s="549"/>
    </row>
    <row r="204" spans="3:3" ht="15.75" customHeight="1">
      <c r="C204" s="549"/>
    </row>
    <row r="205" spans="3:3" ht="15.75" customHeight="1">
      <c r="C205" s="549"/>
    </row>
    <row r="206" spans="3:3" ht="15.75" customHeight="1">
      <c r="C206" s="549"/>
    </row>
    <row r="207" spans="3:3" ht="15.75" customHeight="1">
      <c r="C207" s="549"/>
    </row>
    <row r="208" spans="3:3" ht="15.75" customHeight="1">
      <c r="C208" s="549"/>
    </row>
    <row r="209" spans="3:3" ht="15.75" customHeight="1">
      <c r="C209" s="549"/>
    </row>
    <row r="210" spans="3:3" ht="15.75" customHeight="1">
      <c r="C210" s="549"/>
    </row>
    <row r="211" spans="3:3" ht="15.75" customHeight="1">
      <c r="C211" s="549"/>
    </row>
    <row r="212" spans="3:3" ht="15.75" customHeight="1">
      <c r="C212" s="549"/>
    </row>
    <row r="213" spans="3:3" ht="15.75" customHeight="1">
      <c r="C213" s="549"/>
    </row>
    <row r="214" spans="3:3" ht="15.75" customHeight="1">
      <c r="C214" s="549"/>
    </row>
    <row r="215" spans="3:3" ht="15.75" customHeight="1">
      <c r="C215" s="549"/>
    </row>
    <row r="216" spans="3:3" ht="15.75" customHeight="1">
      <c r="C216" s="549"/>
    </row>
    <row r="217" spans="3:3" ht="15.75" customHeight="1">
      <c r="C217" s="549"/>
    </row>
    <row r="218" spans="3:3" ht="15.75" customHeight="1">
      <c r="C218" s="549"/>
    </row>
    <row r="219" spans="3:3" ht="15.75" customHeight="1">
      <c r="C219" s="549"/>
    </row>
    <row r="220" spans="3:3" ht="15.75" customHeight="1">
      <c r="C220" s="549"/>
    </row>
    <row r="221" spans="3:3" ht="15.75" customHeight="1">
      <c r="C221" s="549"/>
    </row>
    <row r="222" spans="3:3" ht="15.75" customHeight="1">
      <c r="C222" s="549"/>
    </row>
    <row r="223" spans="3:3" ht="15.75" customHeight="1">
      <c r="C223" s="549"/>
    </row>
    <row r="224" spans="3:3" ht="15.75" customHeight="1">
      <c r="C224" s="549"/>
    </row>
    <row r="225" spans="3:3" ht="15.75" customHeight="1">
      <c r="C225" s="549"/>
    </row>
    <row r="226" spans="3:3" ht="15.75" customHeight="1">
      <c r="C226" s="549"/>
    </row>
    <row r="227" spans="3:3" ht="15.75" customHeight="1">
      <c r="C227" s="549"/>
    </row>
    <row r="228" spans="3:3" ht="15.75" customHeight="1">
      <c r="C228" s="549"/>
    </row>
    <row r="229" spans="3:3" ht="15.75" customHeight="1">
      <c r="C229" s="549"/>
    </row>
    <row r="230" spans="3:3" ht="15.75" customHeight="1">
      <c r="C230" s="549"/>
    </row>
    <row r="231" spans="3:3" ht="15.75" customHeight="1">
      <c r="C231" s="549"/>
    </row>
    <row r="232" spans="3:3" ht="15.75" customHeight="1">
      <c r="C232" s="549"/>
    </row>
    <row r="233" spans="3:3" ht="15.75" customHeight="1">
      <c r="C233" s="549"/>
    </row>
    <row r="234" spans="3:3" ht="15.75" customHeight="1">
      <c r="C234" s="549"/>
    </row>
    <row r="235" spans="3:3" ht="15.75" customHeight="1">
      <c r="C235" s="549"/>
    </row>
    <row r="236" spans="3:3" ht="15.75" customHeight="1">
      <c r="C236" s="549"/>
    </row>
    <row r="237" spans="3:3" ht="15.75" customHeight="1">
      <c r="C237" s="549"/>
    </row>
    <row r="238" spans="3:3" ht="15.75" customHeight="1">
      <c r="C238" s="549"/>
    </row>
    <row r="239" spans="3:3" ht="15.75" customHeight="1">
      <c r="C239" s="549"/>
    </row>
    <row r="240" spans="3:3" ht="15.75" customHeight="1">
      <c r="C240" s="549"/>
    </row>
    <row r="241" spans="3:3" ht="15.75" customHeight="1">
      <c r="C241" s="549"/>
    </row>
    <row r="242" spans="3:3" ht="15.75" customHeight="1">
      <c r="C242" s="549"/>
    </row>
    <row r="243" spans="3:3" ht="15.75" customHeight="1">
      <c r="C243" s="549"/>
    </row>
    <row r="244" spans="3:3" ht="15.75" customHeight="1">
      <c r="C244" s="549"/>
    </row>
    <row r="245" spans="3:3" ht="15.75" customHeight="1">
      <c r="C245" s="549"/>
    </row>
    <row r="246" spans="3:3" ht="15.75" customHeight="1">
      <c r="C246" s="549"/>
    </row>
    <row r="247" spans="3:3" ht="15.75" customHeight="1">
      <c r="C247" s="549"/>
    </row>
    <row r="248" spans="3:3" ht="15.75" customHeight="1">
      <c r="C248" s="549"/>
    </row>
    <row r="249" spans="3:3" ht="15.75" customHeight="1">
      <c r="C249" s="549"/>
    </row>
    <row r="250" spans="3:3" ht="15.75" customHeight="1">
      <c r="C250" s="549"/>
    </row>
    <row r="251" spans="3:3" ht="15.75" customHeight="1">
      <c r="C251" s="549"/>
    </row>
    <row r="252" spans="3:3" ht="15.75" customHeight="1">
      <c r="C252" s="549"/>
    </row>
    <row r="253" spans="3:3" ht="15.75" customHeight="1">
      <c r="C253" s="549"/>
    </row>
    <row r="254" spans="3:3" ht="15.75" customHeight="1">
      <c r="C254" s="549"/>
    </row>
    <row r="255" spans="3:3" ht="15.75" customHeight="1">
      <c r="C255" s="549"/>
    </row>
    <row r="256" spans="3:3" ht="15.75" customHeight="1">
      <c r="C256" s="549"/>
    </row>
    <row r="257" spans="3:3" ht="15.75" customHeight="1">
      <c r="C257" s="549"/>
    </row>
    <row r="258" spans="3:3" ht="15.75" customHeight="1">
      <c r="C258" s="549"/>
    </row>
    <row r="259" spans="3:3" ht="15.75" customHeight="1">
      <c r="C259" s="549"/>
    </row>
    <row r="260" spans="3:3" ht="15.75" customHeight="1">
      <c r="C260" s="549"/>
    </row>
    <row r="261" spans="3:3" ht="15.75" customHeight="1">
      <c r="C261" s="549"/>
    </row>
    <row r="262" spans="3:3" ht="15.75" customHeight="1">
      <c r="C262" s="549"/>
    </row>
    <row r="263" spans="3:3" ht="15.75" customHeight="1">
      <c r="C263" s="549"/>
    </row>
    <row r="264" spans="3:3" ht="15.75" customHeight="1">
      <c r="C264" s="549"/>
    </row>
    <row r="265" spans="3:3" ht="15.75" customHeight="1">
      <c r="C265" s="549"/>
    </row>
    <row r="266" spans="3:3" ht="15.75" customHeight="1">
      <c r="C266" s="549"/>
    </row>
    <row r="267" spans="3:3" ht="15.75" customHeight="1">
      <c r="C267" s="549"/>
    </row>
    <row r="268" spans="3:3" ht="15.75" customHeight="1">
      <c r="C268" s="549"/>
    </row>
    <row r="269" spans="3:3" ht="15.75" customHeight="1">
      <c r="C269" s="549"/>
    </row>
    <row r="270" spans="3:3" ht="15.75" customHeight="1">
      <c r="C270" s="549"/>
    </row>
    <row r="271" spans="3:3" ht="15.75" customHeight="1">
      <c r="C271" s="549"/>
    </row>
    <row r="272" spans="3:3" ht="15.75" customHeight="1">
      <c r="C272" s="549"/>
    </row>
    <row r="273" spans="3:3" ht="15.75" customHeight="1">
      <c r="C273" s="549"/>
    </row>
    <row r="274" spans="3:3" ht="15.75" customHeight="1">
      <c r="C274" s="549"/>
    </row>
    <row r="275" spans="3:3" ht="15.75" customHeight="1">
      <c r="C275" s="549"/>
    </row>
    <row r="276" spans="3:3" ht="15.75" customHeight="1">
      <c r="C276" s="549"/>
    </row>
    <row r="277" spans="3:3" ht="15.75" customHeight="1">
      <c r="C277" s="549"/>
    </row>
    <row r="278" spans="3:3" ht="15.75" customHeight="1">
      <c r="C278" s="549"/>
    </row>
    <row r="279" spans="3:3" ht="15.75" customHeight="1">
      <c r="C279" s="549"/>
    </row>
    <row r="280" spans="3:3" ht="15.75" customHeight="1">
      <c r="C280" s="549"/>
    </row>
    <row r="281" spans="3:3" ht="15.75" customHeight="1">
      <c r="C281" s="549"/>
    </row>
    <row r="282" spans="3:3" ht="15.75" customHeight="1">
      <c r="C282" s="549"/>
    </row>
    <row r="283" spans="3:3" ht="15.75" customHeight="1">
      <c r="C283" s="549"/>
    </row>
    <row r="284" spans="3:3" ht="15.75" customHeight="1">
      <c r="C284" s="549"/>
    </row>
    <row r="285" spans="3:3" ht="15.75" customHeight="1">
      <c r="C285" s="549"/>
    </row>
    <row r="286" spans="3:3" ht="15.75" customHeight="1">
      <c r="C286" s="549"/>
    </row>
    <row r="287" spans="3:3" ht="15.75" customHeight="1">
      <c r="C287" s="549"/>
    </row>
    <row r="288" spans="3:3" ht="15.75" customHeight="1">
      <c r="C288" s="549"/>
    </row>
    <row r="289" spans="3:3" ht="15.75" customHeight="1">
      <c r="C289" s="549"/>
    </row>
    <row r="290" spans="3:3" ht="15.75" customHeight="1">
      <c r="C290" s="549"/>
    </row>
    <row r="291" spans="3:3" ht="15.75" customHeight="1">
      <c r="C291" s="549"/>
    </row>
    <row r="292" spans="3:3" ht="15.75" customHeight="1">
      <c r="C292" s="549"/>
    </row>
    <row r="293" spans="3:3" ht="15.75" customHeight="1">
      <c r="C293" s="549"/>
    </row>
    <row r="294" spans="3:3" ht="15.75" customHeight="1">
      <c r="C294" s="549"/>
    </row>
    <row r="295" spans="3:3" ht="15.75" customHeight="1">
      <c r="C295" s="549"/>
    </row>
    <row r="296" spans="3:3" ht="15.75" customHeight="1">
      <c r="C296" s="549"/>
    </row>
    <row r="297" spans="3:3" ht="15.75" customHeight="1">
      <c r="C297" s="549"/>
    </row>
    <row r="298" spans="3:3" ht="15.75" customHeight="1">
      <c r="C298" s="549"/>
    </row>
    <row r="299" spans="3:3" ht="15.75" customHeight="1">
      <c r="C299" s="549"/>
    </row>
    <row r="300" spans="3:3" ht="15.75" customHeight="1">
      <c r="C300" s="549"/>
    </row>
    <row r="301" spans="3:3" ht="15.75" customHeight="1">
      <c r="C301" s="549"/>
    </row>
    <row r="302" spans="3:3" ht="15.75" customHeight="1">
      <c r="C302" s="549"/>
    </row>
    <row r="303" spans="3:3" ht="15.75" customHeight="1">
      <c r="C303" s="549"/>
    </row>
    <row r="304" spans="3:3" ht="15.75" customHeight="1">
      <c r="C304" s="549"/>
    </row>
    <row r="305" spans="3:3" ht="15.75" customHeight="1">
      <c r="C305" s="549"/>
    </row>
    <row r="306" spans="3:3" ht="15.75" customHeight="1">
      <c r="C306" s="549"/>
    </row>
    <row r="307" spans="3:3" ht="15.75" customHeight="1">
      <c r="C307" s="549"/>
    </row>
    <row r="308" spans="3:3" ht="15.75" customHeight="1">
      <c r="C308" s="549"/>
    </row>
    <row r="309" spans="3:3" ht="15.75" customHeight="1">
      <c r="C309" s="549"/>
    </row>
    <row r="310" spans="3:3" ht="15.75" customHeight="1">
      <c r="C310" s="549"/>
    </row>
    <row r="311" spans="3:3" ht="15.75" customHeight="1">
      <c r="C311" s="549"/>
    </row>
    <row r="312" spans="3:3" ht="15.75" customHeight="1">
      <c r="C312" s="549"/>
    </row>
    <row r="313" spans="3:3" ht="15.75" customHeight="1">
      <c r="C313" s="549"/>
    </row>
    <row r="314" spans="3:3" ht="15.75" customHeight="1">
      <c r="C314" s="549"/>
    </row>
    <row r="315" spans="3:3" ht="15.75" customHeight="1">
      <c r="C315" s="549"/>
    </row>
    <row r="316" spans="3:3" ht="15.75" customHeight="1">
      <c r="C316" s="549"/>
    </row>
    <row r="317" spans="3:3" ht="15.75" customHeight="1">
      <c r="C317" s="549"/>
    </row>
    <row r="318" spans="3:3" ht="15.75" customHeight="1">
      <c r="C318" s="549"/>
    </row>
    <row r="319" spans="3:3" ht="15.75" customHeight="1">
      <c r="C319" s="549"/>
    </row>
    <row r="320" spans="3:3" ht="15.75" customHeight="1">
      <c r="C320" s="549"/>
    </row>
    <row r="321" spans="3:3" ht="15.75" customHeight="1">
      <c r="C321" s="549"/>
    </row>
    <row r="322" spans="3:3" ht="15.75" customHeight="1">
      <c r="C322" s="549"/>
    </row>
    <row r="323" spans="3:3" ht="15.75" customHeight="1">
      <c r="C323" s="549"/>
    </row>
    <row r="324" spans="3:3" ht="15.75" customHeight="1">
      <c r="C324" s="549"/>
    </row>
    <row r="325" spans="3:3" ht="15.75" customHeight="1">
      <c r="C325" s="549"/>
    </row>
    <row r="326" spans="3:3" ht="15.75" customHeight="1">
      <c r="C326" s="549"/>
    </row>
    <row r="327" spans="3:3" ht="15.75" customHeight="1">
      <c r="C327" s="549"/>
    </row>
    <row r="328" spans="3:3" ht="15.75" customHeight="1">
      <c r="C328" s="549"/>
    </row>
    <row r="329" spans="3:3" ht="15.75" customHeight="1">
      <c r="C329" s="549"/>
    </row>
    <row r="330" spans="3:3" ht="15.75" customHeight="1">
      <c r="C330" s="549"/>
    </row>
    <row r="331" spans="3:3" ht="15.75" customHeight="1">
      <c r="C331" s="549"/>
    </row>
    <row r="332" spans="3:3" ht="15.75" customHeight="1">
      <c r="C332" s="549"/>
    </row>
    <row r="333" spans="3:3" ht="15.75" customHeight="1">
      <c r="C333" s="549"/>
    </row>
    <row r="334" spans="3:3" ht="15.75" customHeight="1">
      <c r="C334" s="549"/>
    </row>
    <row r="335" spans="3:3" ht="15.75" customHeight="1">
      <c r="C335" s="549"/>
    </row>
    <row r="336" spans="3:3" ht="15.75" customHeight="1">
      <c r="C336" s="549"/>
    </row>
    <row r="337" spans="3:3" ht="15.75" customHeight="1">
      <c r="C337" s="549"/>
    </row>
    <row r="338" spans="3:3" ht="15.75" customHeight="1">
      <c r="C338" s="549"/>
    </row>
    <row r="339" spans="3:3" ht="15.75" customHeight="1">
      <c r="C339" s="549"/>
    </row>
    <row r="340" spans="3:3" ht="15.75" customHeight="1">
      <c r="C340" s="549"/>
    </row>
    <row r="341" spans="3:3" ht="15.75" customHeight="1">
      <c r="C341" s="549"/>
    </row>
    <row r="342" spans="3:3" ht="15.75" customHeight="1">
      <c r="C342" s="549"/>
    </row>
    <row r="343" spans="3:3" ht="15.75" customHeight="1">
      <c r="C343" s="549"/>
    </row>
    <row r="344" spans="3:3" ht="15.75" customHeight="1">
      <c r="C344" s="549"/>
    </row>
    <row r="345" spans="3:3" ht="15.75" customHeight="1">
      <c r="C345" s="549"/>
    </row>
    <row r="346" spans="3:3" ht="15.75" customHeight="1">
      <c r="C346" s="549"/>
    </row>
    <row r="347" spans="3:3" ht="15.75" customHeight="1">
      <c r="C347" s="549"/>
    </row>
    <row r="348" spans="3:3" ht="15.75" customHeight="1">
      <c r="C348" s="549"/>
    </row>
    <row r="349" spans="3:3" ht="15.75" customHeight="1">
      <c r="C349" s="549"/>
    </row>
    <row r="350" spans="3:3" ht="15.75" customHeight="1">
      <c r="C350" s="549"/>
    </row>
    <row r="351" spans="3:3" ht="15.75" customHeight="1">
      <c r="C351" s="549"/>
    </row>
    <row r="352" spans="3:3" ht="15.75" customHeight="1">
      <c r="C352" s="549"/>
    </row>
    <row r="353" spans="3:3" ht="15.75" customHeight="1">
      <c r="C353" s="549"/>
    </row>
    <row r="354" spans="3:3" ht="15.75" customHeight="1">
      <c r="C354" s="549"/>
    </row>
    <row r="355" spans="3:3" ht="15.75" customHeight="1">
      <c r="C355" s="549"/>
    </row>
    <row r="356" spans="3:3" ht="15.75" customHeight="1">
      <c r="C356" s="549"/>
    </row>
    <row r="357" spans="3:3" ht="15.75" customHeight="1">
      <c r="C357" s="549"/>
    </row>
    <row r="358" spans="3:3" ht="15.75" customHeight="1">
      <c r="C358" s="549"/>
    </row>
    <row r="359" spans="3:3" ht="15.75" customHeight="1">
      <c r="C359" s="549"/>
    </row>
    <row r="360" spans="3:3" ht="15.75" customHeight="1">
      <c r="C360" s="549"/>
    </row>
    <row r="361" spans="3:3" ht="15.75" customHeight="1">
      <c r="C361" s="549"/>
    </row>
    <row r="362" spans="3:3" ht="15.75" customHeight="1">
      <c r="C362" s="549"/>
    </row>
    <row r="363" spans="3:3" ht="15.75" customHeight="1">
      <c r="C363" s="549"/>
    </row>
    <row r="364" spans="3:3" ht="15.75" customHeight="1">
      <c r="C364" s="549"/>
    </row>
    <row r="365" spans="3:3" ht="15.75" customHeight="1">
      <c r="C365" s="549"/>
    </row>
    <row r="366" spans="3:3" ht="15.75" customHeight="1">
      <c r="C366" s="549"/>
    </row>
    <row r="367" spans="3:3" ht="15.75" customHeight="1">
      <c r="C367" s="549"/>
    </row>
    <row r="368" spans="3:3" ht="15.75" customHeight="1">
      <c r="C368" s="549"/>
    </row>
    <row r="369" spans="3:3" ht="15.75" customHeight="1">
      <c r="C369" s="549"/>
    </row>
    <row r="370" spans="3:3" ht="15.75" customHeight="1">
      <c r="C370" s="549"/>
    </row>
    <row r="371" spans="3:3" ht="15.75" customHeight="1">
      <c r="C371" s="549"/>
    </row>
    <row r="372" spans="3:3" ht="15.75" customHeight="1">
      <c r="C372" s="549"/>
    </row>
    <row r="373" spans="3:3" ht="15.75" customHeight="1">
      <c r="C373" s="549"/>
    </row>
    <row r="374" spans="3:3" ht="15.75" customHeight="1">
      <c r="C374" s="549"/>
    </row>
    <row r="375" spans="3:3" ht="15.75" customHeight="1">
      <c r="C375" s="549"/>
    </row>
    <row r="376" spans="3:3" ht="15.75" customHeight="1">
      <c r="C376" s="549"/>
    </row>
    <row r="377" spans="3:3" ht="15.75" customHeight="1">
      <c r="C377" s="549"/>
    </row>
    <row r="378" spans="3:3" ht="15.75" customHeight="1">
      <c r="C378" s="549"/>
    </row>
    <row r="379" spans="3:3" ht="15.75" customHeight="1">
      <c r="C379" s="549"/>
    </row>
    <row r="380" spans="3:3" ht="15.75" customHeight="1">
      <c r="C380" s="549"/>
    </row>
    <row r="381" spans="3:3" ht="15.75" customHeight="1">
      <c r="C381" s="549"/>
    </row>
    <row r="382" spans="3:3" ht="15.75" customHeight="1">
      <c r="C382" s="549"/>
    </row>
    <row r="383" spans="3:3" ht="15.75" customHeight="1">
      <c r="C383" s="549"/>
    </row>
    <row r="384" spans="3:3" ht="15.75" customHeight="1">
      <c r="C384" s="549"/>
    </row>
    <row r="385" spans="3:3" ht="15.75" customHeight="1">
      <c r="C385" s="549"/>
    </row>
    <row r="386" spans="3:3" ht="15.75" customHeight="1">
      <c r="C386" s="549"/>
    </row>
    <row r="387" spans="3:3" ht="15.75" customHeight="1">
      <c r="C387" s="549"/>
    </row>
    <row r="388" spans="3:3" ht="15.75" customHeight="1">
      <c r="C388" s="549"/>
    </row>
    <row r="389" spans="3:3" ht="15.75" customHeight="1">
      <c r="C389" s="549"/>
    </row>
    <row r="390" spans="3:3" ht="15.75" customHeight="1">
      <c r="C390" s="549"/>
    </row>
    <row r="391" spans="3:3" ht="15.75" customHeight="1">
      <c r="C391" s="549"/>
    </row>
    <row r="392" spans="3:3" ht="15.75" customHeight="1">
      <c r="C392" s="549"/>
    </row>
    <row r="393" spans="3:3" ht="15.75" customHeight="1">
      <c r="C393" s="549"/>
    </row>
    <row r="394" spans="3:3" ht="15.75" customHeight="1">
      <c r="C394" s="549"/>
    </row>
    <row r="395" spans="3:3" ht="15.75" customHeight="1">
      <c r="C395" s="549"/>
    </row>
    <row r="396" spans="3:3" ht="15.75" customHeight="1">
      <c r="C396" s="549"/>
    </row>
    <row r="397" spans="3:3" ht="15.75" customHeight="1">
      <c r="C397" s="549"/>
    </row>
    <row r="398" spans="3:3" ht="15.75" customHeight="1">
      <c r="C398" s="549"/>
    </row>
    <row r="399" spans="3:3" ht="15.75" customHeight="1">
      <c r="C399" s="549"/>
    </row>
    <row r="400" spans="3:3" ht="15.75" customHeight="1">
      <c r="C400" s="549"/>
    </row>
    <row r="401" spans="3:3" ht="15.75" customHeight="1">
      <c r="C401" s="549"/>
    </row>
    <row r="402" spans="3:3" ht="15.75" customHeight="1">
      <c r="C402" s="549"/>
    </row>
    <row r="403" spans="3:3" ht="15.75" customHeight="1">
      <c r="C403" s="549"/>
    </row>
    <row r="404" spans="3:3" ht="15.75" customHeight="1">
      <c r="C404" s="549"/>
    </row>
    <row r="405" spans="3:3" ht="15.75" customHeight="1">
      <c r="C405" s="549"/>
    </row>
    <row r="406" spans="3:3" ht="15.75" customHeight="1">
      <c r="C406" s="549"/>
    </row>
    <row r="407" spans="3:3" ht="15.75" customHeight="1">
      <c r="C407" s="549"/>
    </row>
    <row r="408" spans="3:3" ht="15.75" customHeight="1">
      <c r="C408" s="549"/>
    </row>
    <row r="409" spans="3:3" ht="15.75" customHeight="1">
      <c r="C409" s="549"/>
    </row>
    <row r="410" spans="3:3" ht="15.75" customHeight="1">
      <c r="C410" s="549"/>
    </row>
    <row r="411" spans="3:3" ht="15.75" customHeight="1">
      <c r="C411" s="549"/>
    </row>
    <row r="412" spans="3:3" ht="15.75" customHeight="1">
      <c r="C412" s="549"/>
    </row>
    <row r="413" spans="3:3" ht="15.75" customHeight="1">
      <c r="C413" s="549"/>
    </row>
    <row r="414" spans="3:3" ht="15.75" customHeight="1">
      <c r="C414" s="549"/>
    </row>
    <row r="415" spans="3:3" ht="15.75" customHeight="1">
      <c r="C415" s="549"/>
    </row>
    <row r="416" spans="3:3" ht="15.75" customHeight="1">
      <c r="C416" s="549"/>
    </row>
    <row r="417" spans="3:3" ht="15.75" customHeight="1">
      <c r="C417" s="549"/>
    </row>
    <row r="418" spans="3:3" ht="15.75" customHeight="1">
      <c r="C418" s="549"/>
    </row>
    <row r="419" spans="3:3" ht="15.75" customHeight="1">
      <c r="C419" s="549"/>
    </row>
    <row r="420" spans="3:3" ht="15.75" customHeight="1">
      <c r="C420" s="549"/>
    </row>
    <row r="421" spans="3:3" ht="15.75" customHeight="1">
      <c r="C421" s="549"/>
    </row>
    <row r="422" spans="3:3" ht="15.75" customHeight="1">
      <c r="C422" s="549"/>
    </row>
    <row r="423" spans="3:3" ht="15.75" customHeight="1">
      <c r="C423" s="549"/>
    </row>
    <row r="424" spans="3:3" ht="15.75" customHeight="1">
      <c r="C424" s="549"/>
    </row>
    <row r="425" spans="3:3" ht="15.75" customHeight="1">
      <c r="C425" s="549"/>
    </row>
    <row r="426" spans="3:3" ht="15.75" customHeight="1">
      <c r="C426" s="549"/>
    </row>
    <row r="427" spans="3:3" ht="15.75" customHeight="1">
      <c r="C427" s="549"/>
    </row>
    <row r="428" spans="3:3" ht="15.75" customHeight="1">
      <c r="C428" s="549"/>
    </row>
    <row r="429" spans="3:3" ht="15.75" customHeight="1">
      <c r="C429" s="549"/>
    </row>
    <row r="430" spans="3:3" ht="15.75" customHeight="1">
      <c r="C430" s="549"/>
    </row>
    <row r="431" spans="3:3" ht="15.75" customHeight="1">
      <c r="C431" s="549"/>
    </row>
    <row r="432" spans="3:3" ht="15.75" customHeight="1">
      <c r="C432" s="549"/>
    </row>
    <row r="433" spans="3:3" ht="15.75" customHeight="1">
      <c r="C433" s="549"/>
    </row>
    <row r="434" spans="3:3" ht="15.75" customHeight="1">
      <c r="C434" s="549"/>
    </row>
    <row r="435" spans="3:3" ht="15.75" customHeight="1">
      <c r="C435" s="549"/>
    </row>
    <row r="436" spans="3:3" ht="15.75" customHeight="1">
      <c r="C436" s="549"/>
    </row>
    <row r="437" spans="3:3" ht="15.75" customHeight="1">
      <c r="C437" s="549"/>
    </row>
    <row r="438" spans="3:3" ht="15.75" customHeight="1">
      <c r="C438" s="549"/>
    </row>
    <row r="439" spans="3:3" ht="15.75" customHeight="1">
      <c r="C439" s="549"/>
    </row>
    <row r="440" spans="3:3" ht="15.75" customHeight="1">
      <c r="C440" s="549"/>
    </row>
    <row r="441" spans="3:3" ht="15.75" customHeight="1">
      <c r="C441" s="549"/>
    </row>
    <row r="442" spans="3:3" ht="15.75" customHeight="1">
      <c r="C442" s="549"/>
    </row>
    <row r="443" spans="3:3" ht="15.75" customHeight="1">
      <c r="C443" s="549"/>
    </row>
    <row r="444" spans="3:3" ht="15.75" customHeight="1">
      <c r="C444" s="549"/>
    </row>
    <row r="445" spans="3:3" ht="15.75" customHeight="1">
      <c r="C445" s="549"/>
    </row>
    <row r="446" spans="3:3" ht="15.75" customHeight="1">
      <c r="C446" s="549"/>
    </row>
    <row r="447" spans="3:3" ht="15.75" customHeight="1">
      <c r="C447" s="549"/>
    </row>
    <row r="448" spans="3:3" ht="15.75" customHeight="1">
      <c r="C448" s="549"/>
    </row>
    <row r="449" spans="3:3" ht="15.75" customHeight="1">
      <c r="C449" s="549"/>
    </row>
    <row r="450" spans="3:3" ht="15.75" customHeight="1">
      <c r="C450" s="549"/>
    </row>
    <row r="451" spans="3:3" ht="15.75" customHeight="1">
      <c r="C451" s="549"/>
    </row>
    <row r="452" spans="3:3" ht="15.75" customHeight="1">
      <c r="C452" s="549"/>
    </row>
    <row r="453" spans="3:3" ht="15.75" customHeight="1">
      <c r="C453" s="549"/>
    </row>
    <row r="454" spans="3:3" ht="15.75" customHeight="1">
      <c r="C454" s="549"/>
    </row>
    <row r="455" spans="3:3" ht="15.75" customHeight="1">
      <c r="C455" s="549"/>
    </row>
    <row r="456" spans="3:3" ht="15.75" customHeight="1">
      <c r="C456" s="549"/>
    </row>
    <row r="457" spans="3:3" ht="15.75" customHeight="1">
      <c r="C457" s="549"/>
    </row>
    <row r="458" spans="3:3" ht="15.75" customHeight="1">
      <c r="C458" s="549"/>
    </row>
    <row r="459" spans="3:3" ht="15.75" customHeight="1">
      <c r="C459" s="549"/>
    </row>
    <row r="460" spans="3:3" ht="15.75" customHeight="1">
      <c r="C460" s="549"/>
    </row>
    <row r="461" spans="3:3" ht="15.75" customHeight="1">
      <c r="C461" s="549"/>
    </row>
    <row r="462" spans="3:3" ht="15.75" customHeight="1">
      <c r="C462" s="549"/>
    </row>
    <row r="463" spans="3:3" ht="15.75" customHeight="1">
      <c r="C463" s="549"/>
    </row>
    <row r="464" spans="3:3" ht="15.75" customHeight="1">
      <c r="C464" s="549"/>
    </row>
    <row r="465" spans="3:3" ht="15.75" customHeight="1">
      <c r="C465" s="549"/>
    </row>
    <row r="466" spans="3:3" ht="15.75" customHeight="1">
      <c r="C466" s="549"/>
    </row>
    <row r="467" spans="3:3" ht="15.75" customHeight="1">
      <c r="C467" s="549"/>
    </row>
    <row r="468" spans="3:3" ht="15.75" customHeight="1">
      <c r="C468" s="549"/>
    </row>
    <row r="469" spans="3:3" ht="15.75" customHeight="1">
      <c r="C469" s="549"/>
    </row>
    <row r="470" spans="3:3" ht="15.75" customHeight="1">
      <c r="C470" s="549"/>
    </row>
    <row r="471" spans="3:3" ht="15.75" customHeight="1">
      <c r="C471" s="549"/>
    </row>
    <row r="472" spans="3:3" ht="15.75" customHeight="1">
      <c r="C472" s="549"/>
    </row>
    <row r="473" spans="3:3" ht="15.75" customHeight="1">
      <c r="C473" s="549"/>
    </row>
    <row r="474" spans="3:3" ht="15.75" customHeight="1">
      <c r="C474" s="549"/>
    </row>
    <row r="475" spans="3:3" ht="15.75" customHeight="1">
      <c r="C475" s="549"/>
    </row>
    <row r="476" spans="3:3" ht="15.75" customHeight="1">
      <c r="C476" s="549"/>
    </row>
    <row r="477" spans="3:3" ht="15.75" customHeight="1">
      <c r="C477" s="549"/>
    </row>
    <row r="478" spans="3:3" ht="15.75" customHeight="1">
      <c r="C478" s="549"/>
    </row>
    <row r="479" spans="3:3" ht="15.75" customHeight="1">
      <c r="C479" s="549"/>
    </row>
    <row r="480" spans="3:3" ht="15.75" customHeight="1">
      <c r="C480" s="549"/>
    </row>
    <row r="481" spans="3:3" ht="15.75" customHeight="1">
      <c r="C481" s="549"/>
    </row>
    <row r="482" spans="3:3" ht="15.75" customHeight="1">
      <c r="C482" s="549"/>
    </row>
    <row r="483" spans="3:3" ht="15.75" customHeight="1">
      <c r="C483" s="549"/>
    </row>
    <row r="484" spans="3:3" ht="15.75" customHeight="1">
      <c r="C484" s="549"/>
    </row>
    <row r="485" spans="3:3" ht="15.75" customHeight="1">
      <c r="C485" s="549"/>
    </row>
    <row r="486" spans="3:3" ht="15.75" customHeight="1">
      <c r="C486" s="549"/>
    </row>
    <row r="487" spans="3:3" ht="15.75" customHeight="1">
      <c r="C487" s="549"/>
    </row>
    <row r="488" spans="3:3" ht="15.75" customHeight="1">
      <c r="C488" s="549"/>
    </row>
    <row r="489" spans="3:3" ht="15.75" customHeight="1">
      <c r="C489" s="549"/>
    </row>
    <row r="490" spans="3:3" ht="15.75" customHeight="1">
      <c r="C490" s="549"/>
    </row>
    <row r="491" spans="3:3" ht="15.75" customHeight="1">
      <c r="C491" s="549"/>
    </row>
    <row r="492" spans="3:3" ht="15.75" customHeight="1">
      <c r="C492" s="549"/>
    </row>
    <row r="493" spans="3:3" ht="15.75" customHeight="1">
      <c r="C493" s="549"/>
    </row>
    <row r="494" spans="3:3" ht="15.75" customHeight="1">
      <c r="C494" s="549"/>
    </row>
    <row r="495" spans="3:3" ht="15.75" customHeight="1">
      <c r="C495" s="549"/>
    </row>
    <row r="496" spans="3:3" ht="15.75" customHeight="1">
      <c r="C496" s="549"/>
    </row>
    <row r="497" spans="3:3" ht="15.75" customHeight="1">
      <c r="C497" s="549"/>
    </row>
    <row r="498" spans="3:3" ht="15.75" customHeight="1">
      <c r="C498" s="549"/>
    </row>
    <row r="499" spans="3:3" ht="15.75" customHeight="1">
      <c r="C499" s="549"/>
    </row>
    <row r="500" spans="3:3" ht="15.75" customHeight="1">
      <c r="C500" s="549"/>
    </row>
    <row r="501" spans="3:3" ht="15.75" customHeight="1">
      <c r="C501" s="549"/>
    </row>
    <row r="502" spans="3:3" ht="15.75" customHeight="1">
      <c r="C502" s="549"/>
    </row>
    <row r="503" spans="3:3" ht="15.75" customHeight="1">
      <c r="C503" s="549"/>
    </row>
    <row r="504" spans="3:3" ht="15.75" customHeight="1">
      <c r="C504" s="549"/>
    </row>
    <row r="505" spans="3:3" ht="15.75" customHeight="1">
      <c r="C505" s="549"/>
    </row>
    <row r="506" spans="3:3" ht="15.75" customHeight="1">
      <c r="C506" s="549"/>
    </row>
    <row r="507" spans="3:3" ht="15.75" customHeight="1">
      <c r="C507" s="549"/>
    </row>
    <row r="508" spans="3:3" ht="15.75" customHeight="1">
      <c r="C508" s="549"/>
    </row>
    <row r="509" spans="3:3" ht="15.75" customHeight="1">
      <c r="C509" s="549"/>
    </row>
    <row r="510" spans="3:3" ht="15.75" customHeight="1">
      <c r="C510" s="549"/>
    </row>
    <row r="511" spans="3:3" ht="15.75" customHeight="1">
      <c r="C511" s="549"/>
    </row>
    <row r="512" spans="3:3" ht="15.75" customHeight="1">
      <c r="C512" s="549"/>
    </row>
    <row r="513" spans="3:3" ht="15.75" customHeight="1">
      <c r="C513" s="549"/>
    </row>
    <row r="514" spans="3:3" ht="15.75" customHeight="1">
      <c r="C514" s="549"/>
    </row>
    <row r="515" spans="3:3" ht="15.75" customHeight="1">
      <c r="C515" s="549"/>
    </row>
    <row r="516" spans="3:3" ht="15.75" customHeight="1">
      <c r="C516" s="549"/>
    </row>
    <row r="517" spans="3:3" ht="15.75" customHeight="1">
      <c r="C517" s="549"/>
    </row>
    <row r="518" spans="3:3" ht="15.75" customHeight="1">
      <c r="C518" s="549"/>
    </row>
    <row r="519" spans="3:3" ht="15.75" customHeight="1">
      <c r="C519" s="549"/>
    </row>
    <row r="520" spans="3:3" ht="15.75" customHeight="1">
      <c r="C520" s="549"/>
    </row>
    <row r="521" spans="3:3" ht="15.75" customHeight="1">
      <c r="C521" s="549"/>
    </row>
    <row r="522" spans="3:3" ht="15.75" customHeight="1">
      <c r="C522" s="549"/>
    </row>
    <row r="523" spans="3:3" ht="15.75" customHeight="1">
      <c r="C523" s="549"/>
    </row>
    <row r="524" spans="3:3" ht="15.75" customHeight="1">
      <c r="C524" s="549"/>
    </row>
    <row r="525" spans="3:3" ht="15.75" customHeight="1">
      <c r="C525" s="549"/>
    </row>
    <row r="526" spans="3:3" ht="15.75" customHeight="1">
      <c r="C526" s="549"/>
    </row>
    <row r="527" spans="3:3" ht="15.75" customHeight="1">
      <c r="C527" s="549"/>
    </row>
    <row r="528" spans="3:3" ht="15.75" customHeight="1">
      <c r="C528" s="549"/>
    </row>
    <row r="529" spans="3:3" ht="15.75" customHeight="1">
      <c r="C529" s="549"/>
    </row>
    <row r="530" spans="3:3" ht="15.75" customHeight="1">
      <c r="C530" s="549"/>
    </row>
    <row r="531" spans="3:3" ht="15.75" customHeight="1">
      <c r="C531" s="549"/>
    </row>
    <row r="532" spans="3:3" ht="15.75" customHeight="1">
      <c r="C532" s="549"/>
    </row>
    <row r="533" spans="3:3" ht="15.75" customHeight="1">
      <c r="C533" s="549"/>
    </row>
    <row r="534" spans="3:3" ht="15.75" customHeight="1">
      <c r="C534" s="549"/>
    </row>
    <row r="535" spans="3:3" ht="15.75" customHeight="1">
      <c r="C535" s="549"/>
    </row>
    <row r="536" spans="3:3" ht="15.75" customHeight="1">
      <c r="C536" s="549"/>
    </row>
    <row r="537" spans="3:3" ht="15.75" customHeight="1">
      <c r="C537" s="549"/>
    </row>
    <row r="538" spans="3:3" ht="15.75" customHeight="1">
      <c r="C538" s="549"/>
    </row>
    <row r="539" spans="3:3" ht="15.75" customHeight="1">
      <c r="C539" s="549"/>
    </row>
    <row r="540" spans="3:3" ht="15.75" customHeight="1">
      <c r="C540" s="549"/>
    </row>
    <row r="541" spans="3:3" ht="15.75" customHeight="1">
      <c r="C541" s="549"/>
    </row>
    <row r="542" spans="3:3" ht="15.75" customHeight="1">
      <c r="C542" s="549"/>
    </row>
    <row r="543" spans="3:3" ht="15.75" customHeight="1">
      <c r="C543" s="549"/>
    </row>
    <row r="544" spans="3:3" ht="15.75" customHeight="1">
      <c r="C544" s="549"/>
    </row>
    <row r="545" spans="3:3" ht="15.75" customHeight="1">
      <c r="C545" s="549"/>
    </row>
    <row r="546" spans="3:3" ht="15.75" customHeight="1">
      <c r="C546" s="549"/>
    </row>
    <row r="547" spans="3:3" ht="15.75" customHeight="1">
      <c r="C547" s="549"/>
    </row>
    <row r="548" spans="3:3" ht="15.75" customHeight="1">
      <c r="C548" s="549"/>
    </row>
    <row r="549" spans="3:3" ht="15.75" customHeight="1">
      <c r="C549" s="549"/>
    </row>
    <row r="550" spans="3:3" ht="15.75" customHeight="1">
      <c r="C550" s="549"/>
    </row>
    <row r="551" spans="3:3" ht="15.75" customHeight="1">
      <c r="C551" s="549"/>
    </row>
    <row r="552" spans="3:3" ht="15.75" customHeight="1">
      <c r="C552" s="549"/>
    </row>
    <row r="553" spans="3:3" ht="15.75" customHeight="1">
      <c r="C553" s="549"/>
    </row>
    <row r="554" spans="3:3" ht="15.75" customHeight="1">
      <c r="C554" s="549"/>
    </row>
    <row r="555" spans="3:3" ht="15.75" customHeight="1">
      <c r="C555" s="549"/>
    </row>
    <row r="556" spans="3:3" ht="15.75" customHeight="1">
      <c r="C556" s="549"/>
    </row>
    <row r="557" spans="3:3" ht="15.75" customHeight="1">
      <c r="C557" s="549"/>
    </row>
    <row r="558" spans="3:3" ht="15.75" customHeight="1">
      <c r="C558" s="549"/>
    </row>
    <row r="559" spans="3:3" ht="15.75" customHeight="1">
      <c r="C559" s="549"/>
    </row>
    <row r="560" spans="3:3" ht="15.75" customHeight="1">
      <c r="C560" s="549"/>
    </row>
    <row r="561" spans="3:3" ht="15.75" customHeight="1">
      <c r="C561" s="549"/>
    </row>
    <row r="562" spans="3:3" ht="15.75" customHeight="1">
      <c r="C562" s="549"/>
    </row>
    <row r="563" spans="3:3" ht="15.75" customHeight="1">
      <c r="C563" s="549"/>
    </row>
    <row r="564" spans="3:3" ht="15.75" customHeight="1">
      <c r="C564" s="549"/>
    </row>
    <row r="565" spans="3:3" ht="15.75" customHeight="1">
      <c r="C565" s="549"/>
    </row>
    <row r="566" spans="3:3" ht="15.75" customHeight="1">
      <c r="C566" s="549"/>
    </row>
    <row r="567" spans="3:3" ht="15.75" customHeight="1">
      <c r="C567" s="549"/>
    </row>
    <row r="568" spans="3:3" ht="15.75" customHeight="1">
      <c r="C568" s="549"/>
    </row>
    <row r="569" spans="3:3" ht="15.75" customHeight="1">
      <c r="C569" s="549"/>
    </row>
    <row r="570" spans="3:3" ht="15.75" customHeight="1">
      <c r="C570" s="549"/>
    </row>
    <row r="571" spans="3:3" ht="15.75" customHeight="1">
      <c r="C571" s="549"/>
    </row>
    <row r="572" spans="3:3" ht="15.75" customHeight="1">
      <c r="C572" s="549"/>
    </row>
    <row r="573" spans="3:3" ht="15.75" customHeight="1">
      <c r="C573" s="549"/>
    </row>
    <row r="574" spans="3:3" ht="15.75" customHeight="1">
      <c r="C574" s="549"/>
    </row>
    <row r="575" spans="3:3" ht="15.75" customHeight="1">
      <c r="C575" s="549"/>
    </row>
    <row r="576" spans="3:3" ht="15.75" customHeight="1">
      <c r="C576" s="549"/>
    </row>
    <row r="577" spans="3:3" ht="15.75" customHeight="1">
      <c r="C577" s="549"/>
    </row>
    <row r="578" spans="3:3" ht="15.75" customHeight="1">
      <c r="C578" s="549"/>
    </row>
    <row r="579" spans="3:3" ht="15.75" customHeight="1">
      <c r="C579" s="549"/>
    </row>
    <row r="580" spans="3:3" ht="15.75" customHeight="1">
      <c r="C580" s="549"/>
    </row>
    <row r="581" spans="3:3" ht="15.75" customHeight="1">
      <c r="C581" s="549"/>
    </row>
    <row r="582" spans="3:3" ht="15.75" customHeight="1">
      <c r="C582" s="549"/>
    </row>
    <row r="583" spans="3:3" ht="15.75" customHeight="1">
      <c r="C583" s="549"/>
    </row>
    <row r="584" spans="3:3" ht="15.75" customHeight="1">
      <c r="C584" s="549"/>
    </row>
    <row r="585" spans="3:3" ht="15.75" customHeight="1">
      <c r="C585" s="549"/>
    </row>
    <row r="586" spans="3:3" ht="15.75" customHeight="1">
      <c r="C586" s="549"/>
    </row>
    <row r="587" spans="3:3" ht="15.75" customHeight="1">
      <c r="C587" s="549"/>
    </row>
    <row r="588" spans="3:3" ht="15.75" customHeight="1">
      <c r="C588" s="549"/>
    </row>
    <row r="589" spans="3:3" ht="15.75" customHeight="1">
      <c r="C589" s="549"/>
    </row>
    <row r="590" spans="3:3" ht="15.75" customHeight="1">
      <c r="C590" s="549"/>
    </row>
    <row r="591" spans="3:3" ht="15.75" customHeight="1">
      <c r="C591" s="549"/>
    </row>
    <row r="592" spans="3:3" ht="15.75" customHeight="1">
      <c r="C592" s="549"/>
    </row>
    <row r="593" spans="3:3" ht="15.75" customHeight="1">
      <c r="C593" s="549"/>
    </row>
    <row r="594" spans="3:3" ht="15.75" customHeight="1">
      <c r="C594" s="549"/>
    </row>
    <row r="595" spans="3:3" ht="15.75" customHeight="1">
      <c r="C595" s="549"/>
    </row>
    <row r="596" spans="3:3" ht="15.75" customHeight="1">
      <c r="C596" s="549"/>
    </row>
    <row r="597" spans="3:3" ht="15.75" customHeight="1">
      <c r="C597" s="549"/>
    </row>
    <row r="598" spans="3:3" ht="15.75" customHeight="1">
      <c r="C598" s="549"/>
    </row>
    <row r="599" spans="3:3" ht="15.75" customHeight="1">
      <c r="C599" s="549"/>
    </row>
    <row r="600" spans="3:3" ht="15.75" customHeight="1">
      <c r="C600" s="549"/>
    </row>
    <row r="601" spans="3:3" ht="15.75" customHeight="1">
      <c r="C601" s="549"/>
    </row>
    <row r="602" spans="3:3" ht="15.75" customHeight="1">
      <c r="C602" s="549"/>
    </row>
    <row r="603" spans="3:3" ht="15.75" customHeight="1">
      <c r="C603" s="549"/>
    </row>
    <row r="604" spans="3:3" ht="15.75" customHeight="1">
      <c r="C604" s="549"/>
    </row>
    <row r="605" spans="3:3" ht="15.75" customHeight="1">
      <c r="C605" s="549"/>
    </row>
    <row r="606" spans="3:3" ht="15.75" customHeight="1">
      <c r="C606" s="549"/>
    </row>
    <row r="607" spans="3:3" ht="15.75" customHeight="1">
      <c r="C607" s="549"/>
    </row>
    <row r="608" spans="3:3" ht="15.75" customHeight="1">
      <c r="C608" s="549"/>
    </row>
    <row r="609" spans="3:3" ht="15.75" customHeight="1">
      <c r="C609" s="549"/>
    </row>
    <row r="610" spans="3:3" ht="15.75" customHeight="1">
      <c r="C610" s="549"/>
    </row>
    <row r="611" spans="3:3" ht="15.75" customHeight="1">
      <c r="C611" s="549"/>
    </row>
    <row r="612" spans="3:3" ht="15.75" customHeight="1">
      <c r="C612" s="549"/>
    </row>
    <row r="613" spans="3:3" ht="15.75" customHeight="1">
      <c r="C613" s="549"/>
    </row>
    <row r="614" spans="3:3" ht="15.75" customHeight="1">
      <c r="C614" s="549"/>
    </row>
    <row r="615" spans="3:3" ht="15.75" customHeight="1">
      <c r="C615" s="549"/>
    </row>
    <row r="616" spans="3:3" ht="15.75" customHeight="1">
      <c r="C616" s="549"/>
    </row>
    <row r="617" spans="3:3" ht="15.75" customHeight="1">
      <c r="C617" s="549"/>
    </row>
    <row r="618" spans="3:3" ht="15.75" customHeight="1">
      <c r="C618" s="549"/>
    </row>
    <row r="619" spans="3:3" ht="15.75" customHeight="1">
      <c r="C619" s="549"/>
    </row>
    <row r="620" spans="3:3" ht="15.75" customHeight="1">
      <c r="C620" s="549"/>
    </row>
    <row r="621" spans="3:3" ht="15.75" customHeight="1">
      <c r="C621" s="549"/>
    </row>
    <row r="622" spans="3:3" ht="15.75" customHeight="1">
      <c r="C622" s="549"/>
    </row>
    <row r="623" spans="3:3" ht="15.75" customHeight="1">
      <c r="C623" s="549"/>
    </row>
    <row r="624" spans="3:3" ht="15.75" customHeight="1">
      <c r="C624" s="549"/>
    </row>
    <row r="625" spans="3:3" ht="15.75" customHeight="1">
      <c r="C625" s="549"/>
    </row>
    <row r="626" spans="3:3" ht="15.75" customHeight="1">
      <c r="C626" s="549"/>
    </row>
    <row r="627" spans="3:3" ht="15.75" customHeight="1">
      <c r="C627" s="549"/>
    </row>
    <row r="628" spans="3:3" ht="15.75" customHeight="1">
      <c r="C628" s="549"/>
    </row>
    <row r="629" spans="3:3" ht="15.75" customHeight="1">
      <c r="C629" s="549"/>
    </row>
    <row r="630" spans="3:3" ht="15.75" customHeight="1">
      <c r="C630" s="549"/>
    </row>
    <row r="631" spans="3:3" ht="15.75" customHeight="1">
      <c r="C631" s="549"/>
    </row>
    <row r="632" spans="3:3" ht="15.75" customHeight="1">
      <c r="C632" s="549"/>
    </row>
    <row r="633" spans="3:3" ht="15.75" customHeight="1">
      <c r="C633" s="549"/>
    </row>
    <row r="634" spans="3:3" ht="15.75" customHeight="1">
      <c r="C634" s="549"/>
    </row>
    <row r="635" spans="3:3" ht="15.75" customHeight="1">
      <c r="C635" s="549"/>
    </row>
    <row r="636" spans="3:3" ht="15.75" customHeight="1">
      <c r="C636" s="549"/>
    </row>
    <row r="637" spans="3:3" ht="15.75" customHeight="1">
      <c r="C637" s="549"/>
    </row>
    <row r="638" spans="3:3" ht="15.75" customHeight="1">
      <c r="C638" s="549"/>
    </row>
    <row r="639" spans="3:3" ht="15.75" customHeight="1">
      <c r="C639" s="549"/>
    </row>
    <row r="640" spans="3:3" ht="15.75" customHeight="1">
      <c r="C640" s="549"/>
    </row>
    <row r="641" spans="3:3" ht="15.75" customHeight="1">
      <c r="C641" s="549"/>
    </row>
    <row r="642" spans="3:3" ht="15.75" customHeight="1">
      <c r="C642" s="549"/>
    </row>
    <row r="643" spans="3:3" ht="15.75" customHeight="1">
      <c r="C643" s="549"/>
    </row>
    <row r="644" spans="3:3" ht="15.75" customHeight="1">
      <c r="C644" s="549"/>
    </row>
    <row r="645" spans="3:3" ht="15.75" customHeight="1">
      <c r="C645" s="549"/>
    </row>
    <row r="646" spans="3:3" ht="15.75" customHeight="1">
      <c r="C646" s="549"/>
    </row>
    <row r="647" spans="3:3" ht="15.75" customHeight="1">
      <c r="C647" s="549"/>
    </row>
    <row r="648" spans="3:3" ht="15.75" customHeight="1">
      <c r="C648" s="549"/>
    </row>
    <row r="649" spans="3:3" ht="15.75" customHeight="1">
      <c r="C649" s="549"/>
    </row>
    <row r="650" spans="3:3" ht="15.75" customHeight="1">
      <c r="C650" s="549"/>
    </row>
    <row r="651" spans="3:3" ht="15.75" customHeight="1">
      <c r="C651" s="549"/>
    </row>
    <row r="652" spans="3:3" ht="15.75" customHeight="1">
      <c r="C652" s="549"/>
    </row>
    <row r="653" spans="3:3" ht="15.75" customHeight="1">
      <c r="C653" s="549"/>
    </row>
    <row r="654" spans="3:3" ht="15.75" customHeight="1">
      <c r="C654" s="549"/>
    </row>
    <row r="655" spans="3:3" ht="15.75" customHeight="1">
      <c r="C655" s="549"/>
    </row>
    <row r="656" spans="3:3" ht="15.75" customHeight="1">
      <c r="C656" s="549"/>
    </row>
    <row r="657" spans="3:3" ht="15.75" customHeight="1">
      <c r="C657" s="549"/>
    </row>
    <row r="658" spans="3:3" ht="15.75" customHeight="1">
      <c r="C658" s="549"/>
    </row>
    <row r="659" spans="3:3" ht="15.75" customHeight="1">
      <c r="C659" s="549"/>
    </row>
    <row r="660" spans="3:3" ht="15.75" customHeight="1">
      <c r="C660" s="549"/>
    </row>
    <row r="661" spans="3:3" ht="15.75" customHeight="1">
      <c r="C661" s="549"/>
    </row>
    <row r="662" spans="3:3" ht="15.75" customHeight="1">
      <c r="C662" s="549"/>
    </row>
    <row r="663" spans="3:3" ht="15.75" customHeight="1">
      <c r="C663" s="549"/>
    </row>
    <row r="664" spans="3:3" ht="15.75" customHeight="1">
      <c r="C664" s="549"/>
    </row>
    <row r="665" spans="3:3" ht="15.75" customHeight="1">
      <c r="C665" s="549"/>
    </row>
    <row r="666" spans="3:3" ht="15.75" customHeight="1">
      <c r="C666" s="549"/>
    </row>
    <row r="667" spans="3:3" ht="15.75" customHeight="1">
      <c r="C667" s="549"/>
    </row>
    <row r="668" spans="3:3" ht="15.75" customHeight="1">
      <c r="C668" s="549"/>
    </row>
    <row r="669" spans="3:3" ht="15.75" customHeight="1">
      <c r="C669" s="549"/>
    </row>
    <row r="670" spans="3:3" ht="15.75" customHeight="1">
      <c r="C670" s="549"/>
    </row>
    <row r="671" spans="3:3" ht="15.75" customHeight="1">
      <c r="C671" s="549"/>
    </row>
    <row r="672" spans="3:3" ht="15.75" customHeight="1">
      <c r="C672" s="549"/>
    </row>
    <row r="673" spans="3:3" ht="15.75" customHeight="1">
      <c r="C673" s="549"/>
    </row>
    <row r="674" spans="3:3" ht="15.75" customHeight="1">
      <c r="C674" s="549"/>
    </row>
    <row r="675" spans="3:3" ht="15.75" customHeight="1">
      <c r="C675" s="549"/>
    </row>
    <row r="676" spans="3:3" ht="15.75" customHeight="1">
      <c r="C676" s="549"/>
    </row>
    <row r="677" spans="3:3" ht="15.75" customHeight="1">
      <c r="C677" s="549"/>
    </row>
    <row r="678" spans="3:3" ht="15.75" customHeight="1">
      <c r="C678" s="549"/>
    </row>
    <row r="679" spans="3:3" ht="15.75" customHeight="1">
      <c r="C679" s="549"/>
    </row>
    <row r="680" spans="3:3" ht="15.75" customHeight="1">
      <c r="C680" s="549"/>
    </row>
    <row r="681" spans="3:3" ht="15.75" customHeight="1">
      <c r="C681" s="549"/>
    </row>
    <row r="682" spans="3:3" ht="15.75" customHeight="1">
      <c r="C682" s="549"/>
    </row>
    <row r="683" spans="3:3" ht="15.75" customHeight="1">
      <c r="C683" s="549"/>
    </row>
    <row r="684" spans="3:3" ht="15.75" customHeight="1">
      <c r="C684" s="549"/>
    </row>
    <row r="685" spans="3:3" ht="15.75" customHeight="1">
      <c r="C685" s="549"/>
    </row>
    <row r="686" spans="3:3" ht="15.75" customHeight="1">
      <c r="C686" s="549"/>
    </row>
    <row r="687" spans="3:3" ht="15.75" customHeight="1">
      <c r="C687" s="549"/>
    </row>
    <row r="688" spans="3:3" ht="15.75" customHeight="1">
      <c r="C688" s="549"/>
    </row>
    <row r="689" spans="3:3" ht="15.75" customHeight="1">
      <c r="C689" s="549"/>
    </row>
    <row r="690" spans="3:3" ht="15.75" customHeight="1">
      <c r="C690" s="549"/>
    </row>
    <row r="691" spans="3:3" ht="15.75" customHeight="1">
      <c r="C691" s="549"/>
    </row>
    <row r="692" spans="3:3" ht="15.75" customHeight="1">
      <c r="C692" s="549"/>
    </row>
    <row r="693" spans="3:3" ht="15.75" customHeight="1">
      <c r="C693" s="549"/>
    </row>
    <row r="694" spans="3:3" ht="15.75" customHeight="1">
      <c r="C694" s="549"/>
    </row>
    <row r="695" spans="3:3" ht="15.75" customHeight="1">
      <c r="C695" s="549"/>
    </row>
    <row r="696" spans="3:3" ht="15.75" customHeight="1">
      <c r="C696" s="549"/>
    </row>
    <row r="697" spans="3:3" ht="15.75" customHeight="1">
      <c r="C697" s="549"/>
    </row>
    <row r="698" spans="3:3" ht="15.75" customHeight="1">
      <c r="C698" s="549"/>
    </row>
    <row r="699" spans="3:3" ht="15.75" customHeight="1">
      <c r="C699" s="549"/>
    </row>
    <row r="700" spans="3:3" ht="15.75" customHeight="1">
      <c r="C700" s="549"/>
    </row>
    <row r="701" spans="3:3" ht="15.75" customHeight="1">
      <c r="C701" s="549"/>
    </row>
    <row r="702" spans="3:3" ht="15.75" customHeight="1">
      <c r="C702" s="549"/>
    </row>
    <row r="703" spans="3:3" ht="15.75" customHeight="1">
      <c r="C703" s="549"/>
    </row>
    <row r="704" spans="3:3" ht="15.75" customHeight="1">
      <c r="C704" s="549"/>
    </row>
    <row r="705" spans="3:3" ht="15.75" customHeight="1">
      <c r="C705" s="549"/>
    </row>
    <row r="706" spans="3:3" ht="15.75" customHeight="1">
      <c r="C706" s="549"/>
    </row>
    <row r="707" spans="3:3" ht="15.75" customHeight="1">
      <c r="C707" s="549"/>
    </row>
    <row r="708" spans="3:3" ht="15.75" customHeight="1">
      <c r="C708" s="549"/>
    </row>
    <row r="709" spans="3:3" ht="15.75" customHeight="1">
      <c r="C709" s="549"/>
    </row>
    <row r="710" spans="3:3" ht="15.75" customHeight="1">
      <c r="C710" s="549"/>
    </row>
    <row r="711" spans="3:3" ht="15.75" customHeight="1">
      <c r="C711" s="549"/>
    </row>
    <row r="712" spans="3:3" ht="15.75" customHeight="1">
      <c r="C712" s="549"/>
    </row>
    <row r="713" spans="3:3" ht="15.75" customHeight="1">
      <c r="C713" s="549"/>
    </row>
    <row r="714" spans="3:3" ht="15.75" customHeight="1">
      <c r="C714" s="549"/>
    </row>
    <row r="715" spans="3:3" ht="15.75" customHeight="1">
      <c r="C715" s="549"/>
    </row>
    <row r="716" spans="3:3" ht="15.75" customHeight="1">
      <c r="C716" s="549"/>
    </row>
    <row r="717" spans="3:3" ht="15.75" customHeight="1">
      <c r="C717" s="549"/>
    </row>
    <row r="718" spans="3:3" ht="15.75" customHeight="1">
      <c r="C718" s="549"/>
    </row>
    <row r="719" spans="3:3" ht="15.75" customHeight="1">
      <c r="C719" s="549"/>
    </row>
    <row r="720" spans="3:3" ht="15.75" customHeight="1">
      <c r="C720" s="549"/>
    </row>
    <row r="721" spans="3:3" ht="15.75" customHeight="1">
      <c r="C721" s="549"/>
    </row>
    <row r="722" spans="3:3" ht="15.75" customHeight="1">
      <c r="C722" s="549"/>
    </row>
    <row r="723" spans="3:3" ht="15.75" customHeight="1">
      <c r="C723" s="549"/>
    </row>
    <row r="724" spans="3:3" ht="15.75" customHeight="1">
      <c r="C724" s="549"/>
    </row>
    <row r="725" spans="3:3" ht="15.75" customHeight="1">
      <c r="C725" s="549"/>
    </row>
    <row r="726" spans="3:3" ht="15.75" customHeight="1">
      <c r="C726" s="549"/>
    </row>
    <row r="727" spans="3:3" ht="15.75" customHeight="1">
      <c r="C727" s="549"/>
    </row>
    <row r="728" spans="3:3" ht="15.75" customHeight="1">
      <c r="C728" s="549"/>
    </row>
    <row r="729" spans="3:3" ht="15.75" customHeight="1">
      <c r="C729" s="549"/>
    </row>
    <row r="730" spans="3:3" ht="15.75" customHeight="1">
      <c r="C730" s="549"/>
    </row>
    <row r="731" spans="3:3" ht="15.75" customHeight="1">
      <c r="C731" s="549"/>
    </row>
    <row r="732" spans="3:3" ht="15.75" customHeight="1">
      <c r="C732" s="549"/>
    </row>
    <row r="733" spans="3:3" ht="15.75" customHeight="1">
      <c r="C733" s="549"/>
    </row>
    <row r="734" spans="3:3" ht="15.75" customHeight="1">
      <c r="C734" s="549"/>
    </row>
    <row r="735" spans="3:3" ht="15.75" customHeight="1">
      <c r="C735" s="549"/>
    </row>
    <row r="736" spans="3:3" ht="15.75" customHeight="1">
      <c r="C736" s="549"/>
    </row>
    <row r="737" spans="3:3" ht="15.75" customHeight="1">
      <c r="C737" s="549"/>
    </row>
    <row r="738" spans="3:3" ht="15.75" customHeight="1">
      <c r="C738" s="549"/>
    </row>
    <row r="739" spans="3:3" ht="15.75" customHeight="1">
      <c r="C739" s="549"/>
    </row>
    <row r="740" spans="3:3" ht="15.75" customHeight="1">
      <c r="C740" s="549"/>
    </row>
    <row r="741" spans="3:3" ht="15.75" customHeight="1">
      <c r="C741" s="549"/>
    </row>
    <row r="742" spans="3:3" ht="15.75" customHeight="1">
      <c r="C742" s="549"/>
    </row>
    <row r="743" spans="3:3" ht="15.75" customHeight="1">
      <c r="C743" s="549"/>
    </row>
    <row r="744" spans="3:3" ht="15.75" customHeight="1">
      <c r="C744" s="549"/>
    </row>
    <row r="745" spans="3:3" ht="15.75" customHeight="1">
      <c r="C745" s="549"/>
    </row>
    <row r="746" spans="3:3" ht="15.75" customHeight="1">
      <c r="C746" s="549"/>
    </row>
    <row r="747" spans="3:3" ht="15.75" customHeight="1">
      <c r="C747" s="549"/>
    </row>
    <row r="748" spans="3:3" ht="15.75" customHeight="1">
      <c r="C748" s="549"/>
    </row>
    <row r="749" spans="3:3" ht="15.75" customHeight="1">
      <c r="C749" s="549"/>
    </row>
    <row r="750" spans="3:3" ht="15.75" customHeight="1">
      <c r="C750" s="549"/>
    </row>
    <row r="751" spans="3:3" ht="15.75" customHeight="1">
      <c r="C751" s="549"/>
    </row>
    <row r="752" spans="3:3" ht="15.75" customHeight="1">
      <c r="C752" s="549"/>
    </row>
    <row r="753" spans="3:3" ht="15.75" customHeight="1">
      <c r="C753" s="549"/>
    </row>
    <row r="754" spans="3:3" ht="15.75" customHeight="1">
      <c r="C754" s="549"/>
    </row>
    <row r="755" spans="3:3" ht="15.75" customHeight="1">
      <c r="C755" s="549"/>
    </row>
    <row r="756" spans="3:3" ht="15.75" customHeight="1">
      <c r="C756" s="549"/>
    </row>
    <row r="757" spans="3:3" ht="15.75" customHeight="1">
      <c r="C757" s="549"/>
    </row>
    <row r="758" spans="3:3" ht="15.75" customHeight="1">
      <c r="C758" s="549"/>
    </row>
    <row r="759" spans="3:3" ht="15.75" customHeight="1">
      <c r="C759" s="549"/>
    </row>
    <row r="760" spans="3:3" ht="15.75" customHeight="1">
      <c r="C760" s="549"/>
    </row>
    <row r="761" spans="3:3" ht="15.75" customHeight="1">
      <c r="C761" s="549"/>
    </row>
    <row r="762" spans="3:3" ht="15.75" customHeight="1">
      <c r="C762" s="549"/>
    </row>
    <row r="763" spans="3:3" ht="15.75" customHeight="1">
      <c r="C763" s="549"/>
    </row>
    <row r="764" spans="3:3" ht="15.75" customHeight="1">
      <c r="C764" s="549"/>
    </row>
    <row r="765" spans="3:3" ht="15.75" customHeight="1">
      <c r="C765" s="549"/>
    </row>
    <row r="766" spans="3:3" ht="15.75" customHeight="1">
      <c r="C766" s="549"/>
    </row>
    <row r="767" spans="3:3" ht="15.75" customHeight="1">
      <c r="C767" s="549"/>
    </row>
    <row r="768" spans="3:3" ht="15.75" customHeight="1">
      <c r="C768" s="549"/>
    </row>
    <row r="769" spans="3:3" ht="15.75" customHeight="1">
      <c r="C769" s="549"/>
    </row>
    <row r="770" spans="3:3" ht="15.75" customHeight="1">
      <c r="C770" s="549"/>
    </row>
    <row r="771" spans="3:3" ht="15.75" customHeight="1">
      <c r="C771" s="549"/>
    </row>
    <row r="772" spans="3:3" ht="15.75" customHeight="1">
      <c r="C772" s="549"/>
    </row>
    <row r="773" spans="3:3" ht="15.75" customHeight="1">
      <c r="C773" s="549"/>
    </row>
    <row r="774" spans="3:3" ht="15.75" customHeight="1">
      <c r="C774" s="549"/>
    </row>
    <row r="775" spans="3:3" ht="15.75" customHeight="1">
      <c r="C775" s="549"/>
    </row>
    <row r="776" spans="3:3" ht="15.75" customHeight="1">
      <c r="C776" s="549"/>
    </row>
    <row r="777" spans="3:3" ht="15.75" customHeight="1">
      <c r="C777" s="549"/>
    </row>
    <row r="778" spans="3:3" ht="15.75" customHeight="1">
      <c r="C778" s="549"/>
    </row>
    <row r="779" spans="3:3" ht="15.75" customHeight="1">
      <c r="C779" s="549"/>
    </row>
    <row r="780" spans="3:3" ht="15.75" customHeight="1">
      <c r="C780" s="549"/>
    </row>
    <row r="781" spans="3:3" ht="15.75" customHeight="1">
      <c r="C781" s="549"/>
    </row>
    <row r="782" spans="3:3" ht="15.75" customHeight="1">
      <c r="C782" s="549"/>
    </row>
    <row r="783" spans="3:3" ht="15.75" customHeight="1">
      <c r="C783" s="549"/>
    </row>
    <row r="784" spans="3:3" ht="15.75" customHeight="1">
      <c r="C784" s="549"/>
    </row>
    <row r="785" spans="3:3" ht="15.75" customHeight="1">
      <c r="C785" s="549"/>
    </row>
    <row r="786" spans="3:3" ht="15.75" customHeight="1">
      <c r="C786" s="549"/>
    </row>
    <row r="787" spans="3:3" ht="15.75" customHeight="1">
      <c r="C787" s="549"/>
    </row>
    <row r="788" spans="3:3" ht="15.75" customHeight="1">
      <c r="C788" s="549"/>
    </row>
    <row r="789" spans="3:3" ht="15.75" customHeight="1">
      <c r="C789" s="549"/>
    </row>
    <row r="790" spans="3:3" ht="15.75" customHeight="1">
      <c r="C790" s="549"/>
    </row>
    <row r="791" spans="3:3" ht="15.75" customHeight="1">
      <c r="C791" s="549"/>
    </row>
    <row r="792" spans="3:3" ht="15.75" customHeight="1">
      <c r="C792" s="549"/>
    </row>
    <row r="793" spans="3:3" ht="15.75" customHeight="1">
      <c r="C793" s="549"/>
    </row>
    <row r="794" spans="3:3" ht="15.75" customHeight="1">
      <c r="C794" s="549"/>
    </row>
    <row r="795" spans="3:3" ht="15.75" customHeight="1">
      <c r="C795" s="549"/>
    </row>
    <row r="796" spans="3:3" ht="15.75" customHeight="1">
      <c r="C796" s="549"/>
    </row>
    <row r="797" spans="3:3" ht="15.75" customHeight="1">
      <c r="C797" s="549"/>
    </row>
    <row r="798" spans="3:3" ht="15.75" customHeight="1">
      <c r="C798" s="549"/>
    </row>
    <row r="799" spans="3:3" ht="15.75" customHeight="1">
      <c r="C799" s="549"/>
    </row>
    <row r="800" spans="3:3" ht="15.75" customHeight="1">
      <c r="C800" s="549"/>
    </row>
    <row r="801" spans="3:3" ht="15.75" customHeight="1">
      <c r="C801" s="549"/>
    </row>
    <row r="802" spans="3:3" ht="15.75" customHeight="1">
      <c r="C802" s="549"/>
    </row>
    <row r="803" spans="3:3" ht="15.75" customHeight="1">
      <c r="C803" s="549"/>
    </row>
    <row r="804" spans="3:3" ht="15.75" customHeight="1">
      <c r="C804" s="549"/>
    </row>
    <row r="805" spans="3:3" ht="15.75" customHeight="1">
      <c r="C805" s="549"/>
    </row>
    <row r="806" spans="3:3" ht="15.75" customHeight="1">
      <c r="C806" s="549"/>
    </row>
    <row r="807" spans="3:3" ht="15.75" customHeight="1">
      <c r="C807" s="549"/>
    </row>
    <row r="808" spans="3:3" ht="15.75" customHeight="1">
      <c r="C808" s="549"/>
    </row>
    <row r="809" spans="3:3" ht="15.75" customHeight="1">
      <c r="C809" s="549"/>
    </row>
    <row r="810" spans="3:3" ht="15.75" customHeight="1">
      <c r="C810" s="549"/>
    </row>
    <row r="811" spans="3:3" ht="15.75" customHeight="1">
      <c r="C811" s="549"/>
    </row>
    <row r="812" spans="3:3" ht="15.75" customHeight="1">
      <c r="C812" s="549"/>
    </row>
    <row r="813" spans="3:3" ht="15.75" customHeight="1">
      <c r="C813" s="549"/>
    </row>
    <row r="814" spans="3:3" ht="15.75" customHeight="1">
      <c r="C814" s="549"/>
    </row>
    <row r="815" spans="3:3" ht="15.75" customHeight="1">
      <c r="C815" s="549"/>
    </row>
    <row r="816" spans="3:3" ht="15.75" customHeight="1">
      <c r="C816" s="549"/>
    </row>
    <row r="817" spans="3:3" ht="15.75" customHeight="1">
      <c r="C817" s="549"/>
    </row>
    <row r="818" spans="3:3" ht="15.75" customHeight="1">
      <c r="C818" s="549"/>
    </row>
    <row r="819" spans="3:3" ht="15.75" customHeight="1">
      <c r="C819" s="549"/>
    </row>
    <row r="820" spans="3:3" ht="15.75" customHeight="1">
      <c r="C820" s="549"/>
    </row>
    <row r="821" spans="3:3" ht="15.75" customHeight="1">
      <c r="C821" s="549"/>
    </row>
    <row r="822" spans="3:3" ht="15.75" customHeight="1">
      <c r="C822" s="549"/>
    </row>
    <row r="823" spans="3:3" ht="15.75" customHeight="1">
      <c r="C823" s="549"/>
    </row>
    <row r="824" spans="3:3" ht="15.75" customHeight="1">
      <c r="C824" s="549"/>
    </row>
    <row r="825" spans="3:3" ht="15.75" customHeight="1">
      <c r="C825" s="549"/>
    </row>
    <row r="826" spans="3:3" ht="15.75" customHeight="1">
      <c r="C826" s="549"/>
    </row>
    <row r="827" spans="3:3" ht="15.75" customHeight="1">
      <c r="C827" s="549"/>
    </row>
    <row r="828" spans="3:3" ht="15.75" customHeight="1">
      <c r="C828" s="549"/>
    </row>
    <row r="829" spans="3:3" ht="15.75" customHeight="1">
      <c r="C829" s="549"/>
    </row>
    <row r="830" spans="3:3" ht="15.75" customHeight="1">
      <c r="C830" s="549"/>
    </row>
  </sheetData>
  <mergeCells count="3">
    <mergeCell ref="C1:G1"/>
    <mergeCell ref="H1:K1"/>
    <mergeCell ref="L1:Q1"/>
  </mergeCells>
  <conditionalFormatting sqref="J3:J10">
    <cfRule type="colorScale" priority="1">
      <colorScale>
        <cfvo type="min"/>
        <cfvo type="percentile" val="50"/>
        <cfvo type="max"/>
        <color rgb="FF57BB8A"/>
        <color rgb="FFFFFFFF"/>
        <color rgb="FFE67C73"/>
      </colorScale>
    </cfRule>
  </conditionalFormatting>
  <conditionalFormatting sqref="K15:K33">
    <cfRule type="containsText" dxfId="2" priority="2" operator="containsText" text="Acierto">
      <formula>NOT(ISERROR(SEARCH(("Acierto"),(K15))))</formula>
    </cfRule>
    <cfRule type="cellIs" dxfId="1" priority="3" operator="equal">
      <formula>"Incorrecta"</formula>
    </cfRule>
    <cfRule type="containsText" dxfId="0" priority="4" operator="containsText" text="Neutral">
      <formula>NOT(ISERROR(SEARCH(("Neutral"),(K15))))</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Portafolio Discrecional</vt:lpstr>
      <vt:lpstr>Ideas de Trading</vt:lpstr>
      <vt:lpstr>Watchlist</vt:lpstr>
      <vt:lpstr>Matriz táctica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Portfolio</dc:creator>
  <cp:lastModifiedBy>Guillermo Davies</cp:lastModifiedBy>
  <dcterms:created xsi:type="dcterms:W3CDTF">2020-09-08T14:29:46Z</dcterms:created>
  <dcterms:modified xsi:type="dcterms:W3CDTF">2025-09-29T14:01:56Z</dcterms:modified>
</cp:coreProperties>
</file>